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wsl.localhost\DAE\home\u237392\GovTechHackathon\co2-switzerland\data\"/>
    </mc:Choice>
  </mc:AlternateContent>
  <xr:revisionPtr revIDLastSave="0" documentId="8_{D45B88E0-B43F-40D4-A03F-6FF544FCE8C5}" xr6:coauthVersionLast="47" xr6:coauthVersionMax="47" xr10:uidLastSave="{00000000-0000-0000-0000-000000000000}"/>
  <bookViews>
    <workbookView xWindow="-108" yWindow="-108" windowWidth="23256" windowHeight="12576" activeTab="1" xr2:uid="{00000000-000D-0000-FFFF-FFFF00000000}"/>
  </bookViews>
  <sheets>
    <sheet name="Sommaire" sheetId="47" r:id="rId1"/>
    <sheet name="4.1 Comptes 2021 natures" sheetId="23" r:id="rId2"/>
    <sheet name="6.1 Investissements" sheetId="34" r:id="rId3"/>
    <sheet name="Base de données pop." sheetId="13" r:id="rId4"/>
    <sheet name="Population" sheetId="1" r:id="rId5"/>
    <sheet name="Graphique par nature" sheetId="80" r:id="rId6"/>
    <sheet name="Résultats par commune" sheetId="79" r:id="rId7"/>
    <sheet name="4.2 Comptes 2021 par commune" sheetId="48" r:id="rId8"/>
    <sheet name="4.9 Comptes 2021 par habitant" sheetId="29" r:id="rId9"/>
    <sheet name="4.10 Comptes 2021 Hab. par com" sheetId="49" r:id="rId10"/>
    <sheet name="4.5 Vue d'ensemble" sheetId="26" r:id="rId11"/>
    <sheet name="4.6 Vue par commune" sheetId="44" r:id="rId12"/>
    <sheet name="4.3 Résultats à 3 niveaux" sheetId="25" r:id="rId13"/>
    <sheet name="4.4 Résultats à 3 par commune" sheetId="45" r:id="rId14"/>
    <sheet name="4.7 Autofinancement" sheetId="27" r:id="rId15"/>
    <sheet name="4.8 Autofinancement par commune" sheetId="46" r:id="rId16"/>
    <sheet name="4.11 Comptes 2020 fonctionnelle" sheetId="22" r:id="rId17"/>
    <sheet name="4.12 Fonctionnelle par commune" sheetId="50" r:id="rId18"/>
    <sheet name="Tableau fonctionnelle" sheetId="30" r:id="rId19"/>
    <sheet name="4.12.1 et 2 Graph par fonction" sheetId="81" r:id="rId20"/>
    <sheet name="5. Bilan" sheetId="24" r:id="rId21"/>
    <sheet name="5.3 Bilan par commune" sheetId="51" r:id="rId22"/>
    <sheet name="5.2 Tableau bilan" sheetId="31" r:id="rId23"/>
    <sheet name="5.1.2Graphique capitaux propres" sheetId="83" r:id="rId24"/>
    <sheet name="5.4 Tableau de l'endettement" sheetId="32" r:id="rId25"/>
    <sheet name="5.4.1Graphique de l'endettement" sheetId="82" r:id="rId26"/>
    <sheet name="5.5 Endettement par commune" sheetId="52" r:id="rId27"/>
    <sheet name="6.2 Investissements par commune" sheetId="53" r:id="rId28"/>
    <sheet name="7, Définition des indicateurs" sheetId="54" r:id="rId29"/>
    <sheet name="Base de données indicateurs1" sheetId="42" r:id="rId30"/>
    <sheet name="Endett. net + degré d'auto." sheetId="35" r:id="rId31"/>
    <sheet name="Quotité d'intéret + revenus det" sheetId="36" r:id="rId32"/>
    <sheet name="Quotité d'invest + fin." sheetId="37" r:id="rId33"/>
    <sheet name="Quotité d'autofinancement" sheetId="38" r:id="rId34"/>
    <sheet name="Quotient excédent du bilan" sheetId="39" r:id="rId35"/>
    <sheet name="Récapitulatif" sheetId="40" r:id="rId36"/>
    <sheet name="Indicateurs par commune" sheetId="43" r:id="rId37"/>
    <sheet name="Bourgeoisies Comptes 2021" sheetId="55" r:id="rId38"/>
    <sheet name="Comptes 2021 par Bourgeoisie" sheetId="56" r:id="rId39"/>
    <sheet name="Bourgeoisie vue d'ensemble" sheetId="57" r:id="rId40"/>
    <sheet name="Vue d'ensemble par Bourgeoisie" sheetId="58" r:id="rId41"/>
    <sheet name="Bourgeoisie résultats 3 niveaux" sheetId="59" r:id="rId42"/>
    <sheet name="Résultats 3 nivaux par Bourgeoi" sheetId="60" r:id="rId43"/>
    <sheet name="Bourgeoisie autofinancement" sheetId="61" r:id="rId44"/>
    <sheet name="Autofinancement par Bourgeoisie" sheetId="62" r:id="rId45"/>
    <sheet name="Bourgeoisie bilan" sheetId="63" r:id="rId46"/>
    <sheet name="Bilan par bourgeoisie" sheetId="64" r:id="rId47"/>
    <sheet name="Bourgeoisie endettement" sheetId="65" r:id="rId48"/>
    <sheet name="Endettement par bourgeoisie" sheetId="66" r:id="rId49"/>
    <sheet name="Bourgeoisie investissement" sheetId="67" r:id="rId50"/>
    <sheet name="Investissement par bourgeoisie" sheetId="68" r:id="rId51"/>
    <sheet name="Syndicats comptes 2021" sheetId="69" r:id="rId52"/>
    <sheet name="Comptes 2021 par Syndicats" sheetId="70" r:id="rId53"/>
    <sheet name="Syndicats vue d'ensemble" sheetId="71" r:id="rId54"/>
    <sheet name="Vue d'ensemble par syndicat" sheetId="72" r:id="rId55"/>
    <sheet name="Syndicats résultat à 3 niveaux" sheetId="73" r:id="rId56"/>
    <sheet name="Résultat 3 niveaux par syndicat" sheetId="74" r:id="rId57"/>
    <sheet name="Syndicats Bilan" sheetId="75" r:id="rId58"/>
    <sheet name="Bilan par Syndicats" sheetId="76" r:id="rId59"/>
    <sheet name="Syndicats endettement" sheetId="77" r:id="rId60"/>
    <sheet name="Endettement par syndicat" sheetId="78" r:id="rId61"/>
  </sheets>
  <definedNames>
    <definedName name="_xlnm.Print_Area" localSheetId="14">'4.7 Autofinancement'!$A$1:$D$92</definedName>
    <definedName name="_xlnm.Print_Area" localSheetId="44">'Autofinancement par Bourgeoisie'!$A$1:$E$34</definedName>
    <definedName name="_xlnm.Print_Area" localSheetId="35">Récapitulatif!$A$1:$D$46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4" i="22" l="1"/>
  <c r="BG217" i="24" l="1"/>
  <c r="BG216" i="24"/>
  <c r="BI165" i="23" l="1"/>
  <c r="BH165" i="23"/>
  <c r="BG165" i="23"/>
  <c r="BF165" i="23"/>
  <c r="E16" i="46" l="1"/>
  <c r="AY88" i="34" l="1"/>
  <c r="AW113" i="34" l="1"/>
  <c r="AN98" i="34" l="1"/>
  <c r="BI167" i="34" l="1"/>
  <c r="BI23" i="24" l="1"/>
  <c r="C14" i="44" l="1"/>
  <c r="O20" i="55" l="1"/>
  <c r="I6" i="1" l="1"/>
  <c r="AE220" i="75"/>
  <c r="AE68" i="75" l="1"/>
  <c r="Y215" i="75" l="1"/>
  <c r="T215" i="75" l="1"/>
  <c r="W190" i="75" l="1"/>
  <c r="G220" i="75" l="1"/>
  <c r="H220" i="75"/>
  <c r="I220" i="75"/>
  <c r="J220" i="75"/>
  <c r="K220" i="75"/>
  <c r="L220" i="75"/>
  <c r="M220" i="75"/>
  <c r="N220" i="75"/>
  <c r="O220" i="75"/>
  <c r="P220" i="75"/>
  <c r="Q220" i="75"/>
  <c r="R220" i="75"/>
  <c r="S220" i="75"/>
  <c r="T220" i="75"/>
  <c r="U220" i="75"/>
  <c r="V220" i="75"/>
  <c r="W220" i="75"/>
  <c r="X220" i="75"/>
  <c r="Y220" i="75"/>
  <c r="Z220" i="75"/>
  <c r="AA220" i="75"/>
  <c r="AB220" i="75"/>
  <c r="AC220" i="75"/>
  <c r="AD220" i="75"/>
  <c r="AF220" i="75"/>
  <c r="F220" i="75"/>
  <c r="F47" i="75" l="1"/>
  <c r="AF41" i="69" l="1"/>
  <c r="AF40" i="69"/>
  <c r="D17" i="77"/>
  <c r="E17" i="77"/>
  <c r="F17" i="77"/>
  <c r="G17" i="77"/>
  <c r="H17" i="77"/>
  <c r="I17" i="77"/>
  <c r="J17" i="77"/>
  <c r="K17" i="77"/>
  <c r="L17" i="77"/>
  <c r="M17" i="77"/>
  <c r="N17" i="77"/>
  <c r="O17" i="77"/>
  <c r="P17" i="77"/>
  <c r="Q17" i="77"/>
  <c r="R17" i="77"/>
  <c r="S17" i="77"/>
  <c r="T17" i="77"/>
  <c r="U17" i="77"/>
  <c r="V17" i="77"/>
  <c r="W17" i="77"/>
  <c r="X17" i="77"/>
  <c r="Y17" i="77"/>
  <c r="Z17" i="77"/>
  <c r="AA17" i="77"/>
  <c r="AB17" i="77"/>
  <c r="AC17" i="77"/>
  <c r="C17" i="77"/>
  <c r="C17" i="78" s="1"/>
  <c r="F223" i="76"/>
  <c r="F222" i="76"/>
  <c r="C11" i="72"/>
  <c r="C10" i="72"/>
  <c r="E45" i="70" l="1"/>
  <c r="E44" i="70"/>
  <c r="I142" i="63" l="1"/>
  <c r="S118" i="63" l="1"/>
  <c r="S66" i="63"/>
  <c r="S52" i="63"/>
  <c r="C11" i="58"/>
  <c r="C10" i="58"/>
  <c r="BC88" i="34" l="1"/>
  <c r="AZ76" i="23" l="1"/>
  <c r="R41" i="55" l="1"/>
  <c r="R40" i="55"/>
  <c r="D17" i="65"/>
  <c r="E17" i="65"/>
  <c r="F17" i="65"/>
  <c r="G17" i="65"/>
  <c r="H17" i="65"/>
  <c r="I17" i="65"/>
  <c r="J17" i="65"/>
  <c r="K17" i="65"/>
  <c r="L17" i="65"/>
  <c r="M17" i="65"/>
  <c r="N17" i="65"/>
  <c r="O17" i="65"/>
  <c r="C17" i="65"/>
  <c r="F227" i="64"/>
  <c r="F222" i="64"/>
  <c r="R132" i="55" l="1"/>
  <c r="E136" i="56" l="1"/>
  <c r="E45" i="56"/>
  <c r="E44" i="56"/>
  <c r="E43" i="56" l="1"/>
  <c r="AF221" i="75"/>
  <c r="AE221" i="75"/>
  <c r="AE223" i="75" s="1"/>
  <c r="AD221" i="75"/>
  <c r="AC221" i="75"/>
  <c r="AB221" i="75"/>
  <c r="AA221" i="75"/>
  <c r="Z221" i="75"/>
  <c r="Y221" i="75"/>
  <c r="X221" i="75"/>
  <c r="W221" i="75"/>
  <c r="V221" i="75"/>
  <c r="U221" i="75"/>
  <c r="T221" i="75"/>
  <c r="S221" i="75"/>
  <c r="R221" i="75"/>
  <c r="Q221" i="75"/>
  <c r="P221" i="75"/>
  <c r="O221" i="75"/>
  <c r="N221" i="75"/>
  <c r="M221" i="75"/>
  <c r="L221" i="75"/>
  <c r="K221" i="75"/>
  <c r="J221" i="75"/>
  <c r="I221" i="75"/>
  <c r="H221" i="75"/>
  <c r="G221" i="75"/>
  <c r="F221" i="75"/>
  <c r="AG217" i="75"/>
  <c r="F220" i="76" s="1"/>
  <c r="AG216" i="75"/>
  <c r="AF215" i="75"/>
  <c r="AE215" i="75"/>
  <c r="AD215" i="75"/>
  <c r="AC215" i="75"/>
  <c r="AB215" i="75"/>
  <c r="AA215" i="75"/>
  <c r="Z215" i="75"/>
  <c r="X215" i="75"/>
  <c r="W215" i="75"/>
  <c r="V215" i="75"/>
  <c r="U215" i="75"/>
  <c r="S215" i="75"/>
  <c r="R215" i="75"/>
  <c r="Q215" i="75"/>
  <c r="P215" i="75"/>
  <c r="O215" i="75"/>
  <c r="N215" i="75"/>
  <c r="M215" i="75"/>
  <c r="L215" i="75"/>
  <c r="K215" i="75"/>
  <c r="J215" i="75"/>
  <c r="I215" i="75"/>
  <c r="H215" i="75"/>
  <c r="G215" i="75"/>
  <c r="F215" i="75"/>
  <c r="AG213" i="75"/>
  <c r="F216" i="76" s="1"/>
  <c r="AF212" i="75"/>
  <c r="AE212" i="75"/>
  <c r="AD212" i="75"/>
  <c r="AC212" i="75"/>
  <c r="AB212" i="75"/>
  <c r="AA212" i="75"/>
  <c r="Z212" i="75"/>
  <c r="Y212" i="75"/>
  <c r="X212" i="75"/>
  <c r="W212" i="75"/>
  <c r="V212" i="75"/>
  <c r="U212" i="75"/>
  <c r="T212" i="75"/>
  <c r="S212" i="75"/>
  <c r="R212" i="75"/>
  <c r="Q212" i="75"/>
  <c r="P212" i="75"/>
  <c r="O212" i="75"/>
  <c r="N212" i="75"/>
  <c r="M212" i="75"/>
  <c r="L212" i="75"/>
  <c r="K212" i="75"/>
  <c r="J212" i="75"/>
  <c r="I212" i="75"/>
  <c r="H212" i="75"/>
  <c r="G212" i="75"/>
  <c r="F212" i="75"/>
  <c r="AG210" i="75"/>
  <c r="F213" i="76" s="1"/>
  <c r="AF209" i="75"/>
  <c r="AE209" i="75"/>
  <c r="AD209" i="75"/>
  <c r="AC209" i="75"/>
  <c r="AB209" i="75"/>
  <c r="AA209" i="75"/>
  <c r="Z209" i="75"/>
  <c r="Y209" i="75"/>
  <c r="X209" i="75"/>
  <c r="W209" i="75"/>
  <c r="V209" i="75"/>
  <c r="U209" i="75"/>
  <c r="T209" i="75"/>
  <c r="S209" i="75"/>
  <c r="R209" i="75"/>
  <c r="Q209" i="75"/>
  <c r="P209" i="75"/>
  <c r="O209" i="75"/>
  <c r="N209" i="75"/>
  <c r="M209" i="75"/>
  <c r="L209" i="75"/>
  <c r="K209" i="75"/>
  <c r="J209" i="75"/>
  <c r="I209" i="75"/>
  <c r="H209" i="75"/>
  <c r="G209" i="75"/>
  <c r="F209" i="75"/>
  <c r="AG207" i="75"/>
  <c r="F210" i="76" s="1"/>
  <c r="AF206" i="75"/>
  <c r="AE206" i="75"/>
  <c r="AD206" i="75"/>
  <c r="AC206" i="75"/>
  <c r="AB206" i="75"/>
  <c r="AA206" i="75"/>
  <c r="Z206" i="75"/>
  <c r="Y206" i="75"/>
  <c r="X206" i="75"/>
  <c r="W206" i="75"/>
  <c r="V206" i="75"/>
  <c r="U206" i="75"/>
  <c r="T206" i="75"/>
  <c r="S206" i="75"/>
  <c r="R206" i="75"/>
  <c r="Q206" i="75"/>
  <c r="P206" i="75"/>
  <c r="O206" i="75"/>
  <c r="N206" i="75"/>
  <c r="M206" i="75"/>
  <c r="L206" i="75"/>
  <c r="K206" i="75"/>
  <c r="J206" i="75"/>
  <c r="I206" i="75"/>
  <c r="H206" i="75"/>
  <c r="G206" i="75"/>
  <c r="F206" i="75"/>
  <c r="AG204" i="75"/>
  <c r="F207" i="76" s="1"/>
  <c r="AF203" i="75"/>
  <c r="AE203" i="75"/>
  <c r="AD203" i="75"/>
  <c r="AC203" i="75"/>
  <c r="AB203" i="75"/>
  <c r="AA203" i="75"/>
  <c r="Z203" i="75"/>
  <c r="Y203" i="75"/>
  <c r="X203" i="75"/>
  <c r="W203" i="75"/>
  <c r="V203" i="75"/>
  <c r="U203" i="75"/>
  <c r="T203" i="75"/>
  <c r="S203" i="75"/>
  <c r="R203" i="75"/>
  <c r="Q203" i="75"/>
  <c r="P203" i="75"/>
  <c r="O203" i="75"/>
  <c r="N203" i="75"/>
  <c r="M203" i="75"/>
  <c r="L203" i="75"/>
  <c r="K203" i="75"/>
  <c r="J203" i="75"/>
  <c r="I203" i="75"/>
  <c r="H203" i="75"/>
  <c r="G203" i="75"/>
  <c r="F203" i="75"/>
  <c r="AG201" i="75"/>
  <c r="F204" i="76" s="1"/>
  <c r="AF200" i="75"/>
  <c r="AE200" i="75"/>
  <c r="AD200" i="75"/>
  <c r="AC200" i="75"/>
  <c r="AB200" i="75"/>
  <c r="AA200" i="75"/>
  <c r="Z200" i="75"/>
  <c r="Y200" i="75"/>
  <c r="X200" i="75"/>
  <c r="W200" i="75"/>
  <c r="V200" i="75"/>
  <c r="U200" i="75"/>
  <c r="T200" i="75"/>
  <c r="S200" i="75"/>
  <c r="R200" i="75"/>
  <c r="Q200" i="75"/>
  <c r="P200" i="75"/>
  <c r="O200" i="75"/>
  <c r="N200" i="75"/>
  <c r="M200" i="75"/>
  <c r="L200" i="75"/>
  <c r="K200" i="75"/>
  <c r="J200" i="75"/>
  <c r="I200" i="75"/>
  <c r="H200" i="75"/>
  <c r="G200" i="75"/>
  <c r="F200" i="75"/>
  <c r="AG198" i="75"/>
  <c r="F201" i="76" s="1"/>
  <c r="AF197" i="75"/>
  <c r="AE197" i="75"/>
  <c r="AD197" i="75"/>
  <c r="AC197" i="75"/>
  <c r="AB197" i="75"/>
  <c r="AA197" i="75"/>
  <c r="Z197" i="75"/>
  <c r="Y197" i="75"/>
  <c r="X197" i="75"/>
  <c r="W197" i="75"/>
  <c r="V197" i="75"/>
  <c r="U197" i="75"/>
  <c r="T197" i="75"/>
  <c r="S197" i="75"/>
  <c r="R197" i="75"/>
  <c r="Q197" i="75"/>
  <c r="P197" i="75"/>
  <c r="O197" i="75"/>
  <c r="N197" i="75"/>
  <c r="M197" i="75"/>
  <c r="L197" i="75"/>
  <c r="K197" i="75"/>
  <c r="J197" i="75"/>
  <c r="I197" i="75"/>
  <c r="H197" i="75"/>
  <c r="G197" i="75"/>
  <c r="F197" i="75"/>
  <c r="AG195" i="75"/>
  <c r="F198" i="76" s="1"/>
  <c r="AG194" i="75"/>
  <c r="F197" i="76" s="1"/>
  <c r="AF193" i="75"/>
  <c r="AE193" i="75"/>
  <c r="AD193" i="75"/>
  <c r="AC193" i="75"/>
  <c r="AB193" i="75"/>
  <c r="AA193" i="75"/>
  <c r="Z193" i="75"/>
  <c r="Y193" i="75"/>
  <c r="X193" i="75"/>
  <c r="W193" i="75"/>
  <c r="V193" i="75"/>
  <c r="U193" i="75"/>
  <c r="T193" i="75"/>
  <c r="S193" i="75"/>
  <c r="R193" i="75"/>
  <c r="Q193" i="75"/>
  <c r="P193" i="75"/>
  <c r="O193" i="75"/>
  <c r="N193" i="75"/>
  <c r="M193" i="75"/>
  <c r="L193" i="75"/>
  <c r="K193" i="75"/>
  <c r="J193" i="75"/>
  <c r="I193" i="75"/>
  <c r="H193" i="75"/>
  <c r="G193" i="75"/>
  <c r="F193" i="75"/>
  <c r="AG191" i="75"/>
  <c r="F194" i="76" s="1"/>
  <c r="AF190" i="75"/>
  <c r="AE190" i="75"/>
  <c r="AD190" i="75"/>
  <c r="AC190" i="75"/>
  <c r="AB190" i="75"/>
  <c r="AA190" i="75"/>
  <c r="Z190" i="75"/>
  <c r="Y190" i="75"/>
  <c r="X190" i="75"/>
  <c r="V190" i="75"/>
  <c r="U190" i="75"/>
  <c r="T190" i="75"/>
  <c r="S190" i="75"/>
  <c r="R190" i="75"/>
  <c r="Q190" i="75"/>
  <c r="P190" i="75"/>
  <c r="O190" i="75"/>
  <c r="N190" i="75"/>
  <c r="M190" i="75"/>
  <c r="L190" i="75"/>
  <c r="K190" i="75"/>
  <c r="J190" i="75"/>
  <c r="I190" i="75"/>
  <c r="H190" i="75"/>
  <c r="G190" i="75"/>
  <c r="F190" i="75"/>
  <c r="AG187" i="75"/>
  <c r="F190" i="76" s="1"/>
  <c r="AG186" i="75"/>
  <c r="F189" i="76" s="1"/>
  <c r="AG185" i="75"/>
  <c r="F188" i="76" s="1"/>
  <c r="AG184" i="75"/>
  <c r="F187" i="76" s="1"/>
  <c r="AF183" i="75"/>
  <c r="AE183" i="75"/>
  <c r="AD183" i="75"/>
  <c r="AC183" i="75"/>
  <c r="AB183" i="75"/>
  <c r="AA183" i="75"/>
  <c r="Z183" i="75"/>
  <c r="Y183" i="75"/>
  <c r="X183" i="75"/>
  <c r="W183" i="75"/>
  <c r="V183" i="75"/>
  <c r="U183" i="75"/>
  <c r="T183" i="75"/>
  <c r="S183" i="75"/>
  <c r="R183" i="75"/>
  <c r="Q183" i="75"/>
  <c r="P183" i="75"/>
  <c r="O183" i="75"/>
  <c r="N183" i="75"/>
  <c r="M183" i="75"/>
  <c r="L183" i="75"/>
  <c r="K183" i="75"/>
  <c r="J183" i="75"/>
  <c r="I183" i="75"/>
  <c r="H183" i="75"/>
  <c r="G183" i="75"/>
  <c r="F183" i="75"/>
  <c r="AG181" i="75"/>
  <c r="F184" i="76" s="1"/>
  <c r="AG180" i="75"/>
  <c r="F183" i="76" s="1"/>
  <c r="AG179" i="75"/>
  <c r="F182" i="76" s="1"/>
  <c r="AG178" i="75"/>
  <c r="F181" i="76" s="1"/>
  <c r="AG177" i="75"/>
  <c r="F180" i="76" s="1"/>
  <c r="AG176" i="75"/>
  <c r="F179" i="76" s="1"/>
  <c r="AG175" i="75"/>
  <c r="F178" i="76" s="1"/>
  <c r="AG174" i="75"/>
  <c r="F177" i="76" s="1"/>
  <c r="AG173" i="75"/>
  <c r="F176" i="76" s="1"/>
  <c r="AF172" i="75"/>
  <c r="AE172" i="75"/>
  <c r="AD172" i="75"/>
  <c r="AC172" i="75"/>
  <c r="AB172" i="75"/>
  <c r="AA172" i="75"/>
  <c r="Z172" i="75"/>
  <c r="Y172" i="75"/>
  <c r="X172" i="75"/>
  <c r="W172" i="75"/>
  <c r="V172" i="75"/>
  <c r="U172" i="75"/>
  <c r="T172" i="75"/>
  <c r="S172" i="75"/>
  <c r="R172" i="75"/>
  <c r="Q172" i="75"/>
  <c r="P172" i="75"/>
  <c r="O172" i="75"/>
  <c r="N172" i="75"/>
  <c r="M172" i="75"/>
  <c r="L172" i="75"/>
  <c r="K172" i="75"/>
  <c r="J172" i="75"/>
  <c r="I172" i="75"/>
  <c r="H172" i="75"/>
  <c r="G172" i="75"/>
  <c r="F172" i="75"/>
  <c r="AG170" i="75"/>
  <c r="F173" i="76" s="1"/>
  <c r="AG169" i="75"/>
  <c r="F172" i="76" s="1"/>
  <c r="AG168" i="75"/>
  <c r="F171" i="76" s="1"/>
  <c r="AG167" i="75"/>
  <c r="F170" i="76" s="1"/>
  <c r="AG166" i="75"/>
  <c r="F169" i="76" s="1"/>
  <c r="AG165" i="75"/>
  <c r="F168" i="76" s="1"/>
  <c r="AF164" i="75"/>
  <c r="AC15" i="77" s="1"/>
  <c r="AE164" i="75"/>
  <c r="AB15" i="77" s="1"/>
  <c r="AD164" i="75"/>
  <c r="AA15" i="77" s="1"/>
  <c r="AC164" i="75"/>
  <c r="Z15" i="77" s="1"/>
  <c r="AB164" i="75"/>
  <c r="Y15" i="77" s="1"/>
  <c r="AA164" i="75"/>
  <c r="X15" i="77" s="1"/>
  <c r="Z164" i="75"/>
  <c r="W15" i="77" s="1"/>
  <c r="Y164" i="75"/>
  <c r="V15" i="77" s="1"/>
  <c r="X164" i="75"/>
  <c r="U15" i="77" s="1"/>
  <c r="W164" i="75"/>
  <c r="T15" i="77" s="1"/>
  <c r="V164" i="75"/>
  <c r="S15" i="77" s="1"/>
  <c r="U164" i="75"/>
  <c r="R15" i="77" s="1"/>
  <c r="T164" i="75"/>
  <c r="Q15" i="77" s="1"/>
  <c r="S164" i="75"/>
  <c r="P15" i="77" s="1"/>
  <c r="R164" i="75"/>
  <c r="O15" i="77" s="1"/>
  <c r="Q164" i="75"/>
  <c r="N15" i="77" s="1"/>
  <c r="P164" i="75"/>
  <c r="M15" i="77" s="1"/>
  <c r="O164" i="75"/>
  <c r="L15" i="77" s="1"/>
  <c r="N164" i="75"/>
  <c r="K15" i="77" s="1"/>
  <c r="M164" i="75"/>
  <c r="J15" i="77" s="1"/>
  <c r="L164" i="75"/>
  <c r="I15" i="77" s="1"/>
  <c r="K164" i="75"/>
  <c r="H15" i="77" s="1"/>
  <c r="J164" i="75"/>
  <c r="G15" i="77" s="1"/>
  <c r="I164" i="75"/>
  <c r="F15" i="77" s="1"/>
  <c r="H164" i="75"/>
  <c r="E15" i="77" s="1"/>
  <c r="G164" i="75"/>
  <c r="D15" i="77" s="1"/>
  <c r="F164" i="75"/>
  <c r="C15" i="77" s="1"/>
  <c r="AG162" i="75"/>
  <c r="F165" i="76" s="1"/>
  <c r="AG161" i="75"/>
  <c r="F164" i="76" s="1"/>
  <c r="AG160" i="75"/>
  <c r="F163" i="76" s="1"/>
  <c r="AG159" i="75"/>
  <c r="F162" i="76" s="1"/>
  <c r="AG158" i="75"/>
  <c r="F161" i="76" s="1"/>
  <c r="AG157" i="75"/>
  <c r="F160" i="76" s="1"/>
  <c r="AG156" i="75"/>
  <c r="F159" i="76" s="1"/>
  <c r="AG155" i="75"/>
  <c r="F158" i="76" s="1"/>
  <c r="AG154" i="75"/>
  <c r="F157" i="76" s="1"/>
  <c r="AG153" i="75"/>
  <c r="F156" i="76" s="1"/>
  <c r="AF152" i="75"/>
  <c r="AE152" i="75"/>
  <c r="AD152" i="75"/>
  <c r="AC152" i="75"/>
  <c r="AB152" i="75"/>
  <c r="AA152" i="75"/>
  <c r="Z152" i="75"/>
  <c r="Y152" i="75"/>
  <c r="X152" i="75"/>
  <c r="W152" i="75"/>
  <c r="V152" i="75"/>
  <c r="U152" i="75"/>
  <c r="T152" i="75"/>
  <c r="S152" i="75"/>
  <c r="R152" i="75"/>
  <c r="Q152" i="75"/>
  <c r="P152" i="75"/>
  <c r="O152" i="75"/>
  <c r="N152" i="75"/>
  <c r="M152" i="75"/>
  <c r="L152" i="75"/>
  <c r="K152" i="75"/>
  <c r="J152" i="75"/>
  <c r="I152" i="75"/>
  <c r="H152" i="75"/>
  <c r="G152" i="75"/>
  <c r="F152" i="75"/>
  <c r="AG150" i="75"/>
  <c r="F153" i="76" s="1"/>
  <c r="AG149" i="75"/>
  <c r="F152" i="76" s="1"/>
  <c r="AG148" i="75"/>
  <c r="F151" i="76" s="1"/>
  <c r="AG147" i="75"/>
  <c r="F150" i="76" s="1"/>
  <c r="AG146" i="75"/>
  <c r="F149" i="76" s="1"/>
  <c r="AG145" i="75"/>
  <c r="F148" i="76" s="1"/>
  <c r="AG144" i="75"/>
  <c r="F147" i="76" s="1"/>
  <c r="AG143" i="75"/>
  <c r="F146" i="76" s="1"/>
  <c r="AF142" i="75"/>
  <c r="AE142" i="75"/>
  <c r="AD142" i="75"/>
  <c r="AC142" i="75"/>
  <c r="AB142" i="75"/>
  <c r="AA142" i="75"/>
  <c r="Z142" i="75"/>
  <c r="Y142" i="75"/>
  <c r="X142" i="75"/>
  <c r="W142" i="75"/>
  <c r="V142" i="75"/>
  <c r="U142" i="75"/>
  <c r="T142" i="75"/>
  <c r="S142" i="75"/>
  <c r="R142" i="75"/>
  <c r="Q142" i="75"/>
  <c r="P142" i="75"/>
  <c r="O142" i="75"/>
  <c r="N142" i="75"/>
  <c r="M142" i="75"/>
  <c r="L142" i="75"/>
  <c r="K142" i="75"/>
  <c r="J142" i="75"/>
  <c r="I142" i="75"/>
  <c r="H142" i="75"/>
  <c r="G142" i="75"/>
  <c r="F142" i="75"/>
  <c r="AG140" i="75"/>
  <c r="F143" i="76" s="1"/>
  <c r="AG139" i="75"/>
  <c r="F142" i="76" s="1"/>
  <c r="AG138" i="75"/>
  <c r="F141" i="76" s="1"/>
  <c r="AG137" i="75"/>
  <c r="F140" i="76" s="1"/>
  <c r="AG136" i="75"/>
  <c r="F139" i="76" s="1"/>
  <c r="AG135" i="75"/>
  <c r="F138" i="76" s="1"/>
  <c r="AG134" i="75"/>
  <c r="F137" i="76" s="1"/>
  <c r="AG133" i="75"/>
  <c r="F136" i="76" s="1"/>
  <c r="AF132" i="75"/>
  <c r="AC13" i="77" s="1"/>
  <c r="AE132" i="75"/>
  <c r="AB13" i="77" s="1"/>
  <c r="AD132" i="75"/>
  <c r="AA13" i="77" s="1"/>
  <c r="AC132" i="75"/>
  <c r="Z13" i="77" s="1"/>
  <c r="AB132" i="75"/>
  <c r="Y13" i="77" s="1"/>
  <c r="AA132" i="75"/>
  <c r="X13" i="77" s="1"/>
  <c r="Z132" i="75"/>
  <c r="W13" i="77" s="1"/>
  <c r="Y132" i="75"/>
  <c r="V13" i="77" s="1"/>
  <c r="X132" i="75"/>
  <c r="U13" i="77" s="1"/>
  <c r="W132" i="75"/>
  <c r="T13" i="77" s="1"/>
  <c r="V132" i="75"/>
  <c r="S13" i="77" s="1"/>
  <c r="U132" i="75"/>
  <c r="R13" i="77" s="1"/>
  <c r="T132" i="75"/>
  <c r="Q13" i="77" s="1"/>
  <c r="S132" i="75"/>
  <c r="P13" i="77" s="1"/>
  <c r="R132" i="75"/>
  <c r="O13" i="77" s="1"/>
  <c r="Q132" i="75"/>
  <c r="N13" i="77" s="1"/>
  <c r="P132" i="75"/>
  <c r="M13" i="77" s="1"/>
  <c r="O132" i="75"/>
  <c r="L13" i="77" s="1"/>
  <c r="N132" i="75"/>
  <c r="K13" i="77" s="1"/>
  <c r="M132" i="75"/>
  <c r="J13" i="77" s="1"/>
  <c r="L132" i="75"/>
  <c r="I13" i="77" s="1"/>
  <c r="K132" i="75"/>
  <c r="H13" i="77" s="1"/>
  <c r="J132" i="75"/>
  <c r="G13" i="77" s="1"/>
  <c r="I132" i="75"/>
  <c r="F13" i="77" s="1"/>
  <c r="H132" i="75"/>
  <c r="E13" i="77" s="1"/>
  <c r="G132" i="75"/>
  <c r="D13" i="77" s="1"/>
  <c r="F132" i="75"/>
  <c r="C13" i="77" s="1"/>
  <c r="AG130" i="75"/>
  <c r="F133" i="76" s="1"/>
  <c r="AG129" i="75"/>
  <c r="F132" i="76" s="1"/>
  <c r="AG128" i="75"/>
  <c r="F131" i="76" s="1"/>
  <c r="AG127" i="75"/>
  <c r="F130" i="76" s="1"/>
  <c r="AG126" i="75"/>
  <c r="F129" i="76" s="1"/>
  <c r="AG125" i="75"/>
  <c r="F128" i="76" s="1"/>
  <c r="AG124" i="75"/>
  <c r="F127" i="76" s="1"/>
  <c r="AG123" i="75"/>
  <c r="F126" i="76" s="1"/>
  <c r="AF122" i="75"/>
  <c r="AC11" i="77" s="1"/>
  <c r="AE122" i="75"/>
  <c r="AB11" i="77" s="1"/>
  <c r="AD122" i="75"/>
  <c r="AA11" i="77" s="1"/>
  <c r="AC122" i="75"/>
  <c r="Z11" i="77" s="1"/>
  <c r="AB122" i="75"/>
  <c r="Y11" i="77" s="1"/>
  <c r="AA122" i="75"/>
  <c r="X11" i="77" s="1"/>
  <c r="Z122" i="75"/>
  <c r="W11" i="77" s="1"/>
  <c r="Y122" i="75"/>
  <c r="V11" i="77" s="1"/>
  <c r="X122" i="75"/>
  <c r="U11" i="77" s="1"/>
  <c r="W122" i="75"/>
  <c r="T11" i="77" s="1"/>
  <c r="V122" i="75"/>
  <c r="S11" i="77" s="1"/>
  <c r="U122" i="75"/>
  <c r="R11" i="77" s="1"/>
  <c r="T122" i="75"/>
  <c r="Q11" i="77" s="1"/>
  <c r="S122" i="75"/>
  <c r="P11" i="77" s="1"/>
  <c r="R122" i="75"/>
  <c r="O11" i="77" s="1"/>
  <c r="Q122" i="75"/>
  <c r="N11" i="77" s="1"/>
  <c r="P122" i="75"/>
  <c r="M11" i="77" s="1"/>
  <c r="O122" i="75"/>
  <c r="L11" i="77" s="1"/>
  <c r="N122" i="75"/>
  <c r="K11" i="77" s="1"/>
  <c r="M122" i="75"/>
  <c r="J11" i="77" s="1"/>
  <c r="L122" i="75"/>
  <c r="I11" i="77" s="1"/>
  <c r="K122" i="75"/>
  <c r="H11" i="77" s="1"/>
  <c r="J122" i="75"/>
  <c r="G11" i="77" s="1"/>
  <c r="I122" i="75"/>
  <c r="F11" i="77" s="1"/>
  <c r="H122" i="75"/>
  <c r="E11" i="77" s="1"/>
  <c r="G122" i="75"/>
  <c r="D11" i="77" s="1"/>
  <c r="F122" i="75"/>
  <c r="C11" i="77" s="1"/>
  <c r="AG117" i="75"/>
  <c r="F120" i="76" s="1"/>
  <c r="AG116" i="75"/>
  <c r="F119" i="76" s="1"/>
  <c r="AG115" i="75"/>
  <c r="F118" i="76" s="1"/>
  <c r="AG114" i="75"/>
  <c r="F117" i="76" s="1"/>
  <c r="AG113" i="75"/>
  <c r="F116" i="76" s="1"/>
  <c r="AG112" i="75"/>
  <c r="F115" i="76" s="1"/>
  <c r="AG111" i="75"/>
  <c r="F114" i="76" s="1"/>
  <c r="AG110" i="75"/>
  <c r="F113" i="76" s="1"/>
  <c r="AG109" i="75"/>
  <c r="F112" i="76" s="1"/>
  <c r="AG108" i="75"/>
  <c r="F111" i="76" s="1"/>
  <c r="AF107" i="75"/>
  <c r="AE107" i="75"/>
  <c r="AD107" i="75"/>
  <c r="AC107" i="75"/>
  <c r="AA107" i="75"/>
  <c r="Z107" i="75"/>
  <c r="Y107" i="75"/>
  <c r="X107" i="75"/>
  <c r="W107" i="75"/>
  <c r="V107" i="75"/>
  <c r="U107" i="75"/>
  <c r="T107" i="75"/>
  <c r="S107" i="75"/>
  <c r="R107" i="75"/>
  <c r="Q107" i="75"/>
  <c r="P107" i="75"/>
  <c r="O107" i="75"/>
  <c r="N107" i="75"/>
  <c r="M107" i="75"/>
  <c r="L107" i="75"/>
  <c r="K107" i="75"/>
  <c r="J107" i="75"/>
  <c r="I107" i="75"/>
  <c r="H107" i="75"/>
  <c r="G107" i="75"/>
  <c r="F107" i="75"/>
  <c r="AG105" i="75"/>
  <c r="F108" i="76" s="1"/>
  <c r="AG104" i="75"/>
  <c r="F107" i="76" s="1"/>
  <c r="AG103" i="75"/>
  <c r="F106" i="76" s="1"/>
  <c r="AG102" i="75"/>
  <c r="F105" i="76" s="1"/>
  <c r="AG101" i="75"/>
  <c r="F104" i="76" s="1"/>
  <c r="AG100" i="75"/>
  <c r="F103" i="76" s="1"/>
  <c r="AG99" i="75"/>
  <c r="F102" i="76" s="1"/>
  <c r="AG98" i="75"/>
  <c r="F101" i="76" s="1"/>
  <c r="AG97" i="75"/>
  <c r="F100" i="76" s="1"/>
  <c r="AF96" i="75"/>
  <c r="AE96" i="75"/>
  <c r="AD96" i="75"/>
  <c r="AC96" i="75"/>
  <c r="AB96" i="75"/>
  <c r="AA96" i="75"/>
  <c r="Z96" i="75"/>
  <c r="Y96" i="75"/>
  <c r="X96" i="75"/>
  <c r="W96" i="75"/>
  <c r="V96" i="75"/>
  <c r="U96" i="75"/>
  <c r="T96" i="75"/>
  <c r="S96" i="75"/>
  <c r="R96" i="75"/>
  <c r="Q96" i="75"/>
  <c r="P96" i="75"/>
  <c r="O96" i="75"/>
  <c r="N96" i="75"/>
  <c r="M96" i="75"/>
  <c r="L96" i="75"/>
  <c r="K96" i="75"/>
  <c r="J96" i="75"/>
  <c r="I96" i="75"/>
  <c r="H96" i="75"/>
  <c r="G96" i="75"/>
  <c r="F96" i="75"/>
  <c r="AG94" i="75"/>
  <c r="F97" i="76" s="1"/>
  <c r="AG93" i="75"/>
  <c r="F96" i="76" s="1"/>
  <c r="AG92" i="75"/>
  <c r="F95" i="76" s="1"/>
  <c r="AG91" i="75"/>
  <c r="F94" i="76" s="1"/>
  <c r="AG90" i="75"/>
  <c r="F93" i="76" s="1"/>
  <c r="AG89" i="75"/>
  <c r="F92" i="76" s="1"/>
  <c r="AG88" i="75"/>
  <c r="F91" i="76" s="1"/>
  <c r="AG87" i="75"/>
  <c r="F90" i="76" s="1"/>
  <c r="AG86" i="75"/>
  <c r="F89" i="76" s="1"/>
  <c r="AF85" i="75"/>
  <c r="AE85" i="75"/>
  <c r="AD85" i="75"/>
  <c r="AC85" i="75"/>
  <c r="AB85" i="75"/>
  <c r="AA85" i="75"/>
  <c r="Z85" i="75"/>
  <c r="Y85" i="75"/>
  <c r="X85" i="75"/>
  <c r="W85" i="75"/>
  <c r="V85" i="75"/>
  <c r="U85" i="75"/>
  <c r="T85" i="75"/>
  <c r="S85" i="75"/>
  <c r="R85" i="75"/>
  <c r="Q85" i="75"/>
  <c r="P85" i="75"/>
  <c r="O85" i="75"/>
  <c r="N85" i="75"/>
  <c r="M85" i="75"/>
  <c r="L85" i="75"/>
  <c r="K85" i="75"/>
  <c r="J85" i="75"/>
  <c r="I85" i="75"/>
  <c r="H85" i="75"/>
  <c r="G85" i="75"/>
  <c r="F85" i="75"/>
  <c r="AG83" i="75"/>
  <c r="F86" i="76" s="1"/>
  <c r="AG82" i="75"/>
  <c r="F85" i="76" s="1"/>
  <c r="AG81" i="75"/>
  <c r="F84" i="76" s="1"/>
  <c r="AG80" i="75"/>
  <c r="F83" i="76" s="1"/>
  <c r="AF79" i="75"/>
  <c r="AE79" i="75"/>
  <c r="AD79" i="75"/>
  <c r="AC79" i="75"/>
  <c r="AB79" i="75"/>
  <c r="AA79" i="75"/>
  <c r="Z79" i="75"/>
  <c r="Y79" i="75"/>
  <c r="X79" i="75"/>
  <c r="W79" i="75"/>
  <c r="V79" i="75"/>
  <c r="U79" i="75"/>
  <c r="T79" i="75"/>
  <c r="S79" i="75"/>
  <c r="R79" i="75"/>
  <c r="Q79" i="75"/>
  <c r="P79" i="75"/>
  <c r="O79" i="75"/>
  <c r="N79" i="75"/>
  <c r="M79" i="75"/>
  <c r="L79" i="75"/>
  <c r="K79" i="75"/>
  <c r="J79" i="75"/>
  <c r="I79" i="75"/>
  <c r="H79" i="75"/>
  <c r="G79" i="75"/>
  <c r="F79" i="75"/>
  <c r="AG77" i="75"/>
  <c r="F80" i="76" s="1"/>
  <c r="AG76" i="75"/>
  <c r="F79" i="76" s="1"/>
  <c r="AG75" i="75"/>
  <c r="F78" i="76" s="1"/>
  <c r="AG74" i="75"/>
  <c r="F77" i="76" s="1"/>
  <c r="AG73" i="75"/>
  <c r="F76" i="76" s="1"/>
  <c r="AG72" i="75"/>
  <c r="F75" i="76" s="1"/>
  <c r="AG71" i="75"/>
  <c r="F74" i="76" s="1"/>
  <c r="AG70" i="75"/>
  <c r="F73" i="76" s="1"/>
  <c r="AG69" i="75"/>
  <c r="F72" i="76" s="1"/>
  <c r="AF68" i="75"/>
  <c r="AD68" i="75"/>
  <c r="AC68" i="75"/>
  <c r="AB68" i="75"/>
  <c r="AA68" i="75"/>
  <c r="Z68" i="75"/>
  <c r="Y68" i="75"/>
  <c r="X68" i="75"/>
  <c r="W68" i="75"/>
  <c r="V68" i="75"/>
  <c r="U68" i="75"/>
  <c r="T68" i="75"/>
  <c r="S68" i="75"/>
  <c r="R68" i="75"/>
  <c r="Q68" i="75"/>
  <c r="P68" i="75"/>
  <c r="O68" i="75"/>
  <c r="N68" i="75"/>
  <c r="M68" i="75"/>
  <c r="L68" i="75"/>
  <c r="K68" i="75"/>
  <c r="J68" i="75"/>
  <c r="I68" i="75"/>
  <c r="H68" i="75"/>
  <c r="G68" i="75"/>
  <c r="F68" i="75"/>
  <c r="AG65" i="75"/>
  <c r="F68" i="76" s="1"/>
  <c r="AG64" i="75"/>
  <c r="F67" i="76" s="1"/>
  <c r="AG63" i="75"/>
  <c r="F66" i="76" s="1"/>
  <c r="AG62" i="75"/>
  <c r="F65" i="76" s="1"/>
  <c r="AF61" i="75"/>
  <c r="AE61" i="75"/>
  <c r="AD61" i="75"/>
  <c r="AC61" i="75"/>
  <c r="AB61" i="75"/>
  <c r="AA61" i="75"/>
  <c r="Z61" i="75"/>
  <c r="Y61" i="75"/>
  <c r="X61" i="75"/>
  <c r="W61" i="75"/>
  <c r="V61" i="75"/>
  <c r="U61" i="75"/>
  <c r="T61" i="75"/>
  <c r="S61" i="75"/>
  <c r="R61" i="75"/>
  <c r="Q61" i="75"/>
  <c r="P61" i="75"/>
  <c r="O61" i="75"/>
  <c r="N61" i="75"/>
  <c r="M61" i="75"/>
  <c r="L61" i="75"/>
  <c r="K61" i="75"/>
  <c r="J61" i="75"/>
  <c r="I61" i="75"/>
  <c r="H61" i="75"/>
  <c r="G61" i="75"/>
  <c r="F61" i="75"/>
  <c r="AG59" i="75"/>
  <c r="F62" i="76" s="1"/>
  <c r="AG58" i="75"/>
  <c r="AG57" i="75"/>
  <c r="F60" i="76" s="1"/>
  <c r="AG56" i="75"/>
  <c r="F59" i="76" s="1"/>
  <c r="AG55" i="75"/>
  <c r="F58" i="76" s="1"/>
  <c r="AG54" i="75"/>
  <c r="F57" i="76" s="1"/>
  <c r="AF53" i="75"/>
  <c r="AE53" i="75"/>
  <c r="AD53" i="75"/>
  <c r="AC53" i="75"/>
  <c r="AB53" i="75"/>
  <c r="AA53" i="75"/>
  <c r="Z53" i="75"/>
  <c r="Y53" i="75"/>
  <c r="X53" i="75"/>
  <c r="W53" i="75"/>
  <c r="V53" i="75"/>
  <c r="U53" i="75"/>
  <c r="T53" i="75"/>
  <c r="S53" i="75"/>
  <c r="R53" i="75"/>
  <c r="Q53" i="75"/>
  <c r="P53" i="75"/>
  <c r="O53" i="75"/>
  <c r="N53" i="75"/>
  <c r="M53" i="75"/>
  <c r="L53" i="75"/>
  <c r="K53" i="75"/>
  <c r="J53" i="75"/>
  <c r="I53" i="75"/>
  <c r="H53" i="75"/>
  <c r="G53" i="75"/>
  <c r="F53" i="75"/>
  <c r="AG51" i="75"/>
  <c r="F54" i="76" s="1"/>
  <c r="AG50" i="75"/>
  <c r="F53" i="76" s="1"/>
  <c r="AG49" i="75"/>
  <c r="F52" i="76" s="1"/>
  <c r="AG48" i="75"/>
  <c r="F51" i="76" s="1"/>
  <c r="AF47" i="75"/>
  <c r="AE47" i="75"/>
  <c r="AD47" i="75"/>
  <c r="AC47" i="75"/>
  <c r="AB47" i="75"/>
  <c r="AA47" i="75"/>
  <c r="Z47" i="75"/>
  <c r="Y47" i="75"/>
  <c r="X47" i="75"/>
  <c r="W47" i="75"/>
  <c r="V47" i="75"/>
  <c r="U47" i="75"/>
  <c r="T47" i="75"/>
  <c r="S47" i="75"/>
  <c r="R47" i="75"/>
  <c r="Q47" i="75"/>
  <c r="P47" i="75"/>
  <c r="O47" i="75"/>
  <c r="N47" i="75"/>
  <c r="M47" i="75"/>
  <c r="L47" i="75"/>
  <c r="K47" i="75"/>
  <c r="J47" i="75"/>
  <c r="I47" i="75"/>
  <c r="H47" i="75"/>
  <c r="G47" i="75"/>
  <c r="AG45" i="75"/>
  <c r="F48" i="76" s="1"/>
  <c r="AG44" i="75"/>
  <c r="F47" i="76" s="1"/>
  <c r="AG43" i="75"/>
  <c r="F46" i="76" s="1"/>
  <c r="AG42" i="75"/>
  <c r="F45" i="76" s="1"/>
  <c r="AG41" i="75"/>
  <c r="F44" i="76" s="1"/>
  <c r="AF40" i="75"/>
  <c r="AE40" i="75"/>
  <c r="AD40" i="75"/>
  <c r="AC40" i="75"/>
  <c r="AB40" i="75"/>
  <c r="AA40" i="75"/>
  <c r="Z40" i="75"/>
  <c r="Y40" i="75"/>
  <c r="X40" i="75"/>
  <c r="W40" i="75"/>
  <c r="V40" i="75"/>
  <c r="U40" i="75"/>
  <c r="T40" i="75"/>
  <c r="S40" i="75"/>
  <c r="R40" i="75"/>
  <c r="Q40" i="75"/>
  <c r="P40" i="75"/>
  <c r="O40" i="75"/>
  <c r="N40" i="75"/>
  <c r="M40" i="75"/>
  <c r="L40" i="75"/>
  <c r="K40" i="75"/>
  <c r="J40" i="75"/>
  <c r="I40" i="75"/>
  <c r="H40" i="75"/>
  <c r="G40" i="75"/>
  <c r="F40" i="75"/>
  <c r="AG38" i="75"/>
  <c r="F41" i="76" s="1"/>
  <c r="AG37" i="75"/>
  <c r="F40" i="76" s="1"/>
  <c r="AG36" i="75"/>
  <c r="F39" i="76" s="1"/>
  <c r="AG35" i="75"/>
  <c r="F38" i="76" s="1"/>
  <c r="AG34" i="75"/>
  <c r="F37" i="76" s="1"/>
  <c r="AG33" i="75"/>
  <c r="F36" i="76" s="1"/>
  <c r="AG32" i="75"/>
  <c r="F35" i="76" s="1"/>
  <c r="AG31" i="75"/>
  <c r="F34" i="76" s="1"/>
  <c r="AF30" i="75"/>
  <c r="AE30" i="75"/>
  <c r="AD30" i="75"/>
  <c r="AC30" i="75"/>
  <c r="AB30" i="75"/>
  <c r="AA30" i="75"/>
  <c r="Z30" i="75"/>
  <c r="Y30" i="75"/>
  <c r="X30" i="75"/>
  <c r="W30" i="75"/>
  <c r="V30" i="75"/>
  <c r="U30" i="75"/>
  <c r="T30" i="75"/>
  <c r="S30" i="75"/>
  <c r="R30" i="75"/>
  <c r="Q30" i="75"/>
  <c r="P30" i="75"/>
  <c r="O30" i="75"/>
  <c r="N30" i="75"/>
  <c r="M30" i="75"/>
  <c r="L30" i="75"/>
  <c r="K30" i="75"/>
  <c r="J30" i="75"/>
  <c r="I30" i="75"/>
  <c r="H30" i="75"/>
  <c r="G30" i="75"/>
  <c r="F30" i="75"/>
  <c r="AG28" i="75"/>
  <c r="F31" i="76" s="1"/>
  <c r="AG27" i="75"/>
  <c r="F30" i="76" s="1"/>
  <c r="AG26" i="75"/>
  <c r="F29" i="76" s="1"/>
  <c r="AG25" i="75"/>
  <c r="F28" i="76" s="1"/>
  <c r="AF24" i="75"/>
  <c r="AE24" i="75"/>
  <c r="AD24" i="75"/>
  <c r="AC24" i="75"/>
  <c r="AB24" i="75"/>
  <c r="AA24" i="75"/>
  <c r="Z24" i="75"/>
  <c r="Y24" i="75"/>
  <c r="X24" i="75"/>
  <c r="W24" i="75"/>
  <c r="V24" i="75"/>
  <c r="U24" i="75"/>
  <c r="T24" i="75"/>
  <c r="S24" i="75"/>
  <c r="R24" i="75"/>
  <c r="Q24" i="75"/>
  <c r="P24" i="75"/>
  <c r="O24" i="75"/>
  <c r="N24" i="75"/>
  <c r="M24" i="75"/>
  <c r="L24" i="75"/>
  <c r="K24" i="75"/>
  <c r="J24" i="75"/>
  <c r="I24" i="75"/>
  <c r="H24" i="75"/>
  <c r="G24" i="75"/>
  <c r="F24" i="75"/>
  <c r="AG22" i="75"/>
  <c r="F25" i="76" s="1"/>
  <c r="AG21" i="75"/>
  <c r="F24" i="76" s="1"/>
  <c r="AG20" i="75"/>
  <c r="F23" i="76" s="1"/>
  <c r="AG19" i="75"/>
  <c r="F22" i="76" s="1"/>
  <c r="AG18" i="75"/>
  <c r="F21" i="76" s="1"/>
  <c r="AG17" i="75"/>
  <c r="F20" i="76" s="1"/>
  <c r="AG16" i="75"/>
  <c r="F19" i="76" s="1"/>
  <c r="AG15" i="75"/>
  <c r="F18" i="76" s="1"/>
  <c r="AF14" i="75"/>
  <c r="AE14" i="75"/>
  <c r="AD14" i="75"/>
  <c r="AC14" i="75"/>
  <c r="AB14" i="75"/>
  <c r="AA14" i="75"/>
  <c r="Z14" i="75"/>
  <c r="Y14" i="75"/>
  <c r="X14" i="75"/>
  <c r="W14" i="75"/>
  <c r="V14" i="75"/>
  <c r="U14" i="75"/>
  <c r="T14" i="75"/>
  <c r="S14" i="75"/>
  <c r="R14" i="75"/>
  <c r="Q14" i="75"/>
  <c r="P14" i="75"/>
  <c r="O14" i="75"/>
  <c r="N14" i="75"/>
  <c r="M14" i="75"/>
  <c r="L14" i="75"/>
  <c r="K14" i="75"/>
  <c r="J14" i="75"/>
  <c r="I14" i="75"/>
  <c r="H14" i="75"/>
  <c r="G14" i="75"/>
  <c r="F14" i="75"/>
  <c r="AG12" i="75"/>
  <c r="F15" i="76" s="1"/>
  <c r="AG11" i="75"/>
  <c r="F14" i="76" s="1"/>
  <c r="AG10" i="75"/>
  <c r="F13" i="76" s="1"/>
  <c r="AG9" i="75"/>
  <c r="F12" i="76" s="1"/>
  <c r="AG8" i="75"/>
  <c r="AG7" i="75"/>
  <c r="F10" i="76" s="1"/>
  <c r="AF6" i="75"/>
  <c r="AE6" i="75"/>
  <c r="AD6" i="75"/>
  <c r="AC6" i="75"/>
  <c r="AB6" i="75"/>
  <c r="AA6" i="75"/>
  <c r="Z6" i="75"/>
  <c r="Y6" i="75"/>
  <c r="X6" i="75"/>
  <c r="W6" i="75"/>
  <c r="V6" i="75"/>
  <c r="U6" i="75"/>
  <c r="T6" i="75"/>
  <c r="S6" i="75"/>
  <c r="R6" i="75"/>
  <c r="Q6" i="75"/>
  <c r="P6" i="75"/>
  <c r="O6" i="75"/>
  <c r="N6" i="75"/>
  <c r="M6" i="75"/>
  <c r="L6" i="75"/>
  <c r="K6" i="75"/>
  <c r="J6" i="75"/>
  <c r="I6" i="75"/>
  <c r="H6" i="75"/>
  <c r="G6" i="75"/>
  <c r="F6" i="75"/>
  <c r="AG2" i="75"/>
  <c r="AF159" i="69"/>
  <c r="AE157" i="69"/>
  <c r="AD157" i="69"/>
  <c r="AC157" i="69"/>
  <c r="AB157" i="69"/>
  <c r="AA157" i="69"/>
  <c r="Z157" i="69"/>
  <c r="Y157" i="69"/>
  <c r="X157" i="69"/>
  <c r="W157" i="69"/>
  <c r="V157" i="69"/>
  <c r="U157" i="69"/>
  <c r="T157" i="69"/>
  <c r="S157" i="69"/>
  <c r="R157" i="69"/>
  <c r="Q157" i="69"/>
  <c r="P157" i="69"/>
  <c r="O157" i="69"/>
  <c r="N157" i="69"/>
  <c r="M157" i="69"/>
  <c r="L157" i="69"/>
  <c r="K157" i="69"/>
  <c r="J157" i="69"/>
  <c r="I157" i="69"/>
  <c r="H157" i="69"/>
  <c r="G157" i="69"/>
  <c r="F157" i="69"/>
  <c r="E157" i="69"/>
  <c r="AF155" i="69"/>
  <c r="AG220" i="75" s="1"/>
  <c r="AF154" i="69"/>
  <c r="E158" i="70" s="1"/>
  <c r="AE153" i="69"/>
  <c r="AD153" i="69"/>
  <c r="AC153" i="69"/>
  <c r="AB153" i="69"/>
  <c r="AA153" i="69"/>
  <c r="Z153" i="69"/>
  <c r="Y153" i="69"/>
  <c r="X153" i="69"/>
  <c r="W153" i="69"/>
  <c r="V153" i="69"/>
  <c r="U153" i="69"/>
  <c r="T153" i="69"/>
  <c r="S153" i="69"/>
  <c r="R153" i="69"/>
  <c r="Q153" i="69"/>
  <c r="P153" i="69"/>
  <c r="O153" i="69"/>
  <c r="N153" i="69"/>
  <c r="M153" i="69"/>
  <c r="L153" i="69"/>
  <c r="K153" i="69"/>
  <c r="J153" i="69"/>
  <c r="I153" i="69"/>
  <c r="H153" i="69"/>
  <c r="G153" i="69"/>
  <c r="F153" i="69"/>
  <c r="E153" i="69"/>
  <c r="AF148" i="69"/>
  <c r="E152" i="70" s="1"/>
  <c r="AF147" i="69"/>
  <c r="E151" i="70" s="1"/>
  <c r="AF146" i="69"/>
  <c r="E150" i="70" s="1"/>
  <c r="AF145" i="69"/>
  <c r="E149" i="70" s="1"/>
  <c r="AF144" i="69"/>
  <c r="E148" i="70" s="1"/>
  <c r="AF143" i="69"/>
  <c r="E147" i="70" s="1"/>
  <c r="AF142" i="69"/>
  <c r="E146" i="70" s="1"/>
  <c r="AF141" i="69"/>
  <c r="E145" i="70" s="1"/>
  <c r="AE140" i="69"/>
  <c r="AD140" i="69"/>
  <c r="AC140" i="69"/>
  <c r="AB140" i="69"/>
  <c r="AA140" i="69"/>
  <c r="Z140" i="69"/>
  <c r="Y140" i="69"/>
  <c r="X140" i="69"/>
  <c r="W140" i="69"/>
  <c r="V140" i="69"/>
  <c r="U140" i="69"/>
  <c r="T140" i="69"/>
  <c r="S140" i="69"/>
  <c r="R140" i="69"/>
  <c r="Q140" i="69"/>
  <c r="P140" i="69"/>
  <c r="O140" i="69"/>
  <c r="N140" i="69"/>
  <c r="M140" i="69"/>
  <c r="L140" i="69"/>
  <c r="K140" i="69"/>
  <c r="J140" i="69"/>
  <c r="I140" i="69"/>
  <c r="H140" i="69"/>
  <c r="G140" i="69"/>
  <c r="F140" i="69"/>
  <c r="E140" i="69"/>
  <c r="AF138" i="69"/>
  <c r="E142" i="70" s="1"/>
  <c r="AF137" i="69"/>
  <c r="E141" i="70" s="1"/>
  <c r="AF136" i="69"/>
  <c r="E140" i="70" s="1"/>
  <c r="AF135" i="69"/>
  <c r="E139" i="70" s="1"/>
  <c r="AF134" i="69"/>
  <c r="E138" i="70" s="1"/>
  <c r="AF133" i="69"/>
  <c r="E137" i="70" s="1"/>
  <c r="AF132" i="69"/>
  <c r="E136" i="70" s="1"/>
  <c r="AE131" i="69"/>
  <c r="AD131" i="69"/>
  <c r="AC131" i="69"/>
  <c r="AB131" i="69"/>
  <c r="AA131" i="69"/>
  <c r="Z131" i="69"/>
  <c r="Y131" i="69"/>
  <c r="X131" i="69"/>
  <c r="W131" i="69"/>
  <c r="V131" i="69"/>
  <c r="U131" i="69"/>
  <c r="T131" i="69"/>
  <c r="S131" i="69"/>
  <c r="R131" i="69"/>
  <c r="Q131" i="69"/>
  <c r="P131" i="69"/>
  <c r="O131" i="69"/>
  <c r="N131" i="69"/>
  <c r="M131" i="69"/>
  <c r="L131" i="69"/>
  <c r="K131" i="69"/>
  <c r="J131" i="69"/>
  <c r="I131" i="69"/>
  <c r="H131" i="69"/>
  <c r="G131" i="69"/>
  <c r="F131" i="69"/>
  <c r="E131" i="69"/>
  <c r="AF129" i="69"/>
  <c r="AE128" i="69"/>
  <c r="AD128" i="69"/>
  <c r="AC128" i="69"/>
  <c r="AB128" i="69"/>
  <c r="AA128" i="69"/>
  <c r="Z128" i="69"/>
  <c r="Y128" i="69"/>
  <c r="X128" i="69"/>
  <c r="W128" i="69"/>
  <c r="V128" i="69"/>
  <c r="U128" i="69"/>
  <c r="T128" i="69"/>
  <c r="S128" i="69"/>
  <c r="R128" i="69"/>
  <c r="Q128" i="69"/>
  <c r="P128" i="69"/>
  <c r="O128" i="69"/>
  <c r="N128" i="69"/>
  <c r="M128" i="69"/>
  <c r="L128" i="69"/>
  <c r="K128" i="69"/>
  <c r="J128" i="69"/>
  <c r="I128" i="69"/>
  <c r="H128" i="69"/>
  <c r="G128" i="69"/>
  <c r="F128" i="69"/>
  <c r="E128" i="69"/>
  <c r="AF126" i="69"/>
  <c r="E130" i="70" s="1"/>
  <c r="AF125" i="69"/>
  <c r="E129" i="70" s="1"/>
  <c r="AF124" i="69"/>
  <c r="E128" i="70" s="1"/>
  <c r="AF123" i="69"/>
  <c r="E127" i="70" s="1"/>
  <c r="AF122" i="69"/>
  <c r="E126" i="70" s="1"/>
  <c r="AE121" i="69"/>
  <c r="AD121" i="69"/>
  <c r="AC121" i="69"/>
  <c r="AB121" i="69"/>
  <c r="AA121" i="69"/>
  <c r="Z121" i="69"/>
  <c r="Y121" i="69"/>
  <c r="X121" i="69"/>
  <c r="W121" i="69"/>
  <c r="V121" i="69"/>
  <c r="U121" i="69"/>
  <c r="T121" i="69"/>
  <c r="S121" i="69"/>
  <c r="R121" i="69"/>
  <c r="Q121" i="69"/>
  <c r="P121" i="69"/>
  <c r="O121" i="69"/>
  <c r="N121" i="69"/>
  <c r="M121" i="69"/>
  <c r="L121" i="69"/>
  <c r="K121" i="69"/>
  <c r="J121" i="69"/>
  <c r="I121" i="69"/>
  <c r="H121" i="69"/>
  <c r="G121" i="69"/>
  <c r="F121" i="69"/>
  <c r="E121" i="69"/>
  <c r="AF119" i="69"/>
  <c r="E123" i="70" s="1"/>
  <c r="AF118" i="69"/>
  <c r="E122" i="70" s="1"/>
  <c r="AE117" i="69"/>
  <c r="AD117" i="69"/>
  <c r="AC117" i="69"/>
  <c r="AB117" i="69"/>
  <c r="AA117" i="69"/>
  <c r="Z117" i="69"/>
  <c r="Y117" i="69"/>
  <c r="X117" i="69"/>
  <c r="W117" i="69"/>
  <c r="V117" i="69"/>
  <c r="U117" i="69"/>
  <c r="T117" i="69"/>
  <c r="S117" i="69"/>
  <c r="R117" i="69"/>
  <c r="Q117" i="69"/>
  <c r="P117" i="69"/>
  <c r="O117" i="69"/>
  <c r="N117" i="69"/>
  <c r="M117" i="69"/>
  <c r="L117" i="69"/>
  <c r="K117" i="69"/>
  <c r="J117" i="69"/>
  <c r="I117" i="69"/>
  <c r="H117" i="69"/>
  <c r="G117" i="69"/>
  <c r="F117" i="69"/>
  <c r="E117" i="69"/>
  <c r="AF115" i="69"/>
  <c r="E119" i="70" s="1"/>
  <c r="AF114" i="69"/>
  <c r="E118" i="70" s="1"/>
  <c r="AF113" i="69"/>
  <c r="E117" i="70" s="1"/>
  <c r="AF112" i="69"/>
  <c r="E116" i="70" s="1"/>
  <c r="AF111" i="69"/>
  <c r="E115" i="70" s="1"/>
  <c r="AF110" i="69"/>
  <c r="E114" i="70" s="1"/>
  <c r="AF109" i="69"/>
  <c r="E113" i="70" s="1"/>
  <c r="AF108" i="69"/>
  <c r="E112" i="70" s="1"/>
  <c r="AF107" i="69"/>
  <c r="E111" i="70" s="1"/>
  <c r="AF106" i="69"/>
  <c r="E110" i="70" s="1"/>
  <c r="AE105" i="69"/>
  <c r="AD105" i="69"/>
  <c r="AC105" i="69"/>
  <c r="AB105" i="69"/>
  <c r="AA105" i="69"/>
  <c r="Z105" i="69"/>
  <c r="Y105" i="69"/>
  <c r="X105" i="69"/>
  <c r="W105" i="69"/>
  <c r="V105" i="69"/>
  <c r="U105" i="69"/>
  <c r="T105" i="69"/>
  <c r="S105" i="69"/>
  <c r="R105" i="69"/>
  <c r="Q105" i="69"/>
  <c r="P105" i="69"/>
  <c r="O105" i="69"/>
  <c r="N105" i="69"/>
  <c r="M105" i="69"/>
  <c r="L105" i="69"/>
  <c r="K105" i="69"/>
  <c r="J105" i="69"/>
  <c r="I105" i="69"/>
  <c r="H105" i="69"/>
  <c r="G105" i="69"/>
  <c r="F105" i="69"/>
  <c r="E105" i="69"/>
  <c r="AF103" i="69"/>
  <c r="E107" i="70" s="1"/>
  <c r="AF102" i="69"/>
  <c r="E106" i="70" s="1"/>
  <c r="AF101" i="69"/>
  <c r="E105" i="70" s="1"/>
  <c r="AF100" i="69"/>
  <c r="E104" i="70" s="1"/>
  <c r="AE99" i="69"/>
  <c r="AD99" i="69"/>
  <c r="AC99" i="69"/>
  <c r="AB99" i="69"/>
  <c r="AA99" i="69"/>
  <c r="Z99" i="69"/>
  <c r="Y99" i="69"/>
  <c r="X99" i="69"/>
  <c r="W99" i="69"/>
  <c r="V99" i="69"/>
  <c r="U99" i="69"/>
  <c r="T99" i="69"/>
  <c r="S99" i="69"/>
  <c r="R99" i="69"/>
  <c r="Q99" i="69"/>
  <c r="P99" i="69"/>
  <c r="O99" i="69"/>
  <c r="N99" i="69"/>
  <c r="M99" i="69"/>
  <c r="L99" i="69"/>
  <c r="K99" i="69"/>
  <c r="J99" i="69"/>
  <c r="I99" i="69"/>
  <c r="H99" i="69"/>
  <c r="G99" i="69"/>
  <c r="F99" i="69"/>
  <c r="E99" i="69"/>
  <c r="AF97" i="69"/>
  <c r="E101" i="70" s="1"/>
  <c r="AF96" i="69"/>
  <c r="E100" i="70" s="1"/>
  <c r="AF95" i="69"/>
  <c r="E99" i="70" s="1"/>
  <c r="AF94" i="69"/>
  <c r="E98" i="70" s="1"/>
  <c r="AF93" i="69"/>
  <c r="E97" i="70" s="1"/>
  <c r="AF92" i="69"/>
  <c r="E96" i="70" s="1"/>
  <c r="AF91" i="69"/>
  <c r="E95" i="70" s="1"/>
  <c r="AF90" i="69"/>
  <c r="E94" i="70" s="1"/>
  <c r="AF89" i="69"/>
  <c r="E93" i="70" s="1"/>
  <c r="AE88" i="69"/>
  <c r="AD88" i="69"/>
  <c r="AC88" i="69"/>
  <c r="AB88" i="69"/>
  <c r="AA88" i="69"/>
  <c r="Z88" i="69"/>
  <c r="Y88" i="69"/>
  <c r="X88" i="69"/>
  <c r="W88" i="69"/>
  <c r="V88" i="69"/>
  <c r="U88" i="69"/>
  <c r="T88" i="69"/>
  <c r="S88" i="69"/>
  <c r="R88" i="69"/>
  <c r="Q88" i="69"/>
  <c r="P88" i="69"/>
  <c r="O88" i="69"/>
  <c r="N88" i="69"/>
  <c r="M88" i="69"/>
  <c r="L88" i="69"/>
  <c r="K88" i="69"/>
  <c r="J88" i="69"/>
  <c r="I88" i="69"/>
  <c r="H88" i="69"/>
  <c r="G88" i="69"/>
  <c r="F88" i="69"/>
  <c r="E88" i="69"/>
  <c r="AF86" i="69"/>
  <c r="E90" i="70" s="1"/>
  <c r="AF85" i="69"/>
  <c r="E89" i="70" s="1"/>
  <c r="AF84" i="69"/>
  <c r="E88" i="70" s="1"/>
  <c r="AF83" i="69"/>
  <c r="E87" i="70" s="1"/>
  <c r="AE82" i="69"/>
  <c r="AD82" i="69"/>
  <c r="AC82" i="69"/>
  <c r="AB82" i="69"/>
  <c r="AA82" i="69"/>
  <c r="Z82" i="69"/>
  <c r="Y82" i="69"/>
  <c r="X82" i="69"/>
  <c r="W82" i="69"/>
  <c r="V82" i="69"/>
  <c r="U82" i="69"/>
  <c r="T82" i="69"/>
  <c r="S82" i="69"/>
  <c r="R82" i="69"/>
  <c r="Q82" i="69"/>
  <c r="P82" i="69"/>
  <c r="O82" i="69"/>
  <c r="N82" i="69"/>
  <c r="M82" i="69"/>
  <c r="L82" i="69"/>
  <c r="K82" i="69"/>
  <c r="J82" i="69"/>
  <c r="I82" i="69"/>
  <c r="H82" i="69"/>
  <c r="G82" i="69"/>
  <c r="F82" i="69"/>
  <c r="E82" i="69"/>
  <c r="AF80" i="69"/>
  <c r="E84" i="70" s="1"/>
  <c r="AF79" i="69"/>
  <c r="E83" i="70" s="1"/>
  <c r="AF78" i="69"/>
  <c r="E82" i="70" s="1"/>
  <c r="AF77" i="69"/>
  <c r="AE76" i="69"/>
  <c r="AD76" i="69"/>
  <c r="AC76" i="69"/>
  <c r="AB76" i="69"/>
  <c r="AA76" i="69"/>
  <c r="Z76" i="69"/>
  <c r="Y76" i="69"/>
  <c r="X76" i="69"/>
  <c r="W76" i="69"/>
  <c r="V76" i="69"/>
  <c r="U76" i="69"/>
  <c r="T76" i="69"/>
  <c r="S76" i="69"/>
  <c r="R76" i="69"/>
  <c r="Q76" i="69"/>
  <c r="P76" i="69"/>
  <c r="O76" i="69"/>
  <c r="N76" i="69"/>
  <c r="M76" i="69"/>
  <c r="L76" i="69"/>
  <c r="K76" i="69"/>
  <c r="J76" i="69"/>
  <c r="I76" i="69"/>
  <c r="H76" i="69"/>
  <c r="G76" i="69"/>
  <c r="F76" i="69"/>
  <c r="E76" i="69"/>
  <c r="AF72" i="69"/>
  <c r="E76" i="70" s="1"/>
  <c r="AF71" i="69"/>
  <c r="E75" i="70" s="1"/>
  <c r="AF70" i="69"/>
  <c r="E74" i="70" s="1"/>
  <c r="AF69" i="69"/>
  <c r="E73" i="70" s="1"/>
  <c r="AF68" i="69"/>
  <c r="E72" i="70" s="1"/>
  <c r="AF67" i="69"/>
  <c r="E71" i="70" s="1"/>
  <c r="AF66" i="69"/>
  <c r="E70" i="70" s="1"/>
  <c r="AF65" i="69"/>
  <c r="E69" i="70" s="1"/>
  <c r="AE64" i="69"/>
  <c r="AD64" i="69"/>
  <c r="AC64" i="69"/>
  <c r="AB64" i="69"/>
  <c r="AA64" i="69"/>
  <c r="Z64" i="69"/>
  <c r="Y64" i="69"/>
  <c r="X64" i="69"/>
  <c r="W64" i="69"/>
  <c r="V64" i="69"/>
  <c r="U64" i="69"/>
  <c r="T64" i="69"/>
  <c r="S64" i="69"/>
  <c r="R64" i="69"/>
  <c r="Q64" i="69"/>
  <c r="P64" i="69"/>
  <c r="O64" i="69"/>
  <c r="N64" i="69"/>
  <c r="M64" i="69"/>
  <c r="L64" i="69"/>
  <c r="K64" i="69"/>
  <c r="J64" i="69"/>
  <c r="I64" i="69"/>
  <c r="H64" i="69"/>
  <c r="G64" i="69"/>
  <c r="F64" i="69"/>
  <c r="E64" i="69"/>
  <c r="AF62" i="69"/>
  <c r="E66" i="70" s="1"/>
  <c r="AF61" i="69"/>
  <c r="E65" i="70" s="1"/>
  <c r="AF60" i="69"/>
  <c r="E64" i="70" s="1"/>
  <c r="AF59" i="69"/>
  <c r="E63" i="70" s="1"/>
  <c r="AF58" i="69"/>
  <c r="E62" i="70" s="1"/>
  <c r="AF57" i="69"/>
  <c r="E61" i="70" s="1"/>
  <c r="AE56" i="69"/>
  <c r="AD56" i="69"/>
  <c r="AC56" i="69"/>
  <c r="AB56" i="69"/>
  <c r="AA56" i="69"/>
  <c r="Z56" i="69"/>
  <c r="Y56" i="69"/>
  <c r="X56" i="69"/>
  <c r="W56" i="69"/>
  <c r="V56" i="69"/>
  <c r="U56" i="69"/>
  <c r="T56" i="69"/>
  <c r="S56" i="69"/>
  <c r="R56" i="69"/>
  <c r="Q56" i="69"/>
  <c r="P56" i="69"/>
  <c r="O56" i="69"/>
  <c r="N56" i="69"/>
  <c r="M56" i="69"/>
  <c r="L56" i="69"/>
  <c r="K56" i="69"/>
  <c r="J56" i="69"/>
  <c r="I56" i="69"/>
  <c r="H56" i="69"/>
  <c r="G56" i="69"/>
  <c r="F56" i="69"/>
  <c r="E56" i="69"/>
  <c r="AF54" i="69"/>
  <c r="AE53" i="69"/>
  <c r="AD53" i="69"/>
  <c r="AC53" i="69"/>
  <c r="AB53" i="69"/>
  <c r="AA53" i="69"/>
  <c r="Z53" i="69"/>
  <c r="Y53" i="69"/>
  <c r="X53" i="69"/>
  <c r="W53" i="69"/>
  <c r="V53" i="69"/>
  <c r="U53" i="69"/>
  <c r="T53" i="69"/>
  <c r="S53" i="69"/>
  <c r="R53" i="69"/>
  <c r="Q53" i="69"/>
  <c r="P53" i="69"/>
  <c r="O53" i="69"/>
  <c r="N53" i="69"/>
  <c r="M53" i="69"/>
  <c r="L53" i="69"/>
  <c r="K53" i="69"/>
  <c r="J53" i="69"/>
  <c r="I53" i="69"/>
  <c r="H53" i="69"/>
  <c r="G53" i="69"/>
  <c r="F53" i="69"/>
  <c r="E53" i="69"/>
  <c r="AF51" i="69"/>
  <c r="E55" i="70" s="1"/>
  <c r="AF50" i="69"/>
  <c r="E54" i="70" s="1"/>
  <c r="AF49" i="69"/>
  <c r="E53" i="70" s="1"/>
  <c r="AF48" i="69"/>
  <c r="E52" i="70" s="1"/>
  <c r="AF47" i="69"/>
  <c r="E51" i="70" s="1"/>
  <c r="AF46" i="69"/>
  <c r="E50" i="70" s="1"/>
  <c r="AF45" i="69"/>
  <c r="E49" i="70" s="1"/>
  <c r="AF44" i="69"/>
  <c r="E48" i="70" s="1"/>
  <c r="AE43" i="69"/>
  <c r="AD43" i="69"/>
  <c r="AC43" i="69"/>
  <c r="AB43" i="69"/>
  <c r="AA43" i="69"/>
  <c r="Z43" i="69"/>
  <c r="Y43" i="69"/>
  <c r="X43" i="69"/>
  <c r="W43" i="69"/>
  <c r="V43" i="69"/>
  <c r="U43" i="69"/>
  <c r="T43" i="69"/>
  <c r="S43" i="69"/>
  <c r="R43" i="69"/>
  <c r="Q43" i="69"/>
  <c r="P43" i="69"/>
  <c r="O43" i="69"/>
  <c r="N43" i="69"/>
  <c r="M43" i="69"/>
  <c r="L43" i="69"/>
  <c r="K43" i="69"/>
  <c r="J43" i="69"/>
  <c r="I43" i="69"/>
  <c r="H43" i="69"/>
  <c r="G43" i="69"/>
  <c r="F43" i="69"/>
  <c r="E43" i="69"/>
  <c r="AF39" i="69"/>
  <c r="AE39" i="69"/>
  <c r="AD39" i="69"/>
  <c r="AC39" i="69"/>
  <c r="AB39" i="69"/>
  <c r="AA39" i="69"/>
  <c r="Z39" i="69"/>
  <c r="Y39" i="69"/>
  <c r="X39" i="69"/>
  <c r="W39" i="69"/>
  <c r="V39" i="69"/>
  <c r="U39" i="69"/>
  <c r="T39" i="69"/>
  <c r="S39" i="69"/>
  <c r="R39" i="69"/>
  <c r="Q39" i="69"/>
  <c r="P39" i="69"/>
  <c r="O39" i="69"/>
  <c r="N39" i="69"/>
  <c r="M39" i="69"/>
  <c r="L39" i="69"/>
  <c r="K39" i="69"/>
  <c r="J39" i="69"/>
  <c r="I39" i="69"/>
  <c r="H39" i="69"/>
  <c r="G39" i="69"/>
  <c r="F39" i="69"/>
  <c r="E39" i="69"/>
  <c r="AF37" i="69"/>
  <c r="E41" i="70" s="1"/>
  <c r="AF36" i="69"/>
  <c r="E40" i="70" s="1"/>
  <c r="AF35" i="69"/>
  <c r="E39" i="70" s="1"/>
  <c r="AF34" i="69"/>
  <c r="E38" i="70" s="1"/>
  <c r="AF33" i="69"/>
  <c r="AF32" i="69"/>
  <c r="E36" i="70" s="1"/>
  <c r="AE31" i="69"/>
  <c r="AD31" i="69"/>
  <c r="AC31" i="69"/>
  <c r="AB31" i="69"/>
  <c r="AA31" i="69"/>
  <c r="Z31" i="69"/>
  <c r="Y31" i="69"/>
  <c r="X31" i="69"/>
  <c r="W31" i="69"/>
  <c r="V31" i="69"/>
  <c r="U31" i="69"/>
  <c r="T31" i="69"/>
  <c r="S31" i="69"/>
  <c r="R31" i="69"/>
  <c r="Q31" i="69"/>
  <c r="P31" i="69"/>
  <c r="O31" i="69"/>
  <c r="N31" i="69"/>
  <c r="M31" i="69"/>
  <c r="L31" i="69"/>
  <c r="K31" i="69"/>
  <c r="J31" i="69"/>
  <c r="I31" i="69"/>
  <c r="H31" i="69"/>
  <c r="G31" i="69"/>
  <c r="F31" i="69"/>
  <c r="E31" i="69"/>
  <c r="AF29" i="69"/>
  <c r="E33" i="70" s="1"/>
  <c r="AF28" i="69"/>
  <c r="E32" i="70" s="1"/>
  <c r="AE27" i="69"/>
  <c r="AD27" i="69"/>
  <c r="AC27" i="69"/>
  <c r="AB27" i="69"/>
  <c r="AA27" i="69"/>
  <c r="Z27" i="69"/>
  <c r="Y27" i="69"/>
  <c r="X27" i="69"/>
  <c r="W27" i="69"/>
  <c r="V27" i="69"/>
  <c r="U27" i="69"/>
  <c r="T27" i="69"/>
  <c r="S27" i="69"/>
  <c r="R27" i="69"/>
  <c r="Q27" i="69"/>
  <c r="P27" i="69"/>
  <c r="O27" i="69"/>
  <c r="N27" i="69"/>
  <c r="M27" i="69"/>
  <c r="L27" i="69"/>
  <c r="K27" i="69"/>
  <c r="J27" i="69"/>
  <c r="I27" i="69"/>
  <c r="H27" i="69"/>
  <c r="G27" i="69"/>
  <c r="F27" i="69"/>
  <c r="E27" i="69"/>
  <c r="AF25" i="69"/>
  <c r="E29" i="70" s="1"/>
  <c r="AF24" i="69"/>
  <c r="E28" i="70" s="1"/>
  <c r="AF23" i="69"/>
  <c r="E27" i="70" s="1"/>
  <c r="AF22" i="69"/>
  <c r="E26" i="70" s="1"/>
  <c r="AF21" i="69"/>
  <c r="E25" i="70" s="1"/>
  <c r="AF20" i="69"/>
  <c r="E24" i="70" s="1"/>
  <c r="AF19" i="69"/>
  <c r="E23" i="70" s="1"/>
  <c r="AF18" i="69"/>
  <c r="E22" i="70" s="1"/>
  <c r="AF17" i="69"/>
  <c r="E21" i="70" s="1"/>
  <c r="AF16" i="69"/>
  <c r="E20" i="70" s="1"/>
  <c r="AE15" i="69"/>
  <c r="AD15" i="69"/>
  <c r="AC15" i="69"/>
  <c r="AB15" i="69"/>
  <c r="AA15" i="69"/>
  <c r="Z15" i="69"/>
  <c r="Y15" i="69"/>
  <c r="X15" i="69"/>
  <c r="W15" i="69"/>
  <c r="V15" i="69"/>
  <c r="U15" i="69"/>
  <c r="T15" i="69"/>
  <c r="S15" i="69"/>
  <c r="R15" i="69"/>
  <c r="Q15" i="69"/>
  <c r="P15" i="69"/>
  <c r="O15" i="69"/>
  <c r="N15" i="69"/>
  <c r="M15" i="69"/>
  <c r="L15" i="69"/>
  <c r="K15" i="69"/>
  <c r="J15" i="69"/>
  <c r="I15" i="69"/>
  <c r="H15" i="69"/>
  <c r="G15" i="69"/>
  <c r="F15" i="69"/>
  <c r="E15" i="69"/>
  <c r="AF13" i="69"/>
  <c r="E17" i="70" s="1"/>
  <c r="AF12" i="69"/>
  <c r="E16" i="70" s="1"/>
  <c r="AF11" i="69"/>
  <c r="E15" i="70" s="1"/>
  <c r="AF10" i="69"/>
  <c r="E14" i="70" s="1"/>
  <c r="AF9" i="69"/>
  <c r="E13" i="70" s="1"/>
  <c r="AF8" i="69"/>
  <c r="E12" i="70" s="1"/>
  <c r="AF7" i="69"/>
  <c r="E11" i="70" s="1"/>
  <c r="AF6" i="69"/>
  <c r="E10" i="70" s="1"/>
  <c r="AE5" i="69"/>
  <c r="AD5" i="69"/>
  <c r="AC5" i="69"/>
  <c r="AB5" i="69"/>
  <c r="AA5" i="69"/>
  <c r="Z5" i="69"/>
  <c r="Y5" i="69"/>
  <c r="X5" i="69"/>
  <c r="W5" i="69"/>
  <c r="V5" i="69"/>
  <c r="U5" i="69"/>
  <c r="T5" i="69"/>
  <c r="S5" i="69"/>
  <c r="R5" i="69"/>
  <c r="Q5" i="69"/>
  <c r="P5" i="69"/>
  <c r="O5" i="69"/>
  <c r="N5" i="69"/>
  <c r="M5" i="69"/>
  <c r="L5" i="69"/>
  <c r="K5" i="69"/>
  <c r="J5" i="69"/>
  <c r="I5" i="69"/>
  <c r="H5" i="69"/>
  <c r="G5" i="69"/>
  <c r="F5" i="69"/>
  <c r="E5" i="69"/>
  <c r="E43" i="70" l="1"/>
  <c r="C12" i="74"/>
  <c r="C13" i="74"/>
  <c r="C11" i="78"/>
  <c r="C15" i="78"/>
  <c r="C13" i="78"/>
  <c r="AE67" i="75"/>
  <c r="C9" i="72"/>
  <c r="AF64" i="69"/>
  <c r="AG221" i="75"/>
  <c r="F224" i="76" s="1"/>
  <c r="F219" i="76"/>
  <c r="F61" i="76"/>
  <c r="F11" i="76"/>
  <c r="C8" i="71"/>
  <c r="E159" i="70"/>
  <c r="E132" i="70"/>
  <c r="AF128" i="69"/>
  <c r="E133" i="70"/>
  <c r="E86" i="70"/>
  <c r="AF76" i="69"/>
  <c r="E80" i="70" s="1"/>
  <c r="E81" i="70"/>
  <c r="E68" i="70"/>
  <c r="E60" i="70"/>
  <c r="AF56" i="69"/>
  <c r="C18" i="73" s="1"/>
  <c r="AF53" i="69"/>
  <c r="E57" i="70" s="1"/>
  <c r="E58" i="70"/>
  <c r="E47" i="70"/>
  <c r="E37" i="70"/>
  <c r="C18" i="74"/>
  <c r="AF131" i="69"/>
  <c r="E135" i="70" s="1"/>
  <c r="AF121" i="69"/>
  <c r="E125" i="70" s="1"/>
  <c r="AF153" i="69"/>
  <c r="C6" i="71" s="1"/>
  <c r="C7" i="71"/>
  <c r="AF117" i="69"/>
  <c r="E121" i="70" s="1"/>
  <c r="AF140" i="69"/>
  <c r="AF105" i="69"/>
  <c r="E109" i="70" s="1"/>
  <c r="AF99" i="69"/>
  <c r="E103" i="70" s="1"/>
  <c r="AF82" i="69"/>
  <c r="AF31" i="69"/>
  <c r="C12" i="73" s="1"/>
  <c r="AF27" i="69"/>
  <c r="E31" i="70" s="1"/>
  <c r="AF5" i="69"/>
  <c r="E9" i="70" s="1"/>
  <c r="AF43" i="69"/>
  <c r="AF15" i="69"/>
  <c r="E19" i="70" s="1"/>
  <c r="AF88" i="69"/>
  <c r="E92" i="70" s="1"/>
  <c r="AF157" i="69"/>
  <c r="E161" i="70" s="1"/>
  <c r="AC67" i="75"/>
  <c r="U4" i="69"/>
  <c r="F164" i="69"/>
  <c r="J164" i="69"/>
  <c r="L164" i="69"/>
  <c r="N164" i="69"/>
  <c r="R164" i="69"/>
  <c r="T164" i="69"/>
  <c r="V164" i="69"/>
  <c r="Z164" i="69"/>
  <c r="AB164" i="69"/>
  <c r="AD164" i="69"/>
  <c r="V75" i="69"/>
  <c r="AF5" i="75"/>
  <c r="AC7" i="77" s="1"/>
  <c r="I67" i="75"/>
  <c r="M67" i="75"/>
  <c r="Q67" i="75"/>
  <c r="U67" i="75"/>
  <c r="Y67" i="75"/>
  <c r="E4" i="69"/>
  <c r="E164" i="69"/>
  <c r="G164" i="69"/>
  <c r="I164" i="69"/>
  <c r="K164" i="69"/>
  <c r="M164" i="69"/>
  <c r="O164" i="69"/>
  <c r="Q164" i="69"/>
  <c r="S164" i="69"/>
  <c r="U164" i="69"/>
  <c r="W164" i="69"/>
  <c r="Y164" i="69"/>
  <c r="AA164" i="69"/>
  <c r="AC164" i="69"/>
  <c r="AE164" i="69"/>
  <c r="S4" i="75"/>
  <c r="J121" i="75"/>
  <c r="G9" i="77" s="1"/>
  <c r="Z121" i="75"/>
  <c r="W9" i="77" s="1"/>
  <c r="AE120" i="75"/>
  <c r="F189" i="75"/>
  <c r="H189" i="75"/>
  <c r="J189" i="75"/>
  <c r="L189" i="75"/>
  <c r="N189" i="75"/>
  <c r="P189" i="75"/>
  <c r="R189" i="75"/>
  <c r="T189" i="75"/>
  <c r="V189" i="75"/>
  <c r="X189" i="75"/>
  <c r="Z189" i="75"/>
  <c r="AB189" i="75"/>
  <c r="AD189" i="75"/>
  <c r="AF189" i="75"/>
  <c r="AG200" i="75"/>
  <c r="F203" i="76" s="1"/>
  <c r="AG212" i="75"/>
  <c r="F215" i="76" s="1"/>
  <c r="G223" i="75"/>
  <c r="I223" i="75"/>
  <c r="K223" i="75"/>
  <c r="M223" i="75"/>
  <c r="O223" i="75"/>
  <c r="Q223" i="75"/>
  <c r="S223" i="75"/>
  <c r="U223" i="75"/>
  <c r="W223" i="75"/>
  <c r="Y223" i="75"/>
  <c r="F75" i="69"/>
  <c r="N75" i="69"/>
  <c r="AD75" i="69"/>
  <c r="H5" i="75"/>
  <c r="E7" i="77" s="1"/>
  <c r="P5" i="75"/>
  <c r="M7" i="77" s="1"/>
  <c r="X5" i="75"/>
  <c r="U7" i="77" s="1"/>
  <c r="K4" i="75"/>
  <c r="AA4" i="75"/>
  <c r="M4" i="69"/>
  <c r="AC4" i="69"/>
  <c r="J75" i="69"/>
  <c r="R75" i="69"/>
  <c r="Z75" i="69"/>
  <c r="G4" i="75"/>
  <c r="I4" i="75"/>
  <c r="M4" i="75"/>
  <c r="O4" i="75"/>
  <c r="Q4" i="75"/>
  <c r="U4" i="75"/>
  <c r="W4" i="75"/>
  <c r="Y4" i="75"/>
  <c r="AC4" i="75"/>
  <c r="AE4" i="75"/>
  <c r="L5" i="75"/>
  <c r="I7" i="77" s="1"/>
  <c r="T5" i="75"/>
  <c r="Q7" i="77" s="1"/>
  <c r="AB5" i="75"/>
  <c r="Y7" i="77" s="1"/>
  <c r="G121" i="75"/>
  <c r="D9" i="77" s="1"/>
  <c r="I121" i="75"/>
  <c r="F9" i="77" s="1"/>
  <c r="K121" i="75"/>
  <c r="H9" i="77" s="1"/>
  <c r="O121" i="75"/>
  <c r="L9" i="77" s="1"/>
  <c r="Q121" i="75"/>
  <c r="N9" i="77" s="1"/>
  <c r="U121" i="75"/>
  <c r="R9" i="77" s="1"/>
  <c r="W121" i="75"/>
  <c r="T9" i="77" s="1"/>
  <c r="Y121" i="75"/>
  <c r="V9" i="77" s="1"/>
  <c r="AC121" i="75"/>
  <c r="Z9" i="77" s="1"/>
  <c r="AE121" i="75"/>
  <c r="AB9" i="77" s="1"/>
  <c r="F121" i="75"/>
  <c r="C9" i="77" s="1"/>
  <c r="N121" i="75"/>
  <c r="K9" i="77" s="1"/>
  <c r="R121" i="75"/>
  <c r="O9" i="77" s="1"/>
  <c r="V121" i="75"/>
  <c r="S9" i="77" s="1"/>
  <c r="AD121" i="75"/>
  <c r="AA9" i="77" s="1"/>
  <c r="AD17" i="77"/>
  <c r="G67" i="75"/>
  <c r="K67" i="75"/>
  <c r="O67" i="75"/>
  <c r="S67" i="75"/>
  <c r="W67" i="75"/>
  <c r="AA67" i="75"/>
  <c r="Q120" i="75"/>
  <c r="G166" i="69"/>
  <c r="I4" i="69"/>
  <c r="K4" i="69"/>
  <c r="O166" i="69"/>
  <c r="Q4" i="69"/>
  <c r="S4" i="69"/>
  <c r="W166" i="69"/>
  <c r="Y4" i="69"/>
  <c r="AA4" i="69"/>
  <c r="AE166" i="69"/>
  <c r="F167" i="69"/>
  <c r="H75" i="69"/>
  <c r="L75" i="69"/>
  <c r="N167" i="69"/>
  <c r="P75" i="69"/>
  <c r="T75" i="69"/>
  <c r="V167" i="69"/>
  <c r="X75" i="69"/>
  <c r="Z167" i="69"/>
  <c r="AB75" i="69"/>
  <c r="AD167" i="69"/>
  <c r="J5" i="75"/>
  <c r="G7" i="77" s="1"/>
  <c r="N5" i="75"/>
  <c r="K7" i="77" s="1"/>
  <c r="R5" i="75"/>
  <c r="O7" i="77" s="1"/>
  <c r="V5" i="75"/>
  <c r="S7" i="77" s="1"/>
  <c r="Z5" i="75"/>
  <c r="W7" i="77" s="1"/>
  <c r="AD5" i="75"/>
  <c r="AA7" i="77" s="1"/>
  <c r="AG68" i="75"/>
  <c r="F71" i="76" s="1"/>
  <c r="H67" i="75"/>
  <c r="J67" i="75"/>
  <c r="L67" i="75"/>
  <c r="N67" i="75"/>
  <c r="P67" i="75"/>
  <c r="R67" i="75"/>
  <c r="T67" i="75"/>
  <c r="V67" i="75"/>
  <c r="X67" i="75"/>
  <c r="Z67" i="75"/>
  <c r="AB67" i="75"/>
  <c r="AD67" i="75"/>
  <c r="AF67" i="75"/>
  <c r="M121" i="75"/>
  <c r="J9" i="77" s="1"/>
  <c r="M120" i="75"/>
  <c r="S121" i="75"/>
  <c r="P9" i="77" s="1"/>
  <c r="S120" i="75"/>
  <c r="AA121" i="75"/>
  <c r="X9" i="77" s="1"/>
  <c r="AA120" i="75"/>
  <c r="AA225" i="75" s="1"/>
  <c r="I120" i="75"/>
  <c r="W120" i="75"/>
  <c r="AG79" i="75"/>
  <c r="F82" i="76" s="1"/>
  <c r="AG85" i="75"/>
  <c r="F88" i="76" s="1"/>
  <c r="AG96" i="75"/>
  <c r="F99" i="76" s="1"/>
  <c r="AG107" i="75"/>
  <c r="F110" i="76" s="1"/>
  <c r="H167" i="69"/>
  <c r="J167" i="69"/>
  <c r="L167" i="69"/>
  <c r="P167" i="69"/>
  <c r="R167" i="69"/>
  <c r="T167" i="69"/>
  <c r="X167" i="69"/>
  <c r="AB167" i="69"/>
  <c r="H164" i="69"/>
  <c r="F5" i="75"/>
  <c r="C7" i="77" s="1"/>
  <c r="G5" i="75"/>
  <c r="D7" i="77" s="1"/>
  <c r="I5" i="75"/>
  <c r="F7" i="77" s="1"/>
  <c r="K5" i="75"/>
  <c r="H7" i="77" s="1"/>
  <c r="M5" i="75"/>
  <c r="O5" i="75"/>
  <c r="L7" i="77" s="1"/>
  <c r="Q5" i="75"/>
  <c r="N7" i="77" s="1"/>
  <c r="S5" i="75"/>
  <c r="P7" i="77" s="1"/>
  <c r="U5" i="75"/>
  <c r="R7" i="77" s="1"/>
  <c r="W5" i="75"/>
  <c r="T7" i="77" s="1"/>
  <c r="Y5" i="75"/>
  <c r="V7" i="77" s="1"/>
  <c r="AA5" i="75"/>
  <c r="X7" i="77" s="1"/>
  <c r="AC5" i="75"/>
  <c r="Z7" i="77" s="1"/>
  <c r="AE5" i="75"/>
  <c r="AB7" i="77" s="1"/>
  <c r="AG14" i="75"/>
  <c r="F17" i="76" s="1"/>
  <c r="H4" i="75"/>
  <c r="J4" i="75"/>
  <c r="L4" i="75"/>
  <c r="N4" i="75"/>
  <c r="P4" i="75"/>
  <c r="F7" i="76" s="1"/>
  <c r="R4" i="75"/>
  <c r="T4" i="75"/>
  <c r="V4" i="75"/>
  <c r="X4" i="75"/>
  <c r="Z4" i="75"/>
  <c r="AB4" i="75"/>
  <c r="AD4" i="75"/>
  <c r="AF4" i="75"/>
  <c r="AG24" i="75"/>
  <c r="F27" i="76" s="1"/>
  <c r="AG30" i="75"/>
  <c r="F33" i="76" s="1"/>
  <c r="AG40" i="75"/>
  <c r="F43" i="76" s="1"/>
  <c r="AG47" i="75"/>
  <c r="F50" i="76" s="1"/>
  <c r="AG53" i="75"/>
  <c r="F56" i="76" s="1"/>
  <c r="AG61" i="75"/>
  <c r="F64" i="76" s="1"/>
  <c r="G120" i="75"/>
  <c r="K120" i="75"/>
  <c r="O120" i="75"/>
  <c r="P164" i="69"/>
  <c r="X164" i="69"/>
  <c r="AG132" i="75"/>
  <c r="F135" i="76" s="1"/>
  <c r="H121" i="75"/>
  <c r="E9" i="77" s="1"/>
  <c r="J120" i="75"/>
  <c r="L121" i="75"/>
  <c r="I9" i="77" s="1"/>
  <c r="N120" i="75"/>
  <c r="P121" i="75"/>
  <c r="M9" i="77" s="1"/>
  <c r="R120" i="75"/>
  <c r="T120" i="75"/>
  <c r="V120" i="75"/>
  <c r="X120" i="75"/>
  <c r="Z120" i="75"/>
  <c r="AB120" i="75"/>
  <c r="AD120" i="75"/>
  <c r="AF120" i="75"/>
  <c r="AG142" i="75"/>
  <c r="F145" i="76" s="1"/>
  <c r="AG152" i="75"/>
  <c r="F155" i="76" s="1"/>
  <c r="AG164" i="75"/>
  <c r="F167" i="76" s="1"/>
  <c r="AG172" i="75"/>
  <c r="F175" i="76" s="1"/>
  <c r="AG183" i="75"/>
  <c r="F186" i="76" s="1"/>
  <c r="G189" i="75"/>
  <c r="I189" i="75"/>
  <c r="K189" i="75"/>
  <c r="M189" i="75"/>
  <c r="O189" i="75"/>
  <c r="Q189" i="75"/>
  <c r="S189" i="75"/>
  <c r="U189" i="75"/>
  <c r="W189" i="75"/>
  <c r="AA189" i="75"/>
  <c r="AC189" i="75"/>
  <c r="AE189" i="75"/>
  <c r="AG206" i="75"/>
  <c r="F209" i="76" s="1"/>
  <c r="AA223" i="75"/>
  <c r="AC223" i="75"/>
  <c r="AG6" i="75"/>
  <c r="F9" i="76" s="1"/>
  <c r="AG122" i="75"/>
  <c r="F125" i="76" s="1"/>
  <c r="Y189" i="75"/>
  <c r="AG193" i="75"/>
  <c r="F196" i="76" s="1"/>
  <c r="F4" i="75"/>
  <c r="F67" i="75"/>
  <c r="F120" i="75"/>
  <c r="H120" i="75"/>
  <c r="L120" i="75"/>
  <c r="P120" i="75"/>
  <c r="U120" i="75"/>
  <c r="Y120" i="75"/>
  <c r="AC120" i="75"/>
  <c r="T121" i="75"/>
  <c r="Q9" i="77" s="1"/>
  <c r="X121" i="75"/>
  <c r="U9" i="77" s="1"/>
  <c r="AB121" i="75"/>
  <c r="Y9" i="77" s="1"/>
  <c r="AF121" i="75"/>
  <c r="AC9" i="77" s="1"/>
  <c r="AG190" i="75"/>
  <c r="F193" i="76" s="1"/>
  <c r="AG197" i="75"/>
  <c r="F200" i="76" s="1"/>
  <c r="AG203" i="75"/>
  <c r="F206" i="76" s="1"/>
  <c r="AG209" i="75"/>
  <c r="F212" i="76" s="1"/>
  <c r="AG215" i="75"/>
  <c r="F218" i="76" s="1"/>
  <c r="F223" i="75"/>
  <c r="H223" i="75"/>
  <c r="J223" i="75"/>
  <c r="L223" i="75"/>
  <c r="N223" i="75"/>
  <c r="P223" i="75"/>
  <c r="R223" i="75"/>
  <c r="T223" i="75"/>
  <c r="V223" i="75"/>
  <c r="X223" i="75"/>
  <c r="Z223" i="75"/>
  <c r="AB223" i="75"/>
  <c r="AD223" i="75"/>
  <c r="AF223" i="75"/>
  <c r="F166" i="69"/>
  <c r="F4" i="69"/>
  <c r="H166" i="69"/>
  <c r="H4" i="69"/>
  <c r="J166" i="69"/>
  <c r="J4" i="69"/>
  <c r="L166" i="69"/>
  <c r="L4" i="69"/>
  <c r="N166" i="69"/>
  <c r="N4" i="69"/>
  <c r="P166" i="69"/>
  <c r="P4" i="69"/>
  <c r="R166" i="69"/>
  <c r="R4" i="69"/>
  <c r="T166" i="69"/>
  <c r="T4" i="69"/>
  <c r="V166" i="69"/>
  <c r="V4" i="69"/>
  <c r="X166" i="69"/>
  <c r="X4" i="69"/>
  <c r="Z166" i="69"/>
  <c r="Z4" i="69"/>
  <c r="AB166" i="69"/>
  <c r="AB4" i="69"/>
  <c r="AD166" i="69"/>
  <c r="AD4" i="69"/>
  <c r="K166" i="69"/>
  <c r="S166" i="69"/>
  <c r="AA166" i="69"/>
  <c r="G4" i="69"/>
  <c r="O4" i="69"/>
  <c r="W4" i="69"/>
  <c r="AE4" i="69"/>
  <c r="E166" i="69"/>
  <c r="I166" i="69"/>
  <c r="M166" i="69"/>
  <c r="Q166" i="69"/>
  <c r="U166" i="69"/>
  <c r="Y166" i="69"/>
  <c r="AC166" i="69"/>
  <c r="E167" i="69"/>
  <c r="E75" i="69"/>
  <c r="G167" i="69"/>
  <c r="G75" i="69"/>
  <c r="I167" i="69"/>
  <c r="I75" i="69"/>
  <c r="K167" i="69"/>
  <c r="K75" i="69"/>
  <c r="M167" i="69"/>
  <c r="M75" i="69"/>
  <c r="O167" i="69"/>
  <c r="O75" i="69"/>
  <c r="Q167" i="69"/>
  <c r="Q75" i="69"/>
  <c r="S167" i="69"/>
  <c r="S75" i="69"/>
  <c r="U167" i="69"/>
  <c r="U75" i="69"/>
  <c r="W167" i="69"/>
  <c r="W75" i="69"/>
  <c r="Y167" i="69"/>
  <c r="Y75" i="69"/>
  <c r="AA167" i="69"/>
  <c r="AA75" i="69"/>
  <c r="AC167" i="69"/>
  <c r="AC75" i="69"/>
  <c r="AE167" i="69"/>
  <c r="AE75" i="69"/>
  <c r="R178" i="67"/>
  <c r="Q177" i="67"/>
  <c r="P177" i="67"/>
  <c r="O177" i="67"/>
  <c r="N177" i="67"/>
  <c r="M177" i="67"/>
  <c r="L177" i="67"/>
  <c r="K177" i="67"/>
  <c r="J177" i="67"/>
  <c r="I177" i="67"/>
  <c r="H177" i="67"/>
  <c r="G177" i="67"/>
  <c r="F177" i="67"/>
  <c r="E177" i="67"/>
  <c r="R175" i="67"/>
  <c r="E178" i="68" s="1"/>
  <c r="R174" i="67"/>
  <c r="E177" i="68" s="1"/>
  <c r="R173" i="67"/>
  <c r="E176" i="68" s="1"/>
  <c r="R172" i="67"/>
  <c r="E175" i="68" s="1"/>
  <c r="R171" i="67"/>
  <c r="E174" i="68" s="1"/>
  <c r="R170" i="67"/>
  <c r="E173" i="68" s="1"/>
  <c r="R169" i="67"/>
  <c r="E172" i="68" s="1"/>
  <c r="Q168" i="67"/>
  <c r="P168" i="67"/>
  <c r="O168" i="67"/>
  <c r="N168" i="67"/>
  <c r="M168" i="67"/>
  <c r="L168" i="67"/>
  <c r="K168" i="67"/>
  <c r="J168" i="67"/>
  <c r="I168" i="67"/>
  <c r="H168" i="67"/>
  <c r="G168" i="67"/>
  <c r="F168" i="67"/>
  <c r="E168" i="67"/>
  <c r="R166" i="67"/>
  <c r="E169" i="68" s="1"/>
  <c r="R165" i="67"/>
  <c r="E168" i="68" s="1"/>
  <c r="R164" i="67"/>
  <c r="E167" i="68" s="1"/>
  <c r="R163" i="67"/>
  <c r="E166" i="68" s="1"/>
  <c r="R162" i="67"/>
  <c r="E165" i="68" s="1"/>
  <c r="R161" i="67"/>
  <c r="E164" i="68" s="1"/>
  <c r="R160" i="67"/>
  <c r="E163" i="68" s="1"/>
  <c r="R159" i="67"/>
  <c r="E162" i="68" s="1"/>
  <c r="R158" i="67"/>
  <c r="E161" i="68" s="1"/>
  <c r="Q157" i="67"/>
  <c r="P157" i="67"/>
  <c r="O157" i="67"/>
  <c r="N157" i="67"/>
  <c r="M157" i="67"/>
  <c r="L157" i="67"/>
  <c r="K157" i="67"/>
  <c r="J157" i="67"/>
  <c r="I157" i="67"/>
  <c r="H157" i="67"/>
  <c r="G157" i="67"/>
  <c r="F157" i="67"/>
  <c r="E157" i="67"/>
  <c r="R155" i="67"/>
  <c r="E158" i="68" s="1"/>
  <c r="R154" i="67"/>
  <c r="E157" i="68" s="1"/>
  <c r="R153" i="67"/>
  <c r="E156" i="68" s="1"/>
  <c r="R152" i="67"/>
  <c r="E155" i="68" s="1"/>
  <c r="R151" i="67"/>
  <c r="E154" i="68" s="1"/>
  <c r="R150" i="67"/>
  <c r="E153" i="68" s="1"/>
  <c r="R149" i="67"/>
  <c r="E152" i="68" s="1"/>
  <c r="R148" i="67"/>
  <c r="E151" i="68" s="1"/>
  <c r="R147" i="67"/>
  <c r="E150" i="68" s="1"/>
  <c r="Q146" i="67"/>
  <c r="P146" i="67"/>
  <c r="O146" i="67"/>
  <c r="N146" i="67"/>
  <c r="M146" i="67"/>
  <c r="L146" i="67"/>
  <c r="K146" i="67"/>
  <c r="J146" i="67"/>
  <c r="I146" i="67"/>
  <c r="H146" i="67"/>
  <c r="G146" i="67"/>
  <c r="F146" i="67"/>
  <c r="E146" i="67"/>
  <c r="R144" i="67"/>
  <c r="E147" i="68" s="1"/>
  <c r="R143" i="67"/>
  <c r="E146" i="68" s="1"/>
  <c r="R142" i="67"/>
  <c r="E145" i="68" s="1"/>
  <c r="R141" i="67"/>
  <c r="E144" i="68" s="1"/>
  <c r="R140" i="67"/>
  <c r="E143" i="68" s="1"/>
  <c r="R139" i="67"/>
  <c r="E142" i="68" s="1"/>
  <c r="R138" i="67"/>
  <c r="E141" i="68" s="1"/>
  <c r="R137" i="67"/>
  <c r="E140" i="68" s="1"/>
  <c r="R136" i="67"/>
  <c r="E139" i="68" s="1"/>
  <c r="Q135" i="67"/>
  <c r="P135" i="67"/>
  <c r="O135" i="67"/>
  <c r="N135" i="67"/>
  <c r="M135" i="67"/>
  <c r="L135" i="67"/>
  <c r="K135" i="67"/>
  <c r="J135" i="67"/>
  <c r="I135" i="67"/>
  <c r="H135" i="67"/>
  <c r="G135" i="67"/>
  <c r="F135" i="67"/>
  <c r="E135" i="67"/>
  <c r="R133" i="67"/>
  <c r="E136" i="68" s="1"/>
  <c r="R132" i="67"/>
  <c r="E135" i="68" s="1"/>
  <c r="R131" i="67"/>
  <c r="E134" i="68" s="1"/>
  <c r="R130" i="67"/>
  <c r="E133" i="68" s="1"/>
  <c r="R129" i="67"/>
  <c r="E132" i="68" s="1"/>
  <c r="R128" i="67"/>
  <c r="E131" i="68" s="1"/>
  <c r="R127" i="67"/>
  <c r="E130" i="68" s="1"/>
  <c r="R126" i="67"/>
  <c r="E129" i="68" s="1"/>
  <c r="R125" i="67"/>
  <c r="E128" i="68" s="1"/>
  <c r="Q124" i="67"/>
  <c r="P124" i="67"/>
  <c r="O124" i="67"/>
  <c r="N124" i="67"/>
  <c r="M124" i="67"/>
  <c r="L124" i="67"/>
  <c r="K124" i="67"/>
  <c r="J124" i="67"/>
  <c r="I124" i="67"/>
  <c r="H124" i="67"/>
  <c r="G124" i="67"/>
  <c r="F124" i="67"/>
  <c r="E124" i="67"/>
  <c r="R122" i="67"/>
  <c r="E125" i="68" s="1"/>
  <c r="R121" i="67"/>
  <c r="E124" i="68" s="1"/>
  <c r="R120" i="67"/>
  <c r="E123" i="68" s="1"/>
  <c r="R119" i="67"/>
  <c r="E122" i="68" s="1"/>
  <c r="R118" i="67"/>
  <c r="E121" i="68" s="1"/>
  <c r="R117" i="67"/>
  <c r="E120" i="68" s="1"/>
  <c r="R116" i="67"/>
  <c r="E119" i="68" s="1"/>
  <c r="R115" i="67"/>
  <c r="E118" i="68" s="1"/>
  <c r="R114" i="67"/>
  <c r="Q113" i="67"/>
  <c r="P113" i="67"/>
  <c r="O113" i="67"/>
  <c r="N113" i="67"/>
  <c r="M113" i="67"/>
  <c r="L113" i="67"/>
  <c r="K113" i="67"/>
  <c r="J113" i="67"/>
  <c r="I113" i="67"/>
  <c r="H113" i="67"/>
  <c r="G113" i="67"/>
  <c r="F113" i="67"/>
  <c r="E113" i="67"/>
  <c r="R111" i="67"/>
  <c r="E114" i="68" s="1"/>
  <c r="R110" i="67"/>
  <c r="E113" i="68" s="1"/>
  <c r="R109" i="67"/>
  <c r="Q108" i="67"/>
  <c r="P108" i="67"/>
  <c r="O108" i="67"/>
  <c r="N108" i="67"/>
  <c r="M108" i="67"/>
  <c r="L108" i="67"/>
  <c r="K108" i="67"/>
  <c r="J108" i="67"/>
  <c r="I108" i="67"/>
  <c r="H108" i="67"/>
  <c r="G108" i="67"/>
  <c r="F108" i="67"/>
  <c r="E108" i="67"/>
  <c r="R106" i="67"/>
  <c r="E109" i="68" s="1"/>
  <c r="R105" i="67"/>
  <c r="E108" i="68" s="1"/>
  <c r="R104" i="67"/>
  <c r="E107" i="68" s="1"/>
  <c r="R103" i="67"/>
  <c r="E106" i="68" s="1"/>
  <c r="R102" i="67"/>
  <c r="E105" i="68" s="1"/>
  <c r="R101" i="67"/>
  <c r="E104" i="68" s="1"/>
  <c r="R100" i="67"/>
  <c r="E103" i="68" s="1"/>
  <c r="R99" i="67"/>
  <c r="E102" i="68" s="1"/>
  <c r="Q98" i="67"/>
  <c r="P98" i="67"/>
  <c r="O98" i="67"/>
  <c r="N98" i="67"/>
  <c r="M98" i="67"/>
  <c r="L98" i="67"/>
  <c r="K98" i="67"/>
  <c r="J98" i="67"/>
  <c r="I98" i="67"/>
  <c r="H98" i="67"/>
  <c r="G98" i="67"/>
  <c r="F98" i="67"/>
  <c r="E98" i="67"/>
  <c r="R96" i="67"/>
  <c r="E99" i="68" s="1"/>
  <c r="R95" i="67"/>
  <c r="E98" i="68" s="1"/>
  <c r="R94" i="67"/>
  <c r="E97" i="68" s="1"/>
  <c r="R93" i="67"/>
  <c r="E96" i="68" s="1"/>
  <c r="R92" i="67"/>
  <c r="E95" i="68" s="1"/>
  <c r="R91" i="67"/>
  <c r="E94" i="68" s="1"/>
  <c r="R90" i="67"/>
  <c r="E93" i="68" s="1"/>
  <c r="R89" i="67"/>
  <c r="Q88" i="67"/>
  <c r="P88" i="67"/>
  <c r="O88" i="67"/>
  <c r="N88" i="67"/>
  <c r="M88" i="67"/>
  <c r="L88" i="67"/>
  <c r="K88" i="67"/>
  <c r="J88" i="67"/>
  <c r="I88" i="67"/>
  <c r="H88" i="67"/>
  <c r="G88" i="67"/>
  <c r="F88" i="67"/>
  <c r="E88" i="67"/>
  <c r="R83" i="67"/>
  <c r="Q82" i="67"/>
  <c r="P82" i="67"/>
  <c r="O82" i="67"/>
  <c r="N82" i="67"/>
  <c r="M82" i="67"/>
  <c r="L82" i="67"/>
  <c r="K82" i="67"/>
  <c r="J82" i="67"/>
  <c r="I82" i="67"/>
  <c r="H82" i="67"/>
  <c r="G82" i="67"/>
  <c r="F82" i="67"/>
  <c r="E82" i="67"/>
  <c r="R80" i="67"/>
  <c r="E83" i="68" s="1"/>
  <c r="R79" i="67"/>
  <c r="E82" i="68" s="1"/>
  <c r="R78" i="67"/>
  <c r="E81" i="68" s="1"/>
  <c r="R77" i="67"/>
  <c r="E80" i="68" s="1"/>
  <c r="R76" i="67"/>
  <c r="E79" i="68" s="1"/>
  <c r="R75" i="67"/>
  <c r="E78" i="68" s="1"/>
  <c r="Q74" i="67"/>
  <c r="P74" i="67"/>
  <c r="O74" i="67"/>
  <c r="N74" i="67"/>
  <c r="M74" i="67"/>
  <c r="L74" i="67"/>
  <c r="K74" i="67"/>
  <c r="J74" i="67"/>
  <c r="I74" i="67"/>
  <c r="H74" i="67"/>
  <c r="G74" i="67"/>
  <c r="F74" i="67"/>
  <c r="E74" i="67"/>
  <c r="R72" i="67"/>
  <c r="E75" i="68" s="1"/>
  <c r="R71" i="67"/>
  <c r="E74" i="68" s="1"/>
  <c r="R70" i="67"/>
  <c r="E73" i="68" s="1"/>
  <c r="R69" i="67"/>
  <c r="E72" i="68" s="1"/>
  <c r="R68" i="67"/>
  <c r="E71" i="68" s="1"/>
  <c r="R67" i="67"/>
  <c r="E70" i="68" s="1"/>
  <c r="R66" i="67"/>
  <c r="E69" i="68" s="1"/>
  <c r="R65" i="67"/>
  <c r="E68" i="68" s="1"/>
  <c r="R64" i="67"/>
  <c r="E67" i="68" s="1"/>
  <c r="Q63" i="67"/>
  <c r="P63" i="67"/>
  <c r="O63" i="67"/>
  <c r="N63" i="67"/>
  <c r="M63" i="67"/>
  <c r="L63" i="67"/>
  <c r="K63" i="67"/>
  <c r="J63" i="67"/>
  <c r="I63" i="67"/>
  <c r="H63" i="67"/>
  <c r="G63" i="67"/>
  <c r="F63" i="67"/>
  <c r="E63" i="67"/>
  <c r="R61" i="67"/>
  <c r="E64" i="68" s="1"/>
  <c r="R60" i="67"/>
  <c r="E63" i="68" s="1"/>
  <c r="R59" i="67"/>
  <c r="E62" i="68" s="1"/>
  <c r="R58" i="67"/>
  <c r="E61" i="68" s="1"/>
  <c r="R57" i="67"/>
  <c r="E60" i="68" s="1"/>
  <c r="R56" i="67"/>
  <c r="E59" i="68" s="1"/>
  <c r="R55" i="67"/>
  <c r="E58" i="68" s="1"/>
  <c r="R54" i="67"/>
  <c r="E57" i="68" s="1"/>
  <c r="R53" i="67"/>
  <c r="E56" i="68" s="1"/>
  <c r="Q52" i="67"/>
  <c r="P52" i="67"/>
  <c r="O52" i="67"/>
  <c r="N52" i="67"/>
  <c r="M52" i="67"/>
  <c r="L52" i="67"/>
  <c r="K52" i="67"/>
  <c r="J52" i="67"/>
  <c r="I52" i="67"/>
  <c r="H52" i="67"/>
  <c r="G52" i="67"/>
  <c r="F52" i="67"/>
  <c r="E52" i="67"/>
  <c r="R50" i="67"/>
  <c r="E53" i="68" s="1"/>
  <c r="R49" i="67"/>
  <c r="E52" i="68" s="1"/>
  <c r="R48" i="67"/>
  <c r="E51" i="68" s="1"/>
  <c r="R47" i="67"/>
  <c r="E50" i="68" s="1"/>
  <c r="R46" i="67"/>
  <c r="E49" i="68" s="1"/>
  <c r="R45" i="67"/>
  <c r="E48" i="68" s="1"/>
  <c r="R44" i="67"/>
  <c r="E47" i="68" s="1"/>
  <c r="R43" i="67"/>
  <c r="E46" i="68" s="1"/>
  <c r="R42" i="67"/>
  <c r="Q41" i="67"/>
  <c r="P41" i="67"/>
  <c r="O41" i="67"/>
  <c r="N41" i="67"/>
  <c r="M41" i="67"/>
  <c r="L41" i="67"/>
  <c r="K41" i="67"/>
  <c r="J41" i="67"/>
  <c r="I41" i="67"/>
  <c r="H41" i="67"/>
  <c r="G41" i="67"/>
  <c r="F41" i="67"/>
  <c r="E41" i="67"/>
  <c r="R39" i="67"/>
  <c r="E42" i="68" s="1"/>
  <c r="R38" i="67"/>
  <c r="E41" i="68" s="1"/>
  <c r="R37" i="67"/>
  <c r="E40" i="68" s="1"/>
  <c r="R36" i="67"/>
  <c r="E39" i="68" s="1"/>
  <c r="R35" i="67"/>
  <c r="E38" i="68" s="1"/>
  <c r="R34" i="67"/>
  <c r="E37" i="68" s="1"/>
  <c r="R33" i="67"/>
  <c r="E36" i="68" s="1"/>
  <c r="R32" i="67"/>
  <c r="E35" i="68" s="1"/>
  <c r="R31" i="67"/>
  <c r="Q30" i="67"/>
  <c r="P30" i="67"/>
  <c r="O30" i="67"/>
  <c r="N30" i="67"/>
  <c r="M30" i="67"/>
  <c r="L30" i="67"/>
  <c r="K30" i="67"/>
  <c r="J30" i="67"/>
  <c r="I30" i="67"/>
  <c r="H30" i="67"/>
  <c r="G30" i="67"/>
  <c r="F30" i="67"/>
  <c r="E30" i="67"/>
  <c r="R28" i="67"/>
  <c r="E31" i="68" s="1"/>
  <c r="R27" i="67"/>
  <c r="E30" i="68" s="1"/>
  <c r="R26" i="67"/>
  <c r="E29" i="68" s="1"/>
  <c r="Q25" i="67"/>
  <c r="P25" i="67"/>
  <c r="O25" i="67"/>
  <c r="N25" i="67"/>
  <c r="M25" i="67"/>
  <c r="L25" i="67"/>
  <c r="K25" i="67"/>
  <c r="J25" i="67"/>
  <c r="I25" i="67"/>
  <c r="H25" i="67"/>
  <c r="G25" i="67"/>
  <c r="F25" i="67"/>
  <c r="E25" i="67"/>
  <c r="R23" i="67"/>
  <c r="E26" i="68" s="1"/>
  <c r="R22" i="67"/>
  <c r="E25" i="68" s="1"/>
  <c r="R21" i="67"/>
  <c r="E24" i="68" s="1"/>
  <c r="R20" i="67"/>
  <c r="E23" i="68" s="1"/>
  <c r="R19" i="67"/>
  <c r="E22" i="68" s="1"/>
  <c r="R18" i="67"/>
  <c r="E21" i="68" s="1"/>
  <c r="R17" i="67"/>
  <c r="E20" i="68" s="1"/>
  <c r="R16" i="67"/>
  <c r="E19" i="68" s="1"/>
  <c r="Q15" i="67"/>
  <c r="P15" i="67"/>
  <c r="O15" i="67"/>
  <c r="N15" i="67"/>
  <c r="M15" i="67"/>
  <c r="L15" i="67"/>
  <c r="K15" i="67"/>
  <c r="J15" i="67"/>
  <c r="I15" i="67"/>
  <c r="H15" i="67"/>
  <c r="G15" i="67"/>
  <c r="F15" i="67"/>
  <c r="E15" i="67"/>
  <c r="R13" i="67"/>
  <c r="E16" i="68" s="1"/>
  <c r="R12" i="67"/>
  <c r="E15" i="68" s="1"/>
  <c r="R11" i="67"/>
  <c r="E14" i="68" s="1"/>
  <c r="R10" i="67"/>
  <c r="E13" i="68" s="1"/>
  <c r="R9" i="67"/>
  <c r="E12" i="68" s="1"/>
  <c r="R8" i="67"/>
  <c r="E11" i="68" s="1"/>
  <c r="R7" i="67"/>
  <c r="E10" i="68" s="1"/>
  <c r="R6" i="67"/>
  <c r="E9" i="68" s="1"/>
  <c r="Q5" i="67"/>
  <c r="P5" i="67"/>
  <c r="O5" i="67"/>
  <c r="N5" i="67"/>
  <c r="M5" i="67"/>
  <c r="L5" i="67"/>
  <c r="K5" i="67"/>
  <c r="J5" i="67"/>
  <c r="I5" i="67"/>
  <c r="H5" i="67"/>
  <c r="G5" i="67"/>
  <c r="F5" i="67"/>
  <c r="E5" i="67"/>
  <c r="Q2" i="67"/>
  <c r="P2" i="67"/>
  <c r="O2" i="67"/>
  <c r="N2" i="67"/>
  <c r="M2" i="67"/>
  <c r="L2" i="67"/>
  <c r="K2" i="67"/>
  <c r="J2" i="67"/>
  <c r="I2" i="67"/>
  <c r="H2" i="67"/>
  <c r="G2" i="67"/>
  <c r="F2" i="67"/>
  <c r="E2" i="67"/>
  <c r="G220" i="63"/>
  <c r="H220" i="63"/>
  <c r="I220" i="63"/>
  <c r="J220" i="63"/>
  <c r="K220" i="63"/>
  <c r="L220" i="63"/>
  <c r="M220" i="63"/>
  <c r="N220" i="63"/>
  <c r="O220" i="63"/>
  <c r="P220" i="63"/>
  <c r="Q220" i="63"/>
  <c r="R220" i="63"/>
  <c r="F220" i="63"/>
  <c r="R221" i="63"/>
  <c r="Q221" i="63"/>
  <c r="P221" i="63"/>
  <c r="O221" i="63"/>
  <c r="N221" i="63"/>
  <c r="M221" i="63"/>
  <c r="L221" i="63"/>
  <c r="K221" i="63"/>
  <c r="J221" i="63"/>
  <c r="I221" i="63"/>
  <c r="H221" i="63"/>
  <c r="G221" i="63"/>
  <c r="F221" i="63"/>
  <c r="S217" i="63"/>
  <c r="F220" i="64" s="1"/>
  <c r="S216" i="63"/>
  <c r="R215" i="63"/>
  <c r="Q215" i="63"/>
  <c r="P215" i="63"/>
  <c r="O215" i="63"/>
  <c r="N215" i="63"/>
  <c r="M215" i="63"/>
  <c r="L215" i="63"/>
  <c r="K215" i="63"/>
  <c r="J215" i="63"/>
  <c r="I215" i="63"/>
  <c r="H215" i="63"/>
  <c r="G215" i="63"/>
  <c r="F215" i="63"/>
  <c r="S213" i="63"/>
  <c r="F216" i="64" s="1"/>
  <c r="R212" i="63"/>
  <c r="Q212" i="63"/>
  <c r="P212" i="63"/>
  <c r="O212" i="63"/>
  <c r="N212" i="63"/>
  <c r="M212" i="63"/>
  <c r="L212" i="63"/>
  <c r="K212" i="63"/>
  <c r="J212" i="63"/>
  <c r="I212" i="63"/>
  <c r="H212" i="63"/>
  <c r="G212" i="63"/>
  <c r="F212" i="63"/>
  <c r="S210" i="63"/>
  <c r="F213" i="64" s="1"/>
  <c r="R209" i="63"/>
  <c r="Q209" i="63"/>
  <c r="P209" i="63"/>
  <c r="O209" i="63"/>
  <c r="N209" i="63"/>
  <c r="M209" i="63"/>
  <c r="L209" i="63"/>
  <c r="K209" i="63"/>
  <c r="J209" i="63"/>
  <c r="I209" i="63"/>
  <c r="H209" i="63"/>
  <c r="G209" i="63"/>
  <c r="F209" i="63"/>
  <c r="S207" i="63"/>
  <c r="F210" i="64" s="1"/>
  <c r="R206" i="63"/>
  <c r="Q206" i="63"/>
  <c r="P206" i="63"/>
  <c r="O206" i="63"/>
  <c r="N206" i="63"/>
  <c r="M206" i="63"/>
  <c r="L206" i="63"/>
  <c r="K206" i="63"/>
  <c r="J206" i="63"/>
  <c r="I206" i="63"/>
  <c r="H206" i="63"/>
  <c r="G206" i="63"/>
  <c r="F206" i="63"/>
  <c r="S204" i="63"/>
  <c r="F207" i="64" s="1"/>
  <c r="R203" i="63"/>
  <c r="Q203" i="63"/>
  <c r="P203" i="63"/>
  <c r="O203" i="63"/>
  <c r="N203" i="63"/>
  <c r="M203" i="63"/>
  <c r="L203" i="63"/>
  <c r="K203" i="63"/>
  <c r="J203" i="63"/>
  <c r="I203" i="63"/>
  <c r="H203" i="63"/>
  <c r="G203" i="63"/>
  <c r="F203" i="63"/>
  <c r="S201" i="63"/>
  <c r="F204" i="64" s="1"/>
  <c r="R200" i="63"/>
  <c r="Q200" i="63"/>
  <c r="P200" i="63"/>
  <c r="O200" i="63"/>
  <c r="N200" i="63"/>
  <c r="M200" i="63"/>
  <c r="L200" i="63"/>
  <c r="K200" i="63"/>
  <c r="J200" i="63"/>
  <c r="I200" i="63"/>
  <c r="H200" i="63"/>
  <c r="G200" i="63"/>
  <c r="F200" i="63"/>
  <c r="S198" i="63"/>
  <c r="F201" i="64" s="1"/>
  <c r="R197" i="63"/>
  <c r="Q197" i="63"/>
  <c r="P197" i="63"/>
  <c r="O197" i="63"/>
  <c r="N197" i="63"/>
  <c r="M197" i="63"/>
  <c r="L197" i="63"/>
  <c r="K197" i="63"/>
  <c r="J197" i="63"/>
  <c r="I197" i="63"/>
  <c r="H197" i="63"/>
  <c r="G197" i="63"/>
  <c r="F197" i="63"/>
  <c r="S195" i="63"/>
  <c r="F198" i="64" s="1"/>
  <c r="S194" i="63"/>
  <c r="F197" i="64" s="1"/>
  <c r="R193" i="63"/>
  <c r="Q193" i="63"/>
  <c r="P193" i="63"/>
  <c r="O193" i="63"/>
  <c r="N193" i="63"/>
  <c r="M193" i="63"/>
  <c r="L193" i="63"/>
  <c r="K193" i="63"/>
  <c r="J193" i="63"/>
  <c r="I193" i="63"/>
  <c r="H193" i="63"/>
  <c r="G193" i="63"/>
  <c r="F193" i="63"/>
  <c r="S191" i="63"/>
  <c r="F194" i="64" s="1"/>
  <c r="R190" i="63"/>
  <c r="Q190" i="63"/>
  <c r="P190" i="63"/>
  <c r="O190" i="63"/>
  <c r="N190" i="63"/>
  <c r="M190" i="63"/>
  <c r="L190" i="63"/>
  <c r="K190" i="63"/>
  <c r="J190" i="63"/>
  <c r="I190" i="63"/>
  <c r="H190" i="63"/>
  <c r="G190" i="63"/>
  <c r="F190" i="63"/>
  <c r="S187" i="63"/>
  <c r="F190" i="64" s="1"/>
  <c r="S186" i="63"/>
  <c r="F189" i="64" s="1"/>
  <c r="S185" i="63"/>
  <c r="F188" i="64" s="1"/>
  <c r="S184" i="63"/>
  <c r="F187" i="64" s="1"/>
  <c r="R183" i="63"/>
  <c r="Q183" i="63"/>
  <c r="P183" i="63"/>
  <c r="O183" i="63"/>
  <c r="N183" i="63"/>
  <c r="M183" i="63"/>
  <c r="L183" i="63"/>
  <c r="K183" i="63"/>
  <c r="J183" i="63"/>
  <c r="I183" i="63"/>
  <c r="H183" i="63"/>
  <c r="G183" i="63"/>
  <c r="F183" i="63"/>
  <c r="S181" i="63"/>
  <c r="F184" i="64" s="1"/>
  <c r="S180" i="63"/>
  <c r="F183" i="64" s="1"/>
  <c r="S179" i="63"/>
  <c r="F182" i="64" s="1"/>
  <c r="S178" i="63"/>
  <c r="F181" i="64" s="1"/>
  <c r="S177" i="63"/>
  <c r="F180" i="64" s="1"/>
  <c r="S176" i="63"/>
  <c r="F179" i="64" s="1"/>
  <c r="S175" i="63"/>
  <c r="F178" i="64" s="1"/>
  <c r="S174" i="63"/>
  <c r="F177" i="64" s="1"/>
  <c r="S173" i="63"/>
  <c r="F176" i="64" s="1"/>
  <c r="R172" i="63"/>
  <c r="Q172" i="63"/>
  <c r="P172" i="63"/>
  <c r="O172" i="63"/>
  <c r="N172" i="63"/>
  <c r="M172" i="63"/>
  <c r="L172" i="63"/>
  <c r="K172" i="63"/>
  <c r="J172" i="63"/>
  <c r="I172" i="63"/>
  <c r="H172" i="63"/>
  <c r="G172" i="63"/>
  <c r="F172" i="63"/>
  <c r="S170" i="63"/>
  <c r="F173" i="64" s="1"/>
  <c r="S169" i="63"/>
  <c r="F172" i="64" s="1"/>
  <c r="S168" i="63"/>
  <c r="F171" i="64" s="1"/>
  <c r="S167" i="63"/>
  <c r="F170" i="64" s="1"/>
  <c r="S166" i="63"/>
  <c r="F169" i="64" s="1"/>
  <c r="S165" i="63"/>
  <c r="F168" i="64" s="1"/>
  <c r="R164" i="63"/>
  <c r="O15" i="65" s="1"/>
  <c r="Q164" i="63"/>
  <c r="N15" i="65" s="1"/>
  <c r="P164" i="63"/>
  <c r="M15" i="65" s="1"/>
  <c r="O164" i="63"/>
  <c r="L15" i="65" s="1"/>
  <c r="N164" i="63"/>
  <c r="K15" i="65" s="1"/>
  <c r="M164" i="63"/>
  <c r="J15" i="65" s="1"/>
  <c r="L164" i="63"/>
  <c r="I15" i="65" s="1"/>
  <c r="K164" i="63"/>
  <c r="H15" i="65" s="1"/>
  <c r="J164" i="63"/>
  <c r="G15" i="65" s="1"/>
  <c r="I164" i="63"/>
  <c r="F15" i="65" s="1"/>
  <c r="H164" i="63"/>
  <c r="E15" i="65" s="1"/>
  <c r="G164" i="63"/>
  <c r="D15" i="65" s="1"/>
  <c r="F164" i="63"/>
  <c r="C15" i="65" s="1"/>
  <c r="S162" i="63"/>
  <c r="F165" i="64" s="1"/>
  <c r="S161" i="63"/>
  <c r="F164" i="64" s="1"/>
  <c r="S160" i="63"/>
  <c r="F163" i="64" s="1"/>
  <c r="S159" i="63"/>
  <c r="F162" i="64" s="1"/>
  <c r="S158" i="63"/>
  <c r="F161" i="64" s="1"/>
  <c r="S157" i="63"/>
  <c r="F160" i="64" s="1"/>
  <c r="S156" i="63"/>
  <c r="F159" i="64" s="1"/>
  <c r="S155" i="63"/>
  <c r="F158" i="64" s="1"/>
  <c r="S154" i="63"/>
  <c r="F157" i="64" s="1"/>
  <c r="S153" i="63"/>
  <c r="F156" i="64" s="1"/>
  <c r="R152" i="63"/>
  <c r="Q152" i="63"/>
  <c r="P152" i="63"/>
  <c r="O152" i="63"/>
  <c r="N152" i="63"/>
  <c r="M152" i="63"/>
  <c r="L152" i="63"/>
  <c r="K152" i="63"/>
  <c r="J152" i="63"/>
  <c r="I152" i="63"/>
  <c r="H152" i="63"/>
  <c r="G152" i="63"/>
  <c r="F152" i="63"/>
  <c r="S150" i="63"/>
  <c r="F153" i="64" s="1"/>
  <c r="S149" i="63"/>
  <c r="F152" i="64" s="1"/>
  <c r="S148" i="63"/>
  <c r="F151" i="64" s="1"/>
  <c r="S147" i="63"/>
  <c r="F150" i="64" s="1"/>
  <c r="S146" i="63"/>
  <c r="F149" i="64" s="1"/>
  <c r="S145" i="63"/>
  <c r="F148" i="64" s="1"/>
  <c r="S144" i="63"/>
  <c r="F147" i="64" s="1"/>
  <c r="S143" i="63"/>
  <c r="F146" i="64" s="1"/>
  <c r="R142" i="63"/>
  <c r="Q142" i="63"/>
  <c r="P142" i="63"/>
  <c r="O142" i="63"/>
  <c r="N142" i="63"/>
  <c r="M142" i="63"/>
  <c r="L142" i="63"/>
  <c r="K142" i="63"/>
  <c r="J142" i="63"/>
  <c r="H142" i="63"/>
  <c r="G142" i="63"/>
  <c r="F142" i="63"/>
  <c r="S140" i="63"/>
  <c r="F143" i="64" s="1"/>
  <c r="S139" i="63"/>
  <c r="F142" i="64" s="1"/>
  <c r="S138" i="63"/>
  <c r="F141" i="64" s="1"/>
  <c r="S137" i="63"/>
  <c r="F140" i="64" s="1"/>
  <c r="S136" i="63"/>
  <c r="F139" i="64" s="1"/>
  <c r="S135" i="63"/>
  <c r="F138" i="64" s="1"/>
  <c r="S134" i="63"/>
  <c r="F137" i="64" s="1"/>
  <c r="S133" i="63"/>
  <c r="F136" i="64" s="1"/>
  <c r="R132" i="63"/>
  <c r="O13" i="65" s="1"/>
  <c r="Q132" i="63"/>
  <c r="N13" i="65" s="1"/>
  <c r="P132" i="63"/>
  <c r="M13" i="65" s="1"/>
  <c r="O132" i="63"/>
  <c r="L13" i="65" s="1"/>
  <c r="N132" i="63"/>
  <c r="K13" i="65" s="1"/>
  <c r="M132" i="63"/>
  <c r="J13" i="65" s="1"/>
  <c r="L132" i="63"/>
  <c r="I13" i="65" s="1"/>
  <c r="K132" i="63"/>
  <c r="H13" i="65" s="1"/>
  <c r="J132" i="63"/>
  <c r="G13" i="65" s="1"/>
  <c r="I132" i="63"/>
  <c r="F13" i="65" s="1"/>
  <c r="H132" i="63"/>
  <c r="E13" i="65" s="1"/>
  <c r="G132" i="63"/>
  <c r="D13" i="65" s="1"/>
  <c r="F132" i="63"/>
  <c r="C13" i="65" s="1"/>
  <c r="S130" i="63"/>
  <c r="F133" i="64" s="1"/>
  <c r="S129" i="63"/>
  <c r="F132" i="64" s="1"/>
  <c r="S128" i="63"/>
  <c r="F131" i="64" s="1"/>
  <c r="S127" i="63"/>
  <c r="F130" i="64" s="1"/>
  <c r="S126" i="63"/>
  <c r="F129" i="64" s="1"/>
  <c r="S125" i="63"/>
  <c r="F128" i="64" s="1"/>
  <c r="S124" i="63"/>
  <c r="F127" i="64" s="1"/>
  <c r="S123" i="63"/>
  <c r="F126" i="64" s="1"/>
  <c r="R122" i="63"/>
  <c r="O11" i="65" s="1"/>
  <c r="Q122" i="63"/>
  <c r="N11" i="65" s="1"/>
  <c r="P122" i="63"/>
  <c r="M11" i="65" s="1"/>
  <c r="O122" i="63"/>
  <c r="L11" i="65" s="1"/>
  <c r="N122" i="63"/>
  <c r="K11" i="65" s="1"/>
  <c r="M122" i="63"/>
  <c r="J11" i="65" s="1"/>
  <c r="L122" i="63"/>
  <c r="I11" i="65" s="1"/>
  <c r="K122" i="63"/>
  <c r="H11" i="65" s="1"/>
  <c r="J122" i="63"/>
  <c r="G11" i="65" s="1"/>
  <c r="I122" i="63"/>
  <c r="F11" i="65" s="1"/>
  <c r="H122" i="63"/>
  <c r="E11" i="65" s="1"/>
  <c r="G122" i="63"/>
  <c r="D11" i="65" s="1"/>
  <c r="F122" i="63"/>
  <c r="C11" i="65" s="1"/>
  <c r="S117" i="63"/>
  <c r="F120" i="64" s="1"/>
  <c r="S116" i="63"/>
  <c r="F119" i="64" s="1"/>
  <c r="S115" i="63"/>
  <c r="F118" i="64" s="1"/>
  <c r="S114" i="63"/>
  <c r="F117" i="64" s="1"/>
  <c r="S113" i="63"/>
  <c r="F116" i="64" s="1"/>
  <c r="S112" i="63"/>
  <c r="F115" i="64" s="1"/>
  <c r="S111" i="63"/>
  <c r="F114" i="64" s="1"/>
  <c r="S110" i="63"/>
  <c r="F113" i="64" s="1"/>
  <c r="S109" i="63"/>
  <c r="F112" i="64" s="1"/>
  <c r="S108" i="63"/>
  <c r="F111" i="64" s="1"/>
  <c r="R107" i="63"/>
  <c r="Q107" i="63"/>
  <c r="P107" i="63"/>
  <c r="O107" i="63"/>
  <c r="N107" i="63"/>
  <c r="M107" i="63"/>
  <c r="L107" i="63"/>
  <c r="K107" i="63"/>
  <c r="J107" i="63"/>
  <c r="I107" i="63"/>
  <c r="H107" i="63"/>
  <c r="G107" i="63"/>
  <c r="F107" i="63"/>
  <c r="S105" i="63"/>
  <c r="F108" i="64" s="1"/>
  <c r="S104" i="63"/>
  <c r="F107" i="64" s="1"/>
  <c r="S103" i="63"/>
  <c r="F106" i="64" s="1"/>
  <c r="S102" i="63"/>
  <c r="F105" i="64" s="1"/>
  <c r="S101" i="63"/>
  <c r="F104" i="64" s="1"/>
  <c r="S100" i="63"/>
  <c r="F103" i="64" s="1"/>
  <c r="S99" i="63"/>
  <c r="F102" i="64" s="1"/>
  <c r="S98" i="63"/>
  <c r="F101" i="64" s="1"/>
  <c r="S97" i="63"/>
  <c r="F100" i="64" s="1"/>
  <c r="R96" i="63"/>
  <c r="Q96" i="63"/>
  <c r="P96" i="63"/>
  <c r="O96" i="63"/>
  <c r="N96" i="63"/>
  <c r="M96" i="63"/>
  <c r="L96" i="63"/>
  <c r="K96" i="63"/>
  <c r="J96" i="63"/>
  <c r="I96" i="63"/>
  <c r="H96" i="63"/>
  <c r="G96" i="63"/>
  <c r="F96" i="63"/>
  <c r="S94" i="63"/>
  <c r="F97" i="64" s="1"/>
  <c r="S93" i="63"/>
  <c r="F96" i="64" s="1"/>
  <c r="S92" i="63"/>
  <c r="F95" i="64" s="1"/>
  <c r="S91" i="63"/>
  <c r="F94" i="64" s="1"/>
  <c r="S90" i="63"/>
  <c r="F93" i="64" s="1"/>
  <c r="S89" i="63"/>
  <c r="F92" i="64" s="1"/>
  <c r="S88" i="63"/>
  <c r="F91" i="64" s="1"/>
  <c r="S87" i="63"/>
  <c r="F90" i="64" s="1"/>
  <c r="S86" i="63"/>
  <c r="R85" i="63"/>
  <c r="Q85" i="63"/>
  <c r="P85" i="63"/>
  <c r="O85" i="63"/>
  <c r="N85" i="63"/>
  <c r="M85" i="63"/>
  <c r="L85" i="63"/>
  <c r="K85" i="63"/>
  <c r="J85" i="63"/>
  <c r="I85" i="63"/>
  <c r="H85" i="63"/>
  <c r="G85" i="63"/>
  <c r="F85" i="63"/>
  <c r="S83" i="63"/>
  <c r="F86" i="64" s="1"/>
  <c r="S82" i="63"/>
  <c r="F85" i="64" s="1"/>
  <c r="S81" i="63"/>
  <c r="F84" i="64" s="1"/>
  <c r="S80" i="63"/>
  <c r="F83" i="64" s="1"/>
  <c r="R79" i="63"/>
  <c r="Q79" i="63"/>
  <c r="P79" i="63"/>
  <c r="O79" i="63"/>
  <c r="N79" i="63"/>
  <c r="M79" i="63"/>
  <c r="L79" i="63"/>
  <c r="K79" i="63"/>
  <c r="J79" i="63"/>
  <c r="I79" i="63"/>
  <c r="H79" i="63"/>
  <c r="G79" i="63"/>
  <c r="F79" i="63"/>
  <c r="S77" i="63"/>
  <c r="F80" i="64" s="1"/>
  <c r="S76" i="63"/>
  <c r="F79" i="64" s="1"/>
  <c r="S75" i="63"/>
  <c r="F78" i="64" s="1"/>
  <c r="S74" i="63"/>
  <c r="F77" i="64" s="1"/>
  <c r="S73" i="63"/>
  <c r="F76" i="64" s="1"/>
  <c r="S72" i="63"/>
  <c r="F75" i="64" s="1"/>
  <c r="S71" i="63"/>
  <c r="F74" i="64" s="1"/>
  <c r="S70" i="63"/>
  <c r="F73" i="64" s="1"/>
  <c r="S69" i="63"/>
  <c r="F72" i="64" s="1"/>
  <c r="R68" i="63"/>
  <c r="Q68" i="63"/>
  <c r="P68" i="63"/>
  <c r="O68" i="63"/>
  <c r="N68" i="63"/>
  <c r="M68" i="63"/>
  <c r="L68" i="63"/>
  <c r="K68" i="63"/>
  <c r="J68" i="63"/>
  <c r="I68" i="63"/>
  <c r="H68" i="63"/>
  <c r="G68" i="63"/>
  <c r="F68" i="63"/>
  <c r="S65" i="63"/>
  <c r="F68" i="64" s="1"/>
  <c r="S64" i="63"/>
  <c r="F67" i="64" s="1"/>
  <c r="S63" i="63"/>
  <c r="F66" i="64" s="1"/>
  <c r="S62" i="63"/>
  <c r="F65" i="64" s="1"/>
  <c r="R61" i="63"/>
  <c r="Q61" i="63"/>
  <c r="P61" i="63"/>
  <c r="O61" i="63"/>
  <c r="N61" i="63"/>
  <c r="M61" i="63"/>
  <c r="L61" i="63"/>
  <c r="K61" i="63"/>
  <c r="J61" i="63"/>
  <c r="I61" i="63"/>
  <c r="H61" i="63"/>
  <c r="G61" i="63"/>
  <c r="F61" i="63"/>
  <c r="S59" i="63"/>
  <c r="F62" i="64" s="1"/>
  <c r="S58" i="63"/>
  <c r="F61" i="64" s="1"/>
  <c r="S57" i="63"/>
  <c r="F60" i="64" s="1"/>
  <c r="S56" i="63"/>
  <c r="F59" i="64" s="1"/>
  <c r="S55" i="63"/>
  <c r="F58" i="64" s="1"/>
  <c r="S54" i="63"/>
  <c r="F57" i="64" s="1"/>
  <c r="R53" i="63"/>
  <c r="Q53" i="63"/>
  <c r="P53" i="63"/>
  <c r="O53" i="63"/>
  <c r="N53" i="63"/>
  <c r="M53" i="63"/>
  <c r="L53" i="63"/>
  <c r="K53" i="63"/>
  <c r="J53" i="63"/>
  <c r="I53" i="63"/>
  <c r="H53" i="63"/>
  <c r="G53" i="63"/>
  <c r="F53" i="63"/>
  <c r="S51" i="63"/>
  <c r="F54" i="64" s="1"/>
  <c r="S50" i="63"/>
  <c r="F53" i="64" s="1"/>
  <c r="S49" i="63"/>
  <c r="F52" i="64" s="1"/>
  <c r="S48" i="63"/>
  <c r="F51" i="64" s="1"/>
  <c r="R47" i="63"/>
  <c r="Q47" i="63"/>
  <c r="P47" i="63"/>
  <c r="O47" i="63"/>
  <c r="N47" i="63"/>
  <c r="M47" i="63"/>
  <c r="L47" i="63"/>
  <c r="K47" i="63"/>
  <c r="J47" i="63"/>
  <c r="I47" i="63"/>
  <c r="H47" i="63"/>
  <c r="G47" i="63"/>
  <c r="F47" i="63"/>
  <c r="S45" i="63"/>
  <c r="F48" i="64" s="1"/>
  <c r="S44" i="63"/>
  <c r="F47" i="64" s="1"/>
  <c r="S43" i="63"/>
  <c r="F46" i="64" s="1"/>
  <c r="S42" i="63"/>
  <c r="F45" i="64" s="1"/>
  <c r="S41" i="63"/>
  <c r="F44" i="64" s="1"/>
  <c r="R40" i="63"/>
  <c r="Q40" i="63"/>
  <c r="P40" i="63"/>
  <c r="O40" i="63"/>
  <c r="N40" i="63"/>
  <c r="M40" i="63"/>
  <c r="L40" i="63"/>
  <c r="K40" i="63"/>
  <c r="J40" i="63"/>
  <c r="I40" i="63"/>
  <c r="H40" i="63"/>
  <c r="G40" i="63"/>
  <c r="F40" i="63"/>
  <c r="S38" i="63"/>
  <c r="F41" i="64" s="1"/>
  <c r="S37" i="63"/>
  <c r="F40" i="64" s="1"/>
  <c r="S36" i="63"/>
  <c r="F39" i="64" s="1"/>
  <c r="S35" i="63"/>
  <c r="F38" i="64" s="1"/>
  <c r="S34" i="63"/>
  <c r="F37" i="64" s="1"/>
  <c r="S33" i="63"/>
  <c r="F36" i="64" s="1"/>
  <c r="S32" i="63"/>
  <c r="F35" i="64" s="1"/>
  <c r="S31" i="63"/>
  <c r="F34" i="64" s="1"/>
  <c r="R30" i="63"/>
  <c r="Q30" i="63"/>
  <c r="P30" i="63"/>
  <c r="O30" i="63"/>
  <c r="N30" i="63"/>
  <c r="M30" i="63"/>
  <c r="L30" i="63"/>
  <c r="K30" i="63"/>
  <c r="J30" i="63"/>
  <c r="I30" i="63"/>
  <c r="H30" i="63"/>
  <c r="G30" i="63"/>
  <c r="F30" i="63"/>
  <c r="S28" i="63"/>
  <c r="F31" i="64" s="1"/>
  <c r="S27" i="63"/>
  <c r="F30" i="64" s="1"/>
  <c r="S26" i="63"/>
  <c r="F29" i="64" s="1"/>
  <c r="S25" i="63"/>
  <c r="F28" i="64" s="1"/>
  <c r="R24" i="63"/>
  <c r="Q24" i="63"/>
  <c r="P24" i="63"/>
  <c r="O24" i="63"/>
  <c r="N24" i="63"/>
  <c r="M24" i="63"/>
  <c r="L24" i="63"/>
  <c r="K24" i="63"/>
  <c r="J24" i="63"/>
  <c r="I24" i="63"/>
  <c r="H24" i="63"/>
  <c r="G24" i="63"/>
  <c r="F24" i="63"/>
  <c r="S22" i="63"/>
  <c r="F25" i="64" s="1"/>
  <c r="S21" i="63"/>
  <c r="F24" i="64" s="1"/>
  <c r="S20" i="63"/>
  <c r="F23" i="64" s="1"/>
  <c r="S19" i="63"/>
  <c r="F22" i="64" s="1"/>
  <c r="S18" i="63"/>
  <c r="F21" i="64" s="1"/>
  <c r="S17" i="63"/>
  <c r="F20" i="64" s="1"/>
  <c r="S16" i="63"/>
  <c r="F19" i="64" s="1"/>
  <c r="S15" i="63"/>
  <c r="F18" i="64" s="1"/>
  <c r="R14" i="63"/>
  <c r="Q14" i="63"/>
  <c r="P14" i="63"/>
  <c r="O14" i="63"/>
  <c r="N14" i="63"/>
  <c r="M14" i="63"/>
  <c r="L14" i="63"/>
  <c r="K14" i="63"/>
  <c r="J14" i="63"/>
  <c r="I14" i="63"/>
  <c r="H14" i="63"/>
  <c r="G14" i="63"/>
  <c r="F14" i="63"/>
  <c r="S12" i="63"/>
  <c r="F15" i="64" s="1"/>
  <c r="S11" i="63"/>
  <c r="F14" i="64" s="1"/>
  <c r="S10" i="63"/>
  <c r="F13" i="64" s="1"/>
  <c r="S9" i="63"/>
  <c r="F12" i="64" s="1"/>
  <c r="S8" i="63"/>
  <c r="F11" i="64" s="1"/>
  <c r="S7" i="63"/>
  <c r="F10" i="64" s="1"/>
  <c r="R6" i="63"/>
  <c r="Q6" i="63"/>
  <c r="P6" i="63"/>
  <c r="O6" i="63"/>
  <c r="N6" i="63"/>
  <c r="M6" i="63"/>
  <c r="L6" i="63"/>
  <c r="K6" i="63"/>
  <c r="J6" i="63"/>
  <c r="I6" i="63"/>
  <c r="H6" i="63"/>
  <c r="G6" i="63"/>
  <c r="F6" i="63"/>
  <c r="S2" i="63"/>
  <c r="Q157" i="55"/>
  <c r="P157" i="55"/>
  <c r="O157" i="55"/>
  <c r="N157" i="55"/>
  <c r="M157" i="55"/>
  <c r="L157" i="55"/>
  <c r="K157" i="55"/>
  <c r="J157" i="55"/>
  <c r="I157" i="55"/>
  <c r="H157" i="55"/>
  <c r="G157" i="55"/>
  <c r="F157" i="55"/>
  <c r="E157" i="55"/>
  <c r="R155" i="55"/>
  <c r="E159" i="56" s="1"/>
  <c r="R154" i="55"/>
  <c r="E158" i="56" s="1"/>
  <c r="Q153" i="55"/>
  <c r="P153" i="55"/>
  <c r="O153" i="55"/>
  <c r="N153" i="55"/>
  <c r="M153" i="55"/>
  <c r="L153" i="55"/>
  <c r="K153" i="55"/>
  <c r="J153" i="55"/>
  <c r="I153" i="55"/>
  <c r="H153" i="55"/>
  <c r="G153" i="55"/>
  <c r="F153" i="55"/>
  <c r="E153" i="55"/>
  <c r="R148" i="55"/>
  <c r="E152" i="56" s="1"/>
  <c r="R147" i="55"/>
  <c r="E151" i="56" s="1"/>
  <c r="R146" i="55"/>
  <c r="E150" i="56" s="1"/>
  <c r="R145" i="55"/>
  <c r="E149" i="56" s="1"/>
  <c r="R144" i="55"/>
  <c r="E148" i="56" s="1"/>
  <c r="R143" i="55"/>
  <c r="E147" i="56" s="1"/>
  <c r="R142" i="55"/>
  <c r="E146" i="56" s="1"/>
  <c r="R141" i="55"/>
  <c r="E145" i="56" s="1"/>
  <c r="Q140" i="55"/>
  <c r="P140" i="55"/>
  <c r="O140" i="55"/>
  <c r="N140" i="55"/>
  <c r="M140" i="55"/>
  <c r="L140" i="55"/>
  <c r="K140" i="55"/>
  <c r="J140" i="55"/>
  <c r="I140" i="55"/>
  <c r="H140" i="55"/>
  <c r="G140" i="55"/>
  <c r="F140" i="55"/>
  <c r="E140" i="55"/>
  <c r="R138" i="55"/>
  <c r="E142" i="56" s="1"/>
  <c r="R137" i="55"/>
  <c r="E141" i="56" s="1"/>
  <c r="R136" i="55"/>
  <c r="E140" i="56" s="1"/>
  <c r="R135" i="55"/>
  <c r="E139" i="56" s="1"/>
  <c r="R134" i="55"/>
  <c r="E138" i="56" s="1"/>
  <c r="R133" i="55"/>
  <c r="E137" i="56" s="1"/>
  <c r="Q131" i="55"/>
  <c r="P131" i="55"/>
  <c r="O131" i="55"/>
  <c r="N131" i="55"/>
  <c r="M131" i="55"/>
  <c r="L131" i="55"/>
  <c r="K131" i="55"/>
  <c r="J131" i="55"/>
  <c r="I131" i="55"/>
  <c r="H131" i="55"/>
  <c r="G131" i="55"/>
  <c r="F131" i="55"/>
  <c r="E131" i="55"/>
  <c r="R129" i="55"/>
  <c r="Q128" i="55"/>
  <c r="P128" i="55"/>
  <c r="O128" i="55"/>
  <c r="N128" i="55"/>
  <c r="M128" i="55"/>
  <c r="L128" i="55"/>
  <c r="K128" i="55"/>
  <c r="J128" i="55"/>
  <c r="I128" i="55"/>
  <c r="H128" i="55"/>
  <c r="G128" i="55"/>
  <c r="F128" i="55"/>
  <c r="E128" i="55"/>
  <c r="R126" i="55"/>
  <c r="E130" i="56" s="1"/>
  <c r="R125" i="55"/>
  <c r="E129" i="56" s="1"/>
  <c r="R124" i="55"/>
  <c r="E128" i="56" s="1"/>
  <c r="R123" i="55"/>
  <c r="E127" i="56" s="1"/>
  <c r="R122" i="55"/>
  <c r="E126" i="56" s="1"/>
  <c r="Q121" i="55"/>
  <c r="P121" i="55"/>
  <c r="O121" i="55"/>
  <c r="N121" i="55"/>
  <c r="M121" i="55"/>
  <c r="L121" i="55"/>
  <c r="K121" i="55"/>
  <c r="J121" i="55"/>
  <c r="I121" i="55"/>
  <c r="H121" i="55"/>
  <c r="G121" i="55"/>
  <c r="F121" i="55"/>
  <c r="E121" i="55"/>
  <c r="R119" i="55"/>
  <c r="E123" i="56" s="1"/>
  <c r="R118" i="55"/>
  <c r="E122" i="56" s="1"/>
  <c r="Q117" i="55"/>
  <c r="P117" i="55"/>
  <c r="O117" i="55"/>
  <c r="N117" i="55"/>
  <c r="M117" i="55"/>
  <c r="L117" i="55"/>
  <c r="K117" i="55"/>
  <c r="J117" i="55"/>
  <c r="I117" i="55"/>
  <c r="H117" i="55"/>
  <c r="G117" i="55"/>
  <c r="F117" i="55"/>
  <c r="E117" i="55"/>
  <c r="R115" i="55"/>
  <c r="E119" i="56" s="1"/>
  <c r="R114" i="55"/>
  <c r="E118" i="56" s="1"/>
  <c r="R113" i="55"/>
  <c r="E117" i="56" s="1"/>
  <c r="R112" i="55"/>
  <c r="E116" i="56" s="1"/>
  <c r="R111" i="55"/>
  <c r="E115" i="56" s="1"/>
  <c r="R110" i="55"/>
  <c r="E114" i="56" s="1"/>
  <c r="R109" i="55"/>
  <c r="E113" i="56" s="1"/>
  <c r="R108" i="55"/>
  <c r="E112" i="56" s="1"/>
  <c r="R107" i="55"/>
  <c r="E111" i="56" s="1"/>
  <c r="R106" i="55"/>
  <c r="E110" i="56" s="1"/>
  <c r="Q105" i="55"/>
  <c r="P105" i="55"/>
  <c r="O105" i="55"/>
  <c r="N105" i="55"/>
  <c r="M105" i="55"/>
  <c r="L105" i="55"/>
  <c r="K105" i="55"/>
  <c r="J105" i="55"/>
  <c r="I105" i="55"/>
  <c r="H105" i="55"/>
  <c r="G105" i="55"/>
  <c r="F105" i="55"/>
  <c r="E105" i="55"/>
  <c r="R103" i="55"/>
  <c r="E107" i="56" s="1"/>
  <c r="R102" i="55"/>
  <c r="E106" i="56" s="1"/>
  <c r="R101" i="55"/>
  <c r="E105" i="56" s="1"/>
  <c r="R100" i="55"/>
  <c r="E104" i="56" s="1"/>
  <c r="Q99" i="55"/>
  <c r="P99" i="55"/>
  <c r="O99" i="55"/>
  <c r="N99" i="55"/>
  <c r="M99" i="55"/>
  <c r="L99" i="55"/>
  <c r="K99" i="55"/>
  <c r="J99" i="55"/>
  <c r="I99" i="55"/>
  <c r="H99" i="55"/>
  <c r="G99" i="55"/>
  <c r="F99" i="55"/>
  <c r="E99" i="55"/>
  <c r="R97" i="55"/>
  <c r="E101" i="56" s="1"/>
  <c r="R96" i="55"/>
  <c r="E100" i="56" s="1"/>
  <c r="R95" i="55"/>
  <c r="E99" i="56" s="1"/>
  <c r="R94" i="55"/>
  <c r="E98" i="56" s="1"/>
  <c r="R93" i="55"/>
  <c r="E97" i="56" s="1"/>
  <c r="R92" i="55"/>
  <c r="E96" i="56" s="1"/>
  <c r="R91" i="55"/>
  <c r="E95" i="56" s="1"/>
  <c r="R90" i="55"/>
  <c r="E94" i="56" s="1"/>
  <c r="R89" i="55"/>
  <c r="E93" i="56" s="1"/>
  <c r="Q88" i="55"/>
  <c r="P88" i="55"/>
  <c r="O88" i="55"/>
  <c r="N88" i="55"/>
  <c r="M88" i="55"/>
  <c r="L88" i="55"/>
  <c r="K88" i="55"/>
  <c r="J88" i="55"/>
  <c r="I88" i="55"/>
  <c r="H88" i="55"/>
  <c r="G88" i="55"/>
  <c r="F88" i="55"/>
  <c r="E88" i="55"/>
  <c r="R86" i="55"/>
  <c r="E90" i="56" s="1"/>
  <c r="R85" i="55"/>
  <c r="E89" i="56" s="1"/>
  <c r="R84" i="55"/>
  <c r="E88" i="56" s="1"/>
  <c r="R83" i="55"/>
  <c r="E87" i="56" s="1"/>
  <c r="Q82" i="55"/>
  <c r="P82" i="55"/>
  <c r="O82" i="55"/>
  <c r="N82" i="55"/>
  <c r="M82" i="55"/>
  <c r="L82" i="55"/>
  <c r="K82" i="55"/>
  <c r="J82" i="55"/>
  <c r="I82" i="55"/>
  <c r="H82" i="55"/>
  <c r="G82" i="55"/>
  <c r="F82" i="55"/>
  <c r="E82" i="55"/>
  <c r="R80" i="55"/>
  <c r="E84" i="56" s="1"/>
  <c r="R79" i="55"/>
  <c r="E83" i="56" s="1"/>
  <c r="R78" i="55"/>
  <c r="E82" i="56" s="1"/>
  <c r="R77" i="55"/>
  <c r="E81" i="56" s="1"/>
  <c r="Q76" i="55"/>
  <c r="P76" i="55"/>
  <c r="O76" i="55"/>
  <c r="N76" i="55"/>
  <c r="M76" i="55"/>
  <c r="L76" i="55"/>
  <c r="K76" i="55"/>
  <c r="J76" i="55"/>
  <c r="I76" i="55"/>
  <c r="H76" i="55"/>
  <c r="G76" i="55"/>
  <c r="F76" i="55"/>
  <c r="E76" i="55"/>
  <c r="R73" i="55"/>
  <c r="R72" i="55"/>
  <c r="E76" i="56" s="1"/>
  <c r="R71" i="55"/>
  <c r="E75" i="56" s="1"/>
  <c r="R70" i="55"/>
  <c r="E74" i="56" s="1"/>
  <c r="R69" i="55"/>
  <c r="E73" i="56" s="1"/>
  <c r="R68" i="55"/>
  <c r="E72" i="56" s="1"/>
  <c r="R67" i="55"/>
  <c r="E71" i="56" s="1"/>
  <c r="R66" i="55"/>
  <c r="E70" i="56" s="1"/>
  <c r="R65" i="55"/>
  <c r="E69" i="56" s="1"/>
  <c r="Q64" i="55"/>
  <c r="Q162" i="55" s="1"/>
  <c r="P64" i="55"/>
  <c r="P162" i="55" s="1"/>
  <c r="O64" i="55"/>
  <c r="O162" i="55" s="1"/>
  <c r="N64" i="55"/>
  <c r="N162" i="55" s="1"/>
  <c r="M64" i="55"/>
  <c r="L64" i="55"/>
  <c r="K64" i="55"/>
  <c r="J64" i="55"/>
  <c r="I64" i="55"/>
  <c r="H64" i="55"/>
  <c r="G64" i="55"/>
  <c r="F64" i="55"/>
  <c r="E64" i="55"/>
  <c r="R62" i="55"/>
  <c r="E66" i="56" s="1"/>
  <c r="R61" i="55"/>
  <c r="E65" i="56" s="1"/>
  <c r="R60" i="55"/>
  <c r="E64" i="56" s="1"/>
  <c r="R59" i="55"/>
  <c r="E63" i="56" s="1"/>
  <c r="R58" i="55"/>
  <c r="E62" i="56" s="1"/>
  <c r="R57" i="55"/>
  <c r="E61" i="56" s="1"/>
  <c r="Q56" i="55"/>
  <c r="P56" i="55"/>
  <c r="O56" i="55"/>
  <c r="N56" i="55"/>
  <c r="M56" i="55"/>
  <c r="L56" i="55"/>
  <c r="K56" i="55"/>
  <c r="J56" i="55"/>
  <c r="I56" i="55"/>
  <c r="H56" i="55"/>
  <c r="G56" i="55"/>
  <c r="F56" i="55"/>
  <c r="E56" i="55"/>
  <c r="R54" i="55"/>
  <c r="Q53" i="55"/>
  <c r="P53" i="55"/>
  <c r="O53" i="55"/>
  <c r="N53" i="55"/>
  <c r="M53" i="55"/>
  <c r="L53" i="55"/>
  <c r="K53" i="55"/>
  <c r="J53" i="55"/>
  <c r="I53" i="55"/>
  <c r="H53" i="55"/>
  <c r="G53" i="55"/>
  <c r="F53" i="55"/>
  <c r="E53" i="55"/>
  <c r="R51" i="55"/>
  <c r="E55" i="56" s="1"/>
  <c r="R50" i="55"/>
  <c r="E54" i="56" s="1"/>
  <c r="R49" i="55"/>
  <c r="E53" i="56" s="1"/>
  <c r="R48" i="55"/>
  <c r="E52" i="56" s="1"/>
  <c r="R47" i="55"/>
  <c r="E51" i="56" s="1"/>
  <c r="R46" i="55"/>
  <c r="E50" i="56" s="1"/>
  <c r="R45" i="55"/>
  <c r="E49" i="56" s="1"/>
  <c r="R44" i="55"/>
  <c r="E48" i="56" s="1"/>
  <c r="Q43" i="55"/>
  <c r="P43" i="55"/>
  <c r="O43" i="55"/>
  <c r="N43" i="55"/>
  <c r="M43" i="55"/>
  <c r="L43" i="55"/>
  <c r="K43" i="55"/>
  <c r="J43" i="55"/>
  <c r="I43" i="55"/>
  <c r="H43" i="55"/>
  <c r="G43" i="55"/>
  <c r="F43" i="55"/>
  <c r="E43" i="55"/>
  <c r="R39" i="55"/>
  <c r="Q39" i="55"/>
  <c r="P39" i="55"/>
  <c r="O39" i="55"/>
  <c r="N39" i="55"/>
  <c r="M39" i="55"/>
  <c r="L39" i="55"/>
  <c r="K39" i="55"/>
  <c r="J39" i="55"/>
  <c r="I39" i="55"/>
  <c r="H39" i="55"/>
  <c r="G39" i="55"/>
  <c r="F39" i="55"/>
  <c r="E39" i="55"/>
  <c r="R37" i="55"/>
  <c r="E41" i="56" s="1"/>
  <c r="R36" i="55"/>
  <c r="E40" i="56" s="1"/>
  <c r="R35" i="55"/>
  <c r="E39" i="56" s="1"/>
  <c r="R34" i="55"/>
  <c r="E38" i="56" s="1"/>
  <c r="R33" i="55"/>
  <c r="E37" i="56" s="1"/>
  <c r="R32" i="55"/>
  <c r="Q31" i="55"/>
  <c r="P31" i="55"/>
  <c r="O31" i="55"/>
  <c r="N31" i="55"/>
  <c r="M31" i="55"/>
  <c r="L31" i="55"/>
  <c r="K31" i="55"/>
  <c r="J31" i="55"/>
  <c r="I31" i="55"/>
  <c r="H31" i="55"/>
  <c r="G31" i="55"/>
  <c r="F31" i="55"/>
  <c r="E31" i="55"/>
  <c r="R29" i="55"/>
  <c r="E33" i="56" s="1"/>
  <c r="R28" i="55"/>
  <c r="E32" i="56" s="1"/>
  <c r="Q27" i="55"/>
  <c r="P27" i="55"/>
  <c r="O27" i="55"/>
  <c r="N27" i="55"/>
  <c r="M27" i="55"/>
  <c r="L27" i="55"/>
  <c r="K27" i="55"/>
  <c r="J27" i="55"/>
  <c r="I27" i="55"/>
  <c r="H27" i="55"/>
  <c r="G27" i="55"/>
  <c r="F27" i="55"/>
  <c r="E27" i="55"/>
  <c r="R25" i="55"/>
  <c r="E29" i="56" s="1"/>
  <c r="R24" i="55"/>
  <c r="E28" i="56" s="1"/>
  <c r="R23" i="55"/>
  <c r="E27" i="56" s="1"/>
  <c r="R22" i="55"/>
  <c r="E26" i="56" s="1"/>
  <c r="R21" i="55"/>
  <c r="E25" i="56" s="1"/>
  <c r="R20" i="55"/>
  <c r="E24" i="56" s="1"/>
  <c r="R19" i="55"/>
  <c r="E23" i="56" s="1"/>
  <c r="R18" i="55"/>
  <c r="E22" i="56" s="1"/>
  <c r="R17" i="55"/>
  <c r="E21" i="56" s="1"/>
  <c r="R16" i="55"/>
  <c r="E20" i="56" s="1"/>
  <c r="Q15" i="55"/>
  <c r="P15" i="55"/>
  <c r="O15" i="55"/>
  <c r="N15" i="55"/>
  <c r="M15" i="55"/>
  <c r="L15" i="55"/>
  <c r="K15" i="55"/>
  <c r="J15" i="55"/>
  <c r="I15" i="55"/>
  <c r="H15" i="55"/>
  <c r="G15" i="55"/>
  <c r="F15" i="55"/>
  <c r="E15" i="55"/>
  <c r="R13" i="55"/>
  <c r="E17" i="56" s="1"/>
  <c r="R12" i="55"/>
  <c r="E16" i="56" s="1"/>
  <c r="R11" i="55"/>
  <c r="E15" i="56" s="1"/>
  <c r="R10" i="55"/>
  <c r="E14" i="56" s="1"/>
  <c r="R9" i="55"/>
  <c r="E13" i="56" s="1"/>
  <c r="R8" i="55"/>
  <c r="E12" i="56" s="1"/>
  <c r="R7" i="55"/>
  <c r="E11" i="56" s="1"/>
  <c r="R6" i="55"/>
  <c r="E10" i="56" s="1"/>
  <c r="Q5" i="55"/>
  <c r="P5" i="55"/>
  <c r="O5" i="55"/>
  <c r="N5" i="55"/>
  <c r="M5" i="55"/>
  <c r="L5" i="55"/>
  <c r="K5" i="55"/>
  <c r="J5" i="55"/>
  <c r="I5" i="55"/>
  <c r="H5" i="55"/>
  <c r="G5" i="55"/>
  <c r="F5" i="55"/>
  <c r="E5" i="55"/>
  <c r="R2" i="55"/>
  <c r="C12" i="60" l="1"/>
  <c r="I162" i="55"/>
  <c r="K162" i="55"/>
  <c r="U161" i="69"/>
  <c r="U162" i="69" s="1"/>
  <c r="N161" i="69"/>
  <c r="N162" i="69" s="1"/>
  <c r="AF164" i="69"/>
  <c r="L162" i="55"/>
  <c r="M162" i="55"/>
  <c r="O225" i="75"/>
  <c r="C7" i="78"/>
  <c r="AB161" i="69"/>
  <c r="AB162" i="69" s="1"/>
  <c r="X161" i="69"/>
  <c r="X162" i="69" s="1"/>
  <c r="H161" i="69"/>
  <c r="H162" i="69" s="1"/>
  <c r="Z161" i="69"/>
  <c r="Z162" i="69" s="1"/>
  <c r="AE225" i="75"/>
  <c r="C9" i="78"/>
  <c r="J161" i="69"/>
  <c r="J162" i="69" s="1"/>
  <c r="J7" i="77"/>
  <c r="E157" i="70"/>
  <c r="E144" i="70"/>
  <c r="C9" i="73"/>
  <c r="E35" i="70"/>
  <c r="C19" i="73"/>
  <c r="C19" i="74"/>
  <c r="C13" i="73"/>
  <c r="C8" i="73"/>
  <c r="AF75" i="69"/>
  <c r="E79" i="70" s="1"/>
  <c r="AF167" i="69"/>
  <c r="C9" i="74" s="1"/>
  <c r="Y161" i="69"/>
  <c r="Y162" i="69" s="1"/>
  <c r="S161" i="69"/>
  <c r="S162" i="69" s="1"/>
  <c r="M161" i="69"/>
  <c r="M162" i="69" s="1"/>
  <c r="I161" i="69"/>
  <c r="I162" i="69" s="1"/>
  <c r="AF4" i="69"/>
  <c r="E8" i="70" s="1"/>
  <c r="AF166" i="69"/>
  <c r="C8" i="74" s="1"/>
  <c r="W225" i="75"/>
  <c r="M225" i="75"/>
  <c r="U225" i="75"/>
  <c r="I225" i="75"/>
  <c r="C9" i="58"/>
  <c r="V161" i="69"/>
  <c r="V162" i="69" s="1"/>
  <c r="E19" i="56"/>
  <c r="E60" i="56"/>
  <c r="E86" i="56"/>
  <c r="E109" i="56"/>
  <c r="E125" i="56"/>
  <c r="E135" i="56"/>
  <c r="E157" i="56"/>
  <c r="F161" i="69"/>
  <c r="F162" i="69" s="1"/>
  <c r="E36" i="56"/>
  <c r="E35" i="56" s="1"/>
  <c r="R53" i="55"/>
  <c r="E58" i="56"/>
  <c r="E57" i="56" s="1"/>
  <c r="R128" i="55"/>
  <c r="E133" i="56"/>
  <c r="E132" i="56" s="1"/>
  <c r="E31" i="56"/>
  <c r="E47" i="56"/>
  <c r="E68" i="56"/>
  <c r="E80" i="56"/>
  <c r="E92" i="56"/>
  <c r="E103" i="56"/>
  <c r="E121" i="56"/>
  <c r="E144" i="56"/>
  <c r="E161" i="69"/>
  <c r="E162" i="69" s="1"/>
  <c r="P161" i="69"/>
  <c r="P162" i="69" s="1"/>
  <c r="AC225" i="75"/>
  <c r="L225" i="75"/>
  <c r="T161" i="69"/>
  <c r="T162" i="69" s="1"/>
  <c r="AE161" i="69"/>
  <c r="AE162" i="69" s="1"/>
  <c r="O161" i="69"/>
  <c r="O162" i="69" s="1"/>
  <c r="K225" i="75"/>
  <c r="S225" i="75"/>
  <c r="AD161" i="69"/>
  <c r="AD162" i="69" s="1"/>
  <c r="R76" i="55"/>
  <c r="R88" i="55"/>
  <c r="D12" i="61"/>
  <c r="E12" i="62"/>
  <c r="E15" i="62"/>
  <c r="D15" i="61"/>
  <c r="D16" i="61"/>
  <c r="E16" i="62"/>
  <c r="E17" i="62"/>
  <c r="D17" i="61"/>
  <c r="D14" i="61"/>
  <c r="E14" i="62"/>
  <c r="E13" i="62"/>
  <c r="D13" i="61"/>
  <c r="R82" i="55"/>
  <c r="S221" i="63"/>
  <c r="F224" i="64" s="1"/>
  <c r="F219" i="64"/>
  <c r="R30" i="67"/>
  <c r="E33" i="68" s="1"/>
  <c r="E34" i="68"/>
  <c r="R41" i="67"/>
  <c r="E44" i="68" s="1"/>
  <c r="E45" i="68"/>
  <c r="R52" i="67"/>
  <c r="E55" i="68" s="1"/>
  <c r="R82" i="67"/>
  <c r="E85" i="68" s="1"/>
  <c r="E86" i="68"/>
  <c r="R88" i="67"/>
  <c r="E91" i="68" s="1"/>
  <c r="E92" i="68"/>
  <c r="R108" i="67"/>
  <c r="E111" i="68" s="1"/>
  <c r="E112" i="68"/>
  <c r="R113" i="67"/>
  <c r="E116" i="68" s="1"/>
  <c r="E117" i="68"/>
  <c r="R124" i="67"/>
  <c r="E127" i="68" s="1"/>
  <c r="R177" i="67"/>
  <c r="E180" i="68" s="1"/>
  <c r="E181" i="68"/>
  <c r="L161" i="69"/>
  <c r="L162" i="69" s="1"/>
  <c r="R161" i="69"/>
  <c r="R162" i="69" s="1"/>
  <c r="E10" i="62"/>
  <c r="D10" i="61"/>
  <c r="R5" i="55"/>
  <c r="E9" i="56" s="1"/>
  <c r="R43" i="55"/>
  <c r="R64" i="55"/>
  <c r="R105" i="55"/>
  <c r="R121" i="55"/>
  <c r="C8" i="57"/>
  <c r="R168" i="67"/>
  <c r="E171" i="68" s="1"/>
  <c r="AC161" i="69"/>
  <c r="AC162" i="69" s="1"/>
  <c r="AA161" i="69"/>
  <c r="AA162" i="69" s="1"/>
  <c r="W161" i="69"/>
  <c r="W162" i="69" s="1"/>
  <c r="Q161" i="69"/>
  <c r="Q162" i="69" s="1"/>
  <c r="K161" i="69"/>
  <c r="K162" i="69" s="1"/>
  <c r="G161" i="69"/>
  <c r="G162" i="69" s="1"/>
  <c r="P225" i="75"/>
  <c r="H225" i="75"/>
  <c r="G225" i="75"/>
  <c r="Q225" i="75"/>
  <c r="R140" i="55"/>
  <c r="M4" i="67"/>
  <c r="R15" i="67"/>
  <c r="E18" i="68" s="1"/>
  <c r="R74" i="67"/>
  <c r="E77" i="68" s="1"/>
  <c r="M87" i="67"/>
  <c r="R98" i="67"/>
  <c r="E101" i="68" s="1"/>
  <c r="R146" i="67"/>
  <c r="E149" i="68" s="1"/>
  <c r="R157" i="67"/>
  <c r="E160" i="68" s="1"/>
  <c r="R157" i="55"/>
  <c r="C7" i="57"/>
  <c r="R15" i="55"/>
  <c r="R31" i="55"/>
  <c r="C12" i="59" s="1"/>
  <c r="R56" i="55"/>
  <c r="R99" i="55"/>
  <c r="R117" i="55"/>
  <c r="R131" i="55"/>
  <c r="P17" i="65"/>
  <c r="C17" i="66" s="1"/>
  <c r="R5" i="67"/>
  <c r="E8" i="68" s="1"/>
  <c r="R25" i="67"/>
  <c r="E28" i="68" s="1"/>
  <c r="R63" i="67"/>
  <c r="E66" i="68" s="1"/>
  <c r="R135" i="67"/>
  <c r="F87" i="67"/>
  <c r="H87" i="67"/>
  <c r="J87" i="67"/>
  <c r="L87" i="67"/>
  <c r="N87" i="67"/>
  <c r="P87" i="67"/>
  <c r="G5" i="63"/>
  <c r="D7" i="65" s="1"/>
  <c r="I5" i="63"/>
  <c r="F7" i="65" s="1"/>
  <c r="K5" i="63"/>
  <c r="H7" i="65" s="1"/>
  <c r="M5" i="63"/>
  <c r="J7" i="65" s="1"/>
  <c r="O5" i="63"/>
  <c r="L7" i="65" s="1"/>
  <c r="Q5" i="63"/>
  <c r="N7" i="65" s="1"/>
  <c r="S14" i="63"/>
  <c r="F17" i="64" s="1"/>
  <c r="F189" i="63"/>
  <c r="J5" i="63"/>
  <c r="G7" i="65" s="1"/>
  <c r="S24" i="63"/>
  <c r="F27" i="64" s="1"/>
  <c r="R27" i="55"/>
  <c r="R153" i="55"/>
  <c r="S220" i="63"/>
  <c r="F223" i="64" s="1"/>
  <c r="AG223" i="75"/>
  <c r="F226" i="76" s="1"/>
  <c r="E87" i="67"/>
  <c r="G87" i="67"/>
  <c r="I87" i="67"/>
  <c r="K87" i="67"/>
  <c r="O87" i="67"/>
  <c r="Q87" i="67"/>
  <c r="AG121" i="75"/>
  <c r="F124" i="76" s="1"/>
  <c r="AD225" i="75"/>
  <c r="Z225" i="75"/>
  <c r="V225" i="75"/>
  <c r="R225" i="75"/>
  <c r="N225" i="75"/>
  <c r="J225" i="75"/>
  <c r="AG5" i="75"/>
  <c r="F8" i="76" s="1"/>
  <c r="G67" i="63"/>
  <c r="I67" i="63"/>
  <c r="K67" i="63"/>
  <c r="O67" i="63"/>
  <c r="J121" i="63"/>
  <c r="G9" i="65" s="1"/>
  <c r="R121" i="63"/>
  <c r="O9" i="65" s="1"/>
  <c r="F4" i="67"/>
  <c r="F182" i="67" s="1"/>
  <c r="H4" i="67"/>
  <c r="H182" i="67" s="1"/>
  <c r="J4" i="67"/>
  <c r="L4" i="67"/>
  <c r="L182" i="67" s="1"/>
  <c r="N4" i="67"/>
  <c r="N182" i="67" s="1"/>
  <c r="P4" i="67"/>
  <c r="P182" i="67" s="1"/>
  <c r="E4" i="67"/>
  <c r="G4" i="67"/>
  <c r="I4" i="67"/>
  <c r="K4" i="67"/>
  <c r="O4" i="67"/>
  <c r="Q4" i="67"/>
  <c r="AF225" i="75"/>
  <c r="AB225" i="75"/>
  <c r="X225" i="75"/>
  <c r="T225" i="75"/>
  <c r="AG189" i="75"/>
  <c r="F192" i="76" s="1"/>
  <c r="AG120" i="75"/>
  <c r="F123" i="76" s="1"/>
  <c r="F225" i="75"/>
  <c r="AG4" i="75"/>
  <c r="AG67" i="75"/>
  <c r="F70" i="76" s="1"/>
  <c r="Y225" i="75"/>
  <c r="S40" i="63"/>
  <c r="F43" i="64" s="1"/>
  <c r="S47" i="63"/>
  <c r="F50" i="64" s="1"/>
  <c r="S53" i="63"/>
  <c r="F56" i="64" s="1"/>
  <c r="S61" i="63"/>
  <c r="F64" i="64" s="1"/>
  <c r="N189" i="63"/>
  <c r="J189" i="63"/>
  <c r="R189" i="63"/>
  <c r="R2" i="67"/>
  <c r="G223" i="63"/>
  <c r="I223" i="63"/>
  <c r="K223" i="63"/>
  <c r="M223" i="63"/>
  <c r="O223" i="63"/>
  <c r="Q223" i="63"/>
  <c r="S206" i="63"/>
  <c r="F209" i="64" s="1"/>
  <c r="H189" i="63"/>
  <c r="L189" i="63"/>
  <c r="P189" i="63"/>
  <c r="N5" i="63"/>
  <c r="K7" i="65" s="1"/>
  <c r="R5" i="63"/>
  <c r="O7" i="65" s="1"/>
  <c r="M67" i="63"/>
  <c r="Q67" i="63"/>
  <c r="G120" i="63"/>
  <c r="K120" i="63"/>
  <c r="O120" i="63"/>
  <c r="F121" i="63"/>
  <c r="C9" i="65" s="1"/>
  <c r="I120" i="63"/>
  <c r="Q120" i="63"/>
  <c r="N121" i="63"/>
  <c r="K9" i="65" s="1"/>
  <c r="M120" i="63"/>
  <c r="S200" i="63"/>
  <c r="F203" i="64" s="1"/>
  <c r="S212" i="63"/>
  <c r="F215" i="64" s="1"/>
  <c r="G189" i="63"/>
  <c r="I189" i="63"/>
  <c r="K189" i="63"/>
  <c r="M189" i="63"/>
  <c r="O189" i="63"/>
  <c r="Q189" i="63"/>
  <c r="S183" i="63"/>
  <c r="F186" i="64" s="1"/>
  <c r="S172" i="63"/>
  <c r="F175" i="64" s="1"/>
  <c r="S164" i="63"/>
  <c r="F167" i="64" s="1"/>
  <c r="S152" i="63"/>
  <c r="F155" i="64" s="1"/>
  <c r="S142" i="63"/>
  <c r="F145" i="64" s="1"/>
  <c r="G121" i="63"/>
  <c r="D9" i="65" s="1"/>
  <c r="I121" i="63"/>
  <c r="F9" i="65" s="1"/>
  <c r="K121" i="63"/>
  <c r="H9" i="65" s="1"/>
  <c r="M121" i="63"/>
  <c r="J9" i="65" s="1"/>
  <c r="O121" i="63"/>
  <c r="L9" i="65" s="1"/>
  <c r="Q121" i="63"/>
  <c r="N9" i="65" s="1"/>
  <c r="S132" i="63"/>
  <c r="F135" i="64" s="1"/>
  <c r="H121" i="63"/>
  <c r="E9" i="65" s="1"/>
  <c r="J120" i="63"/>
  <c r="L121" i="63"/>
  <c r="I9" i="65" s="1"/>
  <c r="N120" i="63"/>
  <c r="P121" i="63"/>
  <c r="M9" i="65" s="1"/>
  <c r="R120" i="63"/>
  <c r="S107" i="63"/>
  <c r="F110" i="64" s="1"/>
  <c r="S96" i="63"/>
  <c r="F99" i="64" s="1"/>
  <c r="K4" i="63"/>
  <c r="O4" i="63"/>
  <c r="S85" i="63"/>
  <c r="H4" i="63"/>
  <c r="J4" i="63"/>
  <c r="L4" i="63"/>
  <c r="N4" i="63"/>
  <c r="P4" i="63"/>
  <c r="R4" i="63"/>
  <c r="H67" i="63"/>
  <c r="J67" i="63"/>
  <c r="L67" i="63"/>
  <c r="N67" i="63"/>
  <c r="P67" i="63"/>
  <c r="R67" i="63"/>
  <c r="S79" i="63"/>
  <c r="F82" i="64" s="1"/>
  <c r="G4" i="63"/>
  <c r="S68" i="63"/>
  <c r="F71" i="64" s="1"/>
  <c r="F5" i="63"/>
  <c r="C7" i="65" s="1"/>
  <c r="S30" i="63"/>
  <c r="F33" i="64" s="1"/>
  <c r="H5" i="63"/>
  <c r="E7" i="65" s="1"/>
  <c r="L5" i="63"/>
  <c r="I7" i="65" s="1"/>
  <c r="P5" i="63"/>
  <c r="M7" i="65" s="1"/>
  <c r="I4" i="63"/>
  <c r="M4" i="63"/>
  <c r="Q4" i="63"/>
  <c r="S6" i="63"/>
  <c r="S122" i="63"/>
  <c r="F125" i="64" s="1"/>
  <c r="S193" i="63"/>
  <c r="F196" i="64" s="1"/>
  <c r="F4" i="63"/>
  <c r="F67" i="63"/>
  <c r="F120" i="63"/>
  <c r="H120" i="63"/>
  <c r="L120" i="63"/>
  <c r="P120" i="63"/>
  <c r="S190" i="63"/>
  <c r="F193" i="64" s="1"/>
  <c r="S197" i="63"/>
  <c r="F200" i="64" s="1"/>
  <c r="S203" i="63"/>
  <c r="F206" i="64" s="1"/>
  <c r="S209" i="63"/>
  <c r="F212" i="64" s="1"/>
  <c r="S215" i="63"/>
  <c r="F218" i="64" s="1"/>
  <c r="F223" i="63"/>
  <c r="H223" i="63"/>
  <c r="J223" i="63"/>
  <c r="L223" i="63"/>
  <c r="N223" i="63"/>
  <c r="P223" i="63"/>
  <c r="R223" i="63"/>
  <c r="E164" i="55"/>
  <c r="G4" i="55"/>
  <c r="I164" i="55"/>
  <c r="K164" i="55"/>
  <c r="C8" i="60" s="1"/>
  <c r="M164" i="55"/>
  <c r="O4" i="55"/>
  <c r="Q164" i="55"/>
  <c r="F4" i="55"/>
  <c r="J4" i="55"/>
  <c r="N4" i="55"/>
  <c r="H4" i="55"/>
  <c r="P4" i="55"/>
  <c r="F162" i="55"/>
  <c r="H162" i="55"/>
  <c r="J162" i="55"/>
  <c r="F75" i="55"/>
  <c r="J75" i="55"/>
  <c r="N75" i="55"/>
  <c r="G75" i="55"/>
  <c r="I75" i="55"/>
  <c r="K75" i="55"/>
  <c r="O75" i="55"/>
  <c r="Q75" i="55"/>
  <c r="E75" i="55"/>
  <c r="M75" i="55"/>
  <c r="E162" i="55"/>
  <c r="L4" i="55"/>
  <c r="H165" i="55"/>
  <c r="H75" i="55"/>
  <c r="P165" i="55"/>
  <c r="P75" i="55"/>
  <c r="L165" i="55"/>
  <c r="L75" i="55"/>
  <c r="G164" i="55"/>
  <c r="O164" i="55"/>
  <c r="F165" i="55"/>
  <c r="N165" i="55"/>
  <c r="E4" i="55"/>
  <c r="I4" i="55"/>
  <c r="K4" i="55"/>
  <c r="M4" i="55"/>
  <c r="Q4" i="55"/>
  <c r="F164" i="55"/>
  <c r="H164" i="55"/>
  <c r="J164" i="55"/>
  <c r="L164" i="55"/>
  <c r="N164" i="55"/>
  <c r="P164" i="55"/>
  <c r="G162" i="55"/>
  <c r="J165" i="55"/>
  <c r="E165" i="55"/>
  <c r="G165" i="55"/>
  <c r="I165" i="55"/>
  <c r="K165" i="55"/>
  <c r="M165" i="55"/>
  <c r="O165" i="55"/>
  <c r="Q165" i="55"/>
  <c r="AK24" i="24"/>
  <c r="J182" i="67" l="1"/>
  <c r="Q225" i="63"/>
  <c r="C9" i="60"/>
  <c r="AF161" i="69"/>
  <c r="AF162" i="69" s="1"/>
  <c r="M225" i="63"/>
  <c r="K225" i="63"/>
  <c r="Q182" i="67"/>
  <c r="K182" i="67"/>
  <c r="G182" i="67"/>
  <c r="E161" i="56"/>
  <c r="R165" i="55"/>
  <c r="N159" i="55"/>
  <c r="N160" i="55" s="1"/>
  <c r="F159" i="55"/>
  <c r="F160" i="55" s="1"/>
  <c r="J159" i="55"/>
  <c r="J160" i="55" s="1"/>
  <c r="R162" i="55"/>
  <c r="O182" i="67"/>
  <c r="I182" i="67"/>
  <c r="E182" i="67"/>
  <c r="M182" i="67"/>
  <c r="I159" i="55"/>
  <c r="I160" i="55" s="1"/>
  <c r="P159" i="55"/>
  <c r="P160" i="55" s="1"/>
  <c r="G159" i="55"/>
  <c r="G160" i="55" s="1"/>
  <c r="R4" i="67"/>
  <c r="E7" i="68" s="1"/>
  <c r="C9" i="59"/>
  <c r="P225" i="63"/>
  <c r="H225" i="63"/>
  <c r="F89" i="64"/>
  <c r="F88" i="64"/>
  <c r="C6" i="57"/>
  <c r="E8" i="62"/>
  <c r="D8" i="61"/>
  <c r="R87" i="67"/>
  <c r="E90" i="68" s="1"/>
  <c r="E138" i="68"/>
  <c r="E11" i="62"/>
  <c r="D11" i="61"/>
  <c r="C18" i="59"/>
  <c r="C18" i="60"/>
  <c r="C13" i="59"/>
  <c r="C13" i="60"/>
  <c r="D9" i="61"/>
  <c r="E9" i="62"/>
  <c r="C19" i="59"/>
  <c r="C19" i="60"/>
  <c r="R75" i="55"/>
  <c r="E79" i="56" s="1"/>
  <c r="C8" i="59"/>
  <c r="R164" i="55"/>
  <c r="R4" i="55"/>
  <c r="E8" i="56" s="1"/>
  <c r="M159" i="55"/>
  <c r="M160" i="55" s="1"/>
  <c r="AG225" i="75"/>
  <c r="F228" i="76" s="1"/>
  <c r="Q159" i="55"/>
  <c r="Q160" i="55" s="1"/>
  <c r="K159" i="55"/>
  <c r="K160" i="55" s="1"/>
  <c r="I225" i="63"/>
  <c r="G225" i="63"/>
  <c r="O225" i="63"/>
  <c r="R225" i="63"/>
  <c r="N225" i="63"/>
  <c r="J225" i="63"/>
  <c r="S121" i="63"/>
  <c r="F124" i="64" s="1"/>
  <c r="L225" i="63"/>
  <c r="S5" i="63"/>
  <c r="S189" i="63"/>
  <c r="F192" i="64" s="1"/>
  <c r="S120" i="63"/>
  <c r="F123" i="64" s="1"/>
  <c r="F225" i="63"/>
  <c r="S4" i="63"/>
  <c r="S67" i="63"/>
  <c r="F70" i="64" s="1"/>
  <c r="E159" i="55"/>
  <c r="E160" i="55" s="1"/>
  <c r="L159" i="55"/>
  <c r="L160" i="55" s="1"/>
  <c r="O159" i="55"/>
  <c r="O160" i="55" s="1"/>
  <c r="H159" i="55"/>
  <c r="H160" i="55" s="1"/>
  <c r="AG168" i="34"/>
  <c r="R182" i="67" l="1"/>
  <c r="D21" i="61" s="1"/>
  <c r="F8" i="64"/>
  <c r="F7" i="64"/>
  <c r="F9" i="64"/>
  <c r="E185" i="68"/>
  <c r="E21" i="62"/>
  <c r="R159" i="55"/>
  <c r="R160" i="55" s="1"/>
  <c r="C12" i="58"/>
  <c r="S225" i="63"/>
  <c r="F228" i="64" s="1"/>
  <c r="AD113" i="34"/>
  <c r="AE47" i="24"/>
  <c r="C9" i="57" l="1"/>
  <c r="I164" i="24"/>
  <c r="I47" i="24"/>
  <c r="H206" i="24" l="1"/>
  <c r="H40" i="24"/>
  <c r="J24" i="24" l="1"/>
  <c r="BD177" i="34" l="1"/>
  <c r="M14" i="24" l="1"/>
  <c r="F82" i="34" l="1"/>
  <c r="R10" i="1" l="1"/>
  <c r="R9" i="1"/>
  <c r="R8" i="1"/>
  <c r="R7" i="1"/>
  <c r="R6" i="1"/>
  <c r="R5" i="1"/>
  <c r="O7" i="1"/>
  <c r="O6" i="1"/>
  <c r="O5" i="1"/>
  <c r="L15" i="1"/>
  <c r="L16" i="1"/>
  <c r="L14" i="1"/>
  <c r="L13" i="1"/>
  <c r="L12" i="1"/>
  <c r="L11" i="1"/>
  <c r="L9" i="1"/>
  <c r="L10" i="1"/>
  <c r="L8" i="1"/>
  <c r="L7" i="1"/>
  <c r="L6" i="1"/>
  <c r="L5" i="1"/>
  <c r="I16" i="1"/>
  <c r="I15" i="1"/>
  <c r="I14" i="1"/>
  <c r="I12" i="1"/>
  <c r="I13" i="1"/>
  <c r="I11" i="1"/>
  <c r="I10" i="1"/>
  <c r="I9" i="1"/>
  <c r="I7" i="1"/>
  <c r="I5" i="1"/>
  <c r="I17" i="1" s="1"/>
  <c r="I8" i="1"/>
  <c r="F16" i="1"/>
  <c r="F14" i="1"/>
  <c r="F13" i="1"/>
  <c r="F15" i="1"/>
  <c r="F12" i="1"/>
  <c r="F11" i="1"/>
  <c r="F10" i="1"/>
  <c r="F9" i="1"/>
  <c r="F8" i="1"/>
  <c r="F7" i="1"/>
  <c r="F6" i="1"/>
  <c r="F5" i="1"/>
  <c r="C11" i="1"/>
  <c r="C12" i="1"/>
  <c r="C10" i="1"/>
  <c r="C9" i="1"/>
  <c r="C7" i="1"/>
  <c r="C8" i="1"/>
  <c r="C6" i="1"/>
  <c r="C5" i="1"/>
  <c r="E181" i="53" l="1"/>
  <c r="E180" i="53" s="1"/>
  <c r="E178" i="53"/>
  <c r="E177" i="53"/>
  <c r="E176" i="53"/>
  <c r="E175" i="53"/>
  <c r="E174" i="53"/>
  <c r="E173" i="53"/>
  <c r="E172" i="53"/>
  <c r="E169" i="53"/>
  <c r="E168" i="53"/>
  <c r="E167" i="53"/>
  <c r="E166" i="53"/>
  <c r="E165" i="53"/>
  <c r="E164" i="53"/>
  <c r="E163" i="53"/>
  <c r="E162" i="53"/>
  <c r="E161" i="53"/>
  <c r="E158" i="53"/>
  <c r="E157" i="53"/>
  <c r="E156" i="53"/>
  <c r="E155" i="53"/>
  <c r="E154" i="53"/>
  <c r="E153" i="53"/>
  <c r="E152" i="53"/>
  <c r="E151" i="53"/>
  <c r="E150" i="53"/>
  <c r="E147" i="53"/>
  <c r="E146" i="53"/>
  <c r="E145" i="53"/>
  <c r="E144" i="53"/>
  <c r="E143" i="53"/>
  <c r="E142" i="53"/>
  <c r="E141" i="53"/>
  <c r="E140" i="53"/>
  <c r="E139" i="53"/>
  <c r="E136" i="53"/>
  <c r="E135" i="53"/>
  <c r="E134" i="53"/>
  <c r="E133" i="53"/>
  <c r="E132" i="53"/>
  <c r="E131" i="53"/>
  <c r="E130" i="53"/>
  <c r="E129" i="53"/>
  <c r="E128" i="53"/>
  <c r="E125" i="53"/>
  <c r="E124" i="53"/>
  <c r="E123" i="53"/>
  <c r="E122" i="53"/>
  <c r="E121" i="53"/>
  <c r="E120" i="53"/>
  <c r="E119" i="53"/>
  <c r="E118" i="53"/>
  <c r="E117" i="53"/>
  <c r="E114" i="53"/>
  <c r="E113" i="53"/>
  <c r="E112" i="53"/>
  <c r="E109" i="53"/>
  <c r="E108" i="53"/>
  <c r="E107" i="53"/>
  <c r="E106" i="53"/>
  <c r="E105" i="53"/>
  <c r="E104" i="53"/>
  <c r="E103" i="53"/>
  <c r="E102" i="53"/>
  <c r="E99" i="53"/>
  <c r="E98" i="53"/>
  <c r="E97" i="53"/>
  <c r="E96" i="53"/>
  <c r="E95" i="53"/>
  <c r="E94" i="53"/>
  <c r="E93" i="53"/>
  <c r="E92" i="53"/>
  <c r="E86" i="53"/>
  <c r="E85" i="53" s="1"/>
  <c r="E83" i="53"/>
  <c r="E82" i="53"/>
  <c r="E81" i="53"/>
  <c r="E80" i="53"/>
  <c r="E79" i="53"/>
  <c r="E78" i="53"/>
  <c r="E75" i="53"/>
  <c r="E74" i="53"/>
  <c r="E73" i="53"/>
  <c r="E72" i="53"/>
  <c r="E71" i="53"/>
  <c r="E70" i="53"/>
  <c r="E69" i="53"/>
  <c r="E68" i="53"/>
  <c r="E67" i="53"/>
  <c r="E64" i="53"/>
  <c r="E63" i="53"/>
  <c r="E62" i="53"/>
  <c r="E61" i="53"/>
  <c r="E60" i="53"/>
  <c r="E59" i="53"/>
  <c r="E58" i="53"/>
  <c r="E57" i="53"/>
  <c r="E56" i="53"/>
  <c r="E53" i="53"/>
  <c r="E52" i="53"/>
  <c r="E51" i="53"/>
  <c r="E50" i="53"/>
  <c r="E49" i="53"/>
  <c r="E48" i="53"/>
  <c r="E47" i="53"/>
  <c r="E46" i="53"/>
  <c r="E45" i="53"/>
  <c r="E42" i="53"/>
  <c r="E41" i="53"/>
  <c r="E40" i="53"/>
  <c r="E39" i="53"/>
  <c r="E38" i="53"/>
  <c r="E37" i="53"/>
  <c r="E36" i="53"/>
  <c r="E35" i="53"/>
  <c r="E34" i="53"/>
  <c r="E31" i="53"/>
  <c r="E30" i="53"/>
  <c r="E29" i="53"/>
  <c r="E26" i="53"/>
  <c r="E25" i="53"/>
  <c r="E24" i="53"/>
  <c r="E23" i="53"/>
  <c r="E22" i="53"/>
  <c r="E21" i="53"/>
  <c r="E20" i="53"/>
  <c r="E19" i="53"/>
  <c r="E16" i="53"/>
  <c r="E15" i="53"/>
  <c r="E14" i="53"/>
  <c r="E13" i="53"/>
  <c r="E12" i="53"/>
  <c r="E11" i="53"/>
  <c r="E10" i="53"/>
  <c r="E9" i="53"/>
  <c r="D39" i="32"/>
  <c r="E39" i="32"/>
  <c r="F39" i="32"/>
  <c r="G39" i="32"/>
  <c r="H39" i="32"/>
  <c r="I39" i="32"/>
  <c r="J39" i="32"/>
  <c r="K39" i="32"/>
  <c r="L39" i="32"/>
  <c r="M39" i="32"/>
  <c r="N39" i="32"/>
  <c r="O39" i="32"/>
  <c r="P39" i="32"/>
  <c r="Q39" i="32"/>
  <c r="R39" i="32"/>
  <c r="S39" i="32"/>
  <c r="T39" i="32"/>
  <c r="U39" i="32"/>
  <c r="V39" i="32"/>
  <c r="W39" i="32"/>
  <c r="X39" i="32"/>
  <c r="Y39" i="32"/>
  <c r="Z39" i="32"/>
  <c r="AA39" i="32"/>
  <c r="AB39" i="32"/>
  <c r="AC39" i="32"/>
  <c r="AD39" i="32"/>
  <c r="AE39" i="32"/>
  <c r="AF39" i="32"/>
  <c r="AG39" i="32"/>
  <c r="AH39" i="32"/>
  <c r="AI39" i="32"/>
  <c r="AJ39" i="32"/>
  <c r="AK39" i="32"/>
  <c r="AL39" i="32"/>
  <c r="AM39" i="32"/>
  <c r="AN39" i="32"/>
  <c r="AO39" i="32"/>
  <c r="AP39" i="32"/>
  <c r="AQ39" i="32"/>
  <c r="AR39" i="32"/>
  <c r="AS39" i="32"/>
  <c r="AT39" i="32"/>
  <c r="AU39" i="32"/>
  <c r="AV39" i="32"/>
  <c r="AW39" i="32"/>
  <c r="AX39" i="32"/>
  <c r="AY39" i="32"/>
  <c r="AZ39" i="32"/>
  <c r="BA39" i="32"/>
  <c r="BB39" i="32"/>
  <c r="BC39" i="32"/>
  <c r="D37" i="32"/>
  <c r="E37" i="32"/>
  <c r="F37" i="32"/>
  <c r="G37" i="32"/>
  <c r="H37" i="32"/>
  <c r="I37" i="32"/>
  <c r="J37" i="32"/>
  <c r="K37" i="32"/>
  <c r="L37" i="32"/>
  <c r="M37" i="32"/>
  <c r="N37" i="32"/>
  <c r="O37" i="32"/>
  <c r="P37" i="32"/>
  <c r="Q37" i="32"/>
  <c r="R37" i="32"/>
  <c r="S37" i="32"/>
  <c r="T37" i="32"/>
  <c r="U37" i="32"/>
  <c r="V37" i="32"/>
  <c r="W37" i="32"/>
  <c r="X37" i="32"/>
  <c r="Y37" i="32"/>
  <c r="Z37" i="32"/>
  <c r="AA37" i="32"/>
  <c r="AB37" i="32"/>
  <c r="AC37" i="32"/>
  <c r="AD37" i="32"/>
  <c r="AE37" i="32"/>
  <c r="AF37" i="32"/>
  <c r="AG37" i="32"/>
  <c r="AH37" i="32"/>
  <c r="AI37" i="32"/>
  <c r="AJ37" i="32"/>
  <c r="AK37" i="32"/>
  <c r="AL37" i="32"/>
  <c r="AM37" i="32"/>
  <c r="AN37" i="32"/>
  <c r="AO37" i="32"/>
  <c r="AP37" i="32"/>
  <c r="AQ37" i="32"/>
  <c r="AR37" i="32"/>
  <c r="AS37" i="32"/>
  <c r="AT37" i="32"/>
  <c r="AU37" i="32"/>
  <c r="AV37" i="32"/>
  <c r="AW37" i="32"/>
  <c r="AX37" i="32"/>
  <c r="AY37" i="32"/>
  <c r="AZ37" i="32"/>
  <c r="BA37" i="32"/>
  <c r="BB37" i="32"/>
  <c r="BC37" i="32"/>
  <c r="D35" i="32"/>
  <c r="E35" i="32"/>
  <c r="F35" i="32"/>
  <c r="G35" i="32"/>
  <c r="H35" i="32"/>
  <c r="I35" i="32"/>
  <c r="J35" i="32"/>
  <c r="K35" i="32"/>
  <c r="L35" i="32"/>
  <c r="M35" i="32"/>
  <c r="N35" i="32"/>
  <c r="O35" i="32"/>
  <c r="P35" i="32"/>
  <c r="Q35" i="32"/>
  <c r="R35" i="32"/>
  <c r="S35" i="32"/>
  <c r="T35" i="32"/>
  <c r="T42" i="32" s="1"/>
  <c r="U35" i="32"/>
  <c r="V35" i="32"/>
  <c r="W35" i="32"/>
  <c r="X35" i="32"/>
  <c r="Y35" i="32"/>
  <c r="Z35" i="32"/>
  <c r="AA35" i="32"/>
  <c r="AB35" i="32"/>
  <c r="AC35" i="32"/>
  <c r="AD35" i="32"/>
  <c r="AE35" i="32"/>
  <c r="AF35" i="32"/>
  <c r="AG35" i="32"/>
  <c r="AH35" i="32"/>
  <c r="AH42" i="32" s="1"/>
  <c r="AI35" i="32"/>
  <c r="AJ35" i="32"/>
  <c r="AK35" i="32"/>
  <c r="AL35" i="32"/>
  <c r="AM35" i="32"/>
  <c r="AN35" i="32"/>
  <c r="AO35" i="32"/>
  <c r="AP35" i="32"/>
  <c r="AQ35" i="32"/>
  <c r="AR35" i="32"/>
  <c r="AS35" i="32"/>
  <c r="AT35" i="32"/>
  <c r="AU35" i="32"/>
  <c r="AV35" i="32"/>
  <c r="AW35" i="32"/>
  <c r="AX35" i="32"/>
  <c r="AX42" i="32" s="1"/>
  <c r="AY35" i="32"/>
  <c r="AZ35" i="32"/>
  <c r="BA35" i="32"/>
  <c r="BB35" i="32"/>
  <c r="BC35" i="32"/>
  <c r="D33" i="32"/>
  <c r="D42" i="32" s="1"/>
  <c r="E33" i="32"/>
  <c r="F33" i="32"/>
  <c r="G33" i="32"/>
  <c r="H33" i="32"/>
  <c r="I33" i="32"/>
  <c r="J33" i="32"/>
  <c r="K33" i="32"/>
  <c r="L33" i="32"/>
  <c r="M33" i="32"/>
  <c r="N33" i="32"/>
  <c r="N42" i="32" s="1"/>
  <c r="O33" i="32"/>
  <c r="O42" i="32" s="1"/>
  <c r="P33" i="32"/>
  <c r="P42" i="32" s="1"/>
  <c r="Q33" i="32"/>
  <c r="Q42" i="32" s="1"/>
  <c r="R33" i="32"/>
  <c r="S33" i="32"/>
  <c r="T33" i="32"/>
  <c r="U33" i="32"/>
  <c r="V33" i="32"/>
  <c r="W33" i="32"/>
  <c r="X33" i="32"/>
  <c r="X42" i="32" s="1"/>
  <c r="Y33" i="32"/>
  <c r="Z33" i="32"/>
  <c r="AA33" i="32"/>
  <c r="AB33" i="32"/>
  <c r="AC33" i="32"/>
  <c r="AD33" i="32"/>
  <c r="AD42" i="32" s="1"/>
  <c r="AE33" i="32"/>
  <c r="AE42" i="32" s="1"/>
  <c r="AF33" i="32"/>
  <c r="AF42" i="32" s="1"/>
  <c r="AG33" i="32"/>
  <c r="AG42" i="32" s="1"/>
  <c r="AH33" i="32"/>
  <c r="AI33" i="32"/>
  <c r="AJ33" i="32"/>
  <c r="AK33" i="32"/>
  <c r="AL33" i="32"/>
  <c r="AM33" i="32"/>
  <c r="AN33" i="32"/>
  <c r="AO33" i="32"/>
  <c r="AP33" i="32"/>
  <c r="AQ33" i="32"/>
  <c r="AR33" i="32"/>
  <c r="AS33" i="32"/>
  <c r="AT33" i="32"/>
  <c r="AU33" i="32"/>
  <c r="AU42" i="32" s="1"/>
  <c r="AV33" i="32"/>
  <c r="AV42" i="32" s="1"/>
  <c r="AW33" i="32"/>
  <c r="AW42" i="32" s="1"/>
  <c r="AX33" i="32"/>
  <c r="AY33" i="32"/>
  <c r="AZ33" i="32"/>
  <c r="BA33" i="32"/>
  <c r="BB33" i="32"/>
  <c r="BC33" i="32"/>
  <c r="D31" i="32"/>
  <c r="E31" i="32"/>
  <c r="F31" i="32"/>
  <c r="G31" i="32"/>
  <c r="H31" i="32"/>
  <c r="I31" i="32"/>
  <c r="J31" i="32"/>
  <c r="K31" i="32"/>
  <c r="L31" i="32"/>
  <c r="M31" i="32"/>
  <c r="N31" i="32"/>
  <c r="O31" i="32"/>
  <c r="P31" i="32"/>
  <c r="Q31" i="32"/>
  <c r="R31" i="32"/>
  <c r="S31" i="32"/>
  <c r="T31" i="32"/>
  <c r="U31" i="32"/>
  <c r="V31" i="32"/>
  <c r="W31" i="32"/>
  <c r="X31" i="32"/>
  <c r="Y31" i="32"/>
  <c r="Z31" i="32"/>
  <c r="Z45" i="32" s="1"/>
  <c r="AA31" i="32"/>
  <c r="AB31" i="32"/>
  <c r="AC31" i="32"/>
  <c r="AD31" i="32"/>
  <c r="AE31" i="32"/>
  <c r="AF31" i="32"/>
  <c r="AG31" i="32"/>
  <c r="AH31" i="32"/>
  <c r="AI31" i="32"/>
  <c r="AJ31" i="32"/>
  <c r="AK31" i="32"/>
  <c r="AL31" i="32"/>
  <c r="AM31" i="32"/>
  <c r="AN31" i="32"/>
  <c r="AO31" i="32"/>
  <c r="AP31" i="32"/>
  <c r="AQ31" i="32"/>
  <c r="AR31" i="32"/>
  <c r="AS31" i="32"/>
  <c r="AT31" i="32"/>
  <c r="AU31" i="32"/>
  <c r="AV31" i="32"/>
  <c r="AW31" i="32"/>
  <c r="AX31" i="32"/>
  <c r="AY31" i="32"/>
  <c r="AZ31" i="32"/>
  <c r="BA31" i="32"/>
  <c r="BB31" i="32"/>
  <c r="BC31" i="32"/>
  <c r="D29" i="32"/>
  <c r="E29" i="32"/>
  <c r="F29" i="32"/>
  <c r="G29" i="32"/>
  <c r="G45" i="32" s="1"/>
  <c r="H29" i="32"/>
  <c r="I29" i="32"/>
  <c r="I45" i="32" s="1"/>
  <c r="J29" i="32"/>
  <c r="K29" i="32"/>
  <c r="L29" i="32"/>
  <c r="M29" i="32"/>
  <c r="N29" i="32"/>
  <c r="O29" i="32"/>
  <c r="O45" i="32" s="1"/>
  <c r="P29" i="32"/>
  <c r="Q29" i="32"/>
  <c r="Q45" i="32" s="1"/>
  <c r="R29" i="32"/>
  <c r="S29" i="32"/>
  <c r="S45" i="32" s="1"/>
  <c r="T29" i="32"/>
  <c r="U29" i="32"/>
  <c r="V29" i="32"/>
  <c r="W29" i="32"/>
  <c r="W45" i="32" s="1"/>
  <c r="X29" i="32"/>
  <c r="Y29" i="32"/>
  <c r="Y45" i="32" s="1"/>
  <c r="Z29" i="32"/>
  <c r="AA29" i="32"/>
  <c r="AB29" i="32"/>
  <c r="AC29" i="32"/>
  <c r="AD29" i="32"/>
  <c r="AE29" i="32"/>
  <c r="AE45" i="32" s="1"/>
  <c r="AF29" i="32"/>
  <c r="AF45" i="32" s="1"/>
  <c r="AG29" i="32"/>
  <c r="AG45" i="32" s="1"/>
  <c r="AH29" i="32"/>
  <c r="AI29" i="32"/>
  <c r="AI45" i="32" s="1"/>
  <c r="AJ29" i="32"/>
  <c r="AK29" i="32"/>
  <c r="AL29" i="32"/>
  <c r="AL45" i="32" s="1"/>
  <c r="AM29" i="32"/>
  <c r="AM45" i="32" s="1"/>
  <c r="AN29" i="32"/>
  <c r="AN45" i="32" s="1"/>
  <c r="AO29" i="32"/>
  <c r="AO45" i="32" s="1"/>
  <c r="AP29" i="32"/>
  <c r="AQ29" i="32"/>
  <c r="AR29" i="32"/>
  <c r="AS29" i="32"/>
  <c r="AT29" i="32"/>
  <c r="AT45" i="32" s="1"/>
  <c r="AU29" i="32"/>
  <c r="AU45" i="32" s="1"/>
  <c r="AV29" i="32"/>
  <c r="AW29" i="32"/>
  <c r="AW45" i="32" s="1"/>
  <c r="AX29" i="32"/>
  <c r="AY29" i="32"/>
  <c r="AY45" i="32" s="1"/>
  <c r="AZ29" i="32"/>
  <c r="BA29" i="32"/>
  <c r="BB29" i="32"/>
  <c r="BC29" i="32"/>
  <c r="BC45" i="32" s="1"/>
  <c r="D45" i="32"/>
  <c r="R45" i="32"/>
  <c r="C33" i="32"/>
  <c r="C39" i="32"/>
  <c r="C37" i="32"/>
  <c r="C35" i="32"/>
  <c r="C31" i="32"/>
  <c r="C29" i="32"/>
  <c r="F220" i="51"/>
  <c r="F219" i="51"/>
  <c r="F216" i="51"/>
  <c r="F215" i="51" s="1"/>
  <c r="F213" i="51"/>
  <c r="F212" i="51" s="1"/>
  <c r="F210" i="51"/>
  <c r="F209" i="51" s="1"/>
  <c r="F207" i="51"/>
  <c r="F206" i="51" s="1"/>
  <c r="F204" i="51"/>
  <c r="F203" i="51" s="1"/>
  <c r="F201" i="51"/>
  <c r="F200" i="51" s="1"/>
  <c r="F198" i="51"/>
  <c r="F197" i="51"/>
  <c r="F194" i="51"/>
  <c r="F193" i="51" s="1"/>
  <c r="F190" i="51"/>
  <c r="F189" i="51"/>
  <c r="F188" i="51"/>
  <c r="F187" i="51"/>
  <c r="F184" i="51"/>
  <c r="F183" i="51"/>
  <c r="F182" i="51"/>
  <c r="F181" i="51"/>
  <c r="F180" i="51"/>
  <c r="F179" i="51"/>
  <c r="F178" i="51"/>
  <c r="F177" i="51"/>
  <c r="F176" i="51"/>
  <c r="F173" i="51"/>
  <c r="F172" i="51"/>
  <c r="F171" i="51"/>
  <c r="F170" i="51"/>
  <c r="F169" i="51"/>
  <c r="F168" i="51"/>
  <c r="F165" i="51"/>
  <c r="F164" i="51"/>
  <c r="F163" i="51"/>
  <c r="F162" i="51"/>
  <c r="F161" i="51"/>
  <c r="F160" i="51"/>
  <c r="F159" i="51"/>
  <c r="F158" i="51"/>
  <c r="F157" i="51"/>
  <c r="F156" i="51"/>
  <c r="F153" i="51"/>
  <c r="F152" i="51"/>
  <c r="F151" i="51"/>
  <c r="F150" i="51"/>
  <c r="F149" i="51"/>
  <c r="F148" i="51"/>
  <c r="F147" i="51"/>
  <c r="F146" i="51"/>
  <c r="F143" i="51"/>
  <c r="F142" i="51"/>
  <c r="F141" i="51"/>
  <c r="F140" i="51"/>
  <c r="F139" i="51"/>
  <c r="F138" i="51"/>
  <c r="F137" i="51"/>
  <c r="F136" i="51"/>
  <c r="F133" i="51"/>
  <c r="F132" i="51"/>
  <c r="F131" i="51"/>
  <c r="F130" i="51"/>
  <c r="F129" i="51"/>
  <c r="F128" i="51"/>
  <c r="F127" i="51"/>
  <c r="F126" i="51"/>
  <c r="F120" i="51"/>
  <c r="F119" i="51"/>
  <c r="F118" i="51"/>
  <c r="F117" i="51"/>
  <c r="F116" i="51"/>
  <c r="F115" i="51"/>
  <c r="F114" i="51"/>
  <c r="F113" i="51"/>
  <c r="F112" i="51"/>
  <c r="F111" i="51"/>
  <c r="F108" i="51"/>
  <c r="F107" i="51"/>
  <c r="F106" i="51"/>
  <c r="F105" i="51"/>
  <c r="F104" i="51"/>
  <c r="F103" i="51"/>
  <c r="F102" i="51"/>
  <c r="F101" i="51"/>
  <c r="F100" i="51"/>
  <c r="F97" i="51"/>
  <c r="F96" i="51"/>
  <c r="F95" i="51"/>
  <c r="F94" i="51"/>
  <c r="F93" i="51"/>
  <c r="F92" i="51"/>
  <c r="F91" i="51"/>
  <c r="F90" i="51"/>
  <c r="F89" i="51"/>
  <c r="F86" i="51"/>
  <c r="F85" i="51"/>
  <c r="F84" i="51"/>
  <c r="F83" i="51"/>
  <c r="F80" i="51"/>
  <c r="F79" i="51"/>
  <c r="F78" i="51"/>
  <c r="F77" i="51"/>
  <c r="F76" i="51"/>
  <c r="F75" i="51"/>
  <c r="F74" i="51"/>
  <c r="F73" i="51"/>
  <c r="F72" i="51"/>
  <c r="F68" i="51"/>
  <c r="F67" i="51"/>
  <c r="F66" i="51"/>
  <c r="F65" i="51"/>
  <c r="F62" i="51"/>
  <c r="F61" i="51"/>
  <c r="F60" i="51"/>
  <c r="F59" i="51"/>
  <c r="F58" i="51"/>
  <c r="F57" i="51"/>
  <c r="F54" i="51"/>
  <c r="F53" i="51"/>
  <c r="F52" i="51"/>
  <c r="F51" i="51"/>
  <c r="F48" i="51"/>
  <c r="F47" i="51"/>
  <c r="F46" i="51"/>
  <c r="F45" i="51"/>
  <c r="F44" i="51"/>
  <c r="F41" i="51"/>
  <c r="F40" i="51"/>
  <c r="F39" i="51"/>
  <c r="F38" i="51"/>
  <c r="F37" i="51"/>
  <c r="F36" i="51"/>
  <c r="F35" i="51"/>
  <c r="F34" i="51"/>
  <c r="F31" i="51"/>
  <c r="F30" i="51"/>
  <c r="F29" i="51"/>
  <c r="F28" i="51"/>
  <c r="F25" i="51"/>
  <c r="F24" i="51"/>
  <c r="F23" i="51"/>
  <c r="F22" i="51"/>
  <c r="F21" i="51"/>
  <c r="F20" i="51"/>
  <c r="F19" i="51"/>
  <c r="F18" i="51"/>
  <c r="BA45" i="32" l="1"/>
  <c r="AK45" i="32"/>
  <c r="U45" i="32"/>
  <c r="E45" i="32"/>
  <c r="AS42" i="32"/>
  <c r="AC42" i="32"/>
  <c r="M42" i="32"/>
  <c r="AZ45" i="32"/>
  <c r="AR42" i="32"/>
  <c r="AB42" i="32"/>
  <c r="L42" i="32"/>
  <c r="AA42" i="32"/>
  <c r="AP42" i="32"/>
  <c r="Y42" i="32"/>
  <c r="BB42" i="32"/>
  <c r="AL42" i="32"/>
  <c r="V42" i="32"/>
  <c r="F42" i="32"/>
  <c r="K42" i="32"/>
  <c r="J42" i="32"/>
  <c r="AO42" i="32"/>
  <c r="AM42" i="32"/>
  <c r="AS45" i="32"/>
  <c r="AC45" i="32"/>
  <c r="M45" i="32"/>
  <c r="BA42" i="32"/>
  <c r="AK42" i="32"/>
  <c r="U42" i="32"/>
  <c r="Z42" i="32"/>
  <c r="AR45" i="32"/>
  <c r="L45" i="32"/>
  <c r="AZ42" i="32"/>
  <c r="AJ42" i="32"/>
  <c r="AQ42" i="32"/>
  <c r="H42" i="32"/>
  <c r="BC42" i="32"/>
  <c r="AQ45" i="32"/>
  <c r="AA45" i="32"/>
  <c r="K45" i="32"/>
  <c r="AY42" i="32"/>
  <c r="AI42" i="32"/>
  <c r="BG42" i="32" s="1"/>
  <c r="S42" i="32"/>
  <c r="AN42" i="32"/>
  <c r="W42" i="32"/>
  <c r="BF42" i="32" s="1"/>
  <c r="R42" i="32"/>
  <c r="AJ45" i="32"/>
  <c r="C45" i="52" s="1"/>
  <c r="AX45" i="32"/>
  <c r="AD45" i="32"/>
  <c r="V45" i="32"/>
  <c r="H45" i="32"/>
  <c r="BB45" i="32"/>
  <c r="AP45" i="32"/>
  <c r="AH45" i="32"/>
  <c r="AB45" i="32"/>
  <c r="X45" i="32"/>
  <c r="T45" i="32"/>
  <c r="N45" i="32"/>
  <c r="F45" i="32"/>
  <c r="C45" i="32"/>
  <c r="C42" i="32"/>
  <c r="E42" i="32"/>
  <c r="AV45" i="32"/>
  <c r="P45" i="32"/>
  <c r="J45" i="32"/>
  <c r="AT42" i="32"/>
  <c r="BG37" i="32"/>
  <c r="BG31" i="32"/>
  <c r="BF37" i="32"/>
  <c r="BF39" i="32"/>
  <c r="BF35" i="32"/>
  <c r="BF31" i="32"/>
  <c r="BF33" i="32"/>
  <c r="BF29" i="32"/>
  <c r="BF45" i="32" s="1"/>
  <c r="BG35" i="32"/>
  <c r="BG33" i="32"/>
  <c r="BG39" i="32"/>
  <c r="BG29" i="32"/>
  <c r="BG45" i="32" s="1"/>
  <c r="C35" i="52"/>
  <c r="I42" i="32"/>
  <c r="C37" i="52"/>
  <c r="G42" i="32"/>
  <c r="BE37" i="32"/>
  <c r="BD37" i="32"/>
  <c r="BD39" i="32"/>
  <c r="BE35" i="32"/>
  <c r="BD35" i="32"/>
  <c r="C33" i="52"/>
  <c r="C31" i="52"/>
  <c r="BE29" i="32"/>
  <c r="BE39" i="32"/>
  <c r="C39" i="52"/>
  <c r="BD33" i="32"/>
  <c r="BE33" i="32"/>
  <c r="BE31" i="32"/>
  <c r="BD31" i="32"/>
  <c r="C29" i="52"/>
  <c r="BD29" i="32"/>
  <c r="E116" i="53"/>
  <c r="E138" i="53"/>
  <c r="E160" i="53"/>
  <c r="E33" i="53"/>
  <c r="E55" i="53"/>
  <c r="E77" i="53"/>
  <c r="E8" i="53"/>
  <c r="E18" i="53"/>
  <c r="E28" i="53"/>
  <c r="E44" i="53"/>
  <c r="E66" i="53"/>
  <c r="E91" i="53"/>
  <c r="E101" i="53"/>
  <c r="E111" i="53"/>
  <c r="E127" i="53"/>
  <c r="E149" i="53"/>
  <c r="E171" i="53"/>
  <c r="F17" i="51"/>
  <c r="F27" i="51"/>
  <c r="F33" i="51"/>
  <c r="F43" i="51"/>
  <c r="F71" i="51"/>
  <c r="F88" i="51"/>
  <c r="F175" i="51"/>
  <c r="F186" i="51"/>
  <c r="F50" i="51"/>
  <c r="F56" i="51"/>
  <c r="F64" i="51"/>
  <c r="F82" i="51"/>
  <c r="F99" i="51"/>
  <c r="F110" i="51"/>
  <c r="F125" i="51"/>
  <c r="F135" i="51"/>
  <c r="F145" i="51"/>
  <c r="F155" i="51"/>
  <c r="F167" i="51"/>
  <c r="F196" i="51"/>
  <c r="F218" i="51"/>
  <c r="F15" i="51"/>
  <c r="F14" i="51"/>
  <c r="F13" i="51"/>
  <c r="F12" i="51"/>
  <c r="F11" i="51"/>
  <c r="F10" i="51"/>
  <c r="BE45" i="32" l="1"/>
  <c r="BE42" i="32"/>
  <c r="BD42" i="32"/>
  <c r="C42" i="52"/>
  <c r="BD45" i="32"/>
  <c r="F9" i="51"/>
  <c r="C45" i="50"/>
  <c r="C44" i="50"/>
  <c r="C41" i="50"/>
  <c r="C40" i="50"/>
  <c r="C37" i="50"/>
  <c r="C36" i="50"/>
  <c r="C33" i="50"/>
  <c r="C32" i="50"/>
  <c r="C29" i="50"/>
  <c r="C28" i="50"/>
  <c r="C25" i="50"/>
  <c r="C24" i="50"/>
  <c r="C21" i="50"/>
  <c r="C20" i="50"/>
  <c r="C17" i="50"/>
  <c r="C16" i="50"/>
  <c r="C13" i="50"/>
  <c r="C12" i="50"/>
  <c r="C9" i="50"/>
  <c r="C8" i="50"/>
  <c r="E159" i="48"/>
  <c r="E158" i="48"/>
  <c r="E152" i="48"/>
  <c r="E151" i="48"/>
  <c r="E150" i="48"/>
  <c r="E149" i="48"/>
  <c r="E148" i="48"/>
  <c r="E147" i="48"/>
  <c r="E146" i="48"/>
  <c r="E145" i="48"/>
  <c r="E142" i="48"/>
  <c r="E141" i="48"/>
  <c r="E140" i="48"/>
  <c r="E139" i="48"/>
  <c r="E138" i="48"/>
  <c r="E137" i="48"/>
  <c r="E136" i="48"/>
  <c r="E133" i="48"/>
  <c r="E132" i="48" s="1"/>
  <c r="E130" i="48"/>
  <c r="E129" i="48"/>
  <c r="E128" i="48"/>
  <c r="E127" i="48"/>
  <c r="E126" i="48"/>
  <c r="E123" i="48"/>
  <c r="E122" i="48"/>
  <c r="E119" i="48"/>
  <c r="E118" i="48"/>
  <c r="E117" i="48"/>
  <c r="E116" i="48"/>
  <c r="E115" i="48"/>
  <c r="E114" i="48"/>
  <c r="E113" i="48"/>
  <c r="E112" i="48"/>
  <c r="E111" i="48"/>
  <c r="E110" i="48"/>
  <c r="E107" i="48"/>
  <c r="E106" i="48"/>
  <c r="E105" i="48"/>
  <c r="E104" i="48"/>
  <c r="E101" i="48"/>
  <c r="E100" i="48"/>
  <c r="E99" i="48"/>
  <c r="E98" i="48"/>
  <c r="E97" i="48"/>
  <c r="E96" i="48"/>
  <c r="E95" i="48"/>
  <c r="E94" i="48"/>
  <c r="E93" i="48"/>
  <c r="E90" i="48"/>
  <c r="E89" i="48"/>
  <c r="E88" i="48"/>
  <c r="E87" i="48"/>
  <c r="E84" i="48"/>
  <c r="E83" i="48"/>
  <c r="E82" i="48"/>
  <c r="E81" i="48"/>
  <c r="E76" i="48"/>
  <c r="E75" i="48"/>
  <c r="E74" i="48"/>
  <c r="E73" i="48"/>
  <c r="E72" i="48"/>
  <c r="E71" i="48"/>
  <c r="E70" i="48"/>
  <c r="E69" i="48"/>
  <c r="E66" i="48"/>
  <c r="E65" i="48"/>
  <c r="E64" i="48"/>
  <c r="E63" i="48"/>
  <c r="E62" i="48"/>
  <c r="E61" i="48"/>
  <c r="E58" i="48"/>
  <c r="E57" i="48" s="1"/>
  <c r="E55" i="48"/>
  <c r="E54" i="48"/>
  <c r="E53" i="48"/>
  <c r="E52" i="48"/>
  <c r="E51" i="48"/>
  <c r="E50" i="48"/>
  <c r="E49" i="48"/>
  <c r="E48" i="48"/>
  <c r="E45" i="48"/>
  <c r="E44" i="48"/>
  <c r="E41" i="48"/>
  <c r="E40" i="48"/>
  <c r="E39" i="48"/>
  <c r="E38" i="48"/>
  <c r="E37" i="48"/>
  <c r="E36" i="48"/>
  <c r="E33" i="48"/>
  <c r="E32" i="48"/>
  <c r="E29" i="48"/>
  <c r="E28" i="48"/>
  <c r="E27" i="48"/>
  <c r="E26" i="48"/>
  <c r="E25" i="48"/>
  <c r="E24" i="48"/>
  <c r="E23" i="48"/>
  <c r="E22" i="48"/>
  <c r="E21" i="48"/>
  <c r="E20" i="48"/>
  <c r="E17" i="48"/>
  <c r="E16" i="48"/>
  <c r="E15" i="48"/>
  <c r="E14" i="48"/>
  <c r="E13" i="48"/>
  <c r="E12" i="48"/>
  <c r="E11" i="48"/>
  <c r="E10" i="48"/>
  <c r="C15" i="50" l="1"/>
  <c r="C7" i="50"/>
  <c r="C11" i="50"/>
  <c r="C19" i="50"/>
  <c r="C23" i="50"/>
  <c r="C27" i="50"/>
  <c r="C31" i="50"/>
  <c r="C35" i="50"/>
  <c r="C39" i="50"/>
  <c r="C43" i="50"/>
  <c r="E68" i="48"/>
  <c r="E80" i="48"/>
  <c r="E144" i="48"/>
  <c r="E157" i="48"/>
  <c r="E86" i="48"/>
  <c r="E60" i="48"/>
  <c r="E92" i="48"/>
  <c r="E103" i="48"/>
  <c r="E109" i="48"/>
  <c r="E121" i="48"/>
  <c r="E125" i="48"/>
  <c r="E135" i="48"/>
  <c r="E19" i="48"/>
  <c r="E31" i="48"/>
  <c r="E35" i="48"/>
  <c r="E43" i="48"/>
  <c r="E47" i="48"/>
  <c r="M113" i="34"/>
  <c r="E17" i="46" l="1"/>
  <c r="E15" i="46"/>
  <c r="E14" i="46"/>
  <c r="E13" i="46"/>
  <c r="E12" i="46"/>
  <c r="C13" i="44"/>
  <c r="C12" i="44"/>
  <c r="C11" i="44"/>
  <c r="C10" i="44"/>
  <c r="G220" i="24" l="1"/>
  <c r="H220" i="24"/>
  <c r="I220" i="24"/>
  <c r="J220" i="24"/>
  <c r="K220" i="24"/>
  <c r="L220" i="24"/>
  <c r="M220" i="24"/>
  <c r="N220" i="24"/>
  <c r="O220" i="24"/>
  <c r="P220" i="24"/>
  <c r="Q220" i="24"/>
  <c r="R220" i="24"/>
  <c r="S220" i="24"/>
  <c r="T220" i="24"/>
  <c r="U220" i="24"/>
  <c r="V220" i="24"/>
  <c r="W220" i="24"/>
  <c r="X220" i="24"/>
  <c r="Y220" i="24"/>
  <c r="Z220" i="24"/>
  <c r="AA220" i="24"/>
  <c r="AB220" i="24"/>
  <c r="AC220" i="24"/>
  <c r="AD220" i="24"/>
  <c r="AE220" i="24"/>
  <c r="AF220" i="24"/>
  <c r="AG220" i="24"/>
  <c r="AH220" i="24"/>
  <c r="AI220" i="24"/>
  <c r="AJ220" i="24"/>
  <c r="AK220" i="24"/>
  <c r="AL220" i="24"/>
  <c r="AM220" i="24"/>
  <c r="AN220" i="24"/>
  <c r="AO220" i="24"/>
  <c r="AP220" i="24"/>
  <c r="AQ220" i="24"/>
  <c r="AR220" i="24"/>
  <c r="AS220" i="24"/>
  <c r="AT220" i="24"/>
  <c r="AU220" i="24"/>
  <c r="AV220" i="24"/>
  <c r="AW220" i="24"/>
  <c r="AX220" i="24"/>
  <c r="AY220" i="24"/>
  <c r="AZ220" i="24"/>
  <c r="BA220" i="24"/>
  <c r="BB220" i="24"/>
  <c r="BC220" i="24"/>
  <c r="BD220" i="24"/>
  <c r="BE220" i="24"/>
  <c r="BF220" i="24"/>
  <c r="F220" i="24"/>
  <c r="G221" i="24"/>
  <c r="H221" i="24"/>
  <c r="I221" i="24"/>
  <c r="J221" i="24"/>
  <c r="K221" i="24"/>
  <c r="L221" i="24"/>
  <c r="M221" i="24"/>
  <c r="N221" i="24"/>
  <c r="O221" i="24"/>
  <c r="P221" i="24"/>
  <c r="Q221" i="24"/>
  <c r="R221" i="24"/>
  <c r="S221" i="24"/>
  <c r="T221" i="24"/>
  <c r="U221" i="24"/>
  <c r="V221" i="24"/>
  <c r="W221" i="24"/>
  <c r="X221" i="24"/>
  <c r="Y221" i="24"/>
  <c r="Z221" i="24"/>
  <c r="AA221" i="24"/>
  <c r="AB221" i="24"/>
  <c r="AC221" i="24"/>
  <c r="AD221" i="24"/>
  <c r="AE221" i="24"/>
  <c r="AF221" i="24"/>
  <c r="AG221" i="24"/>
  <c r="AH221" i="24"/>
  <c r="AI221" i="24"/>
  <c r="AJ221" i="24"/>
  <c r="AK221" i="24"/>
  <c r="AL221" i="24"/>
  <c r="AM221" i="24"/>
  <c r="AN221" i="24"/>
  <c r="AO221" i="24"/>
  <c r="AP221" i="24"/>
  <c r="AQ221" i="24"/>
  <c r="AR221" i="24"/>
  <c r="AS221" i="24"/>
  <c r="AT221" i="24"/>
  <c r="AU221" i="24"/>
  <c r="AV221" i="24"/>
  <c r="AW221" i="24"/>
  <c r="AX221" i="24"/>
  <c r="AY221" i="24"/>
  <c r="AZ221" i="24"/>
  <c r="BA221" i="24"/>
  <c r="BB221" i="24"/>
  <c r="BC221" i="24"/>
  <c r="BD221" i="24"/>
  <c r="BE221" i="24"/>
  <c r="BF221" i="24"/>
  <c r="F221" i="24"/>
  <c r="BE223" i="24" l="1"/>
  <c r="BC223" i="24"/>
  <c r="BA223" i="24"/>
  <c r="AU223" i="24"/>
  <c r="AS223" i="24"/>
  <c r="AQ223" i="24"/>
  <c r="AO223" i="24"/>
  <c r="AK223" i="24"/>
  <c r="AG223" i="24"/>
  <c r="AE223" i="24"/>
  <c r="AC223" i="24"/>
  <c r="AA223" i="24"/>
  <c r="Y223" i="24"/>
  <c r="U223" i="24"/>
  <c r="Q223" i="24"/>
  <c r="K223" i="24"/>
  <c r="AY223" i="24"/>
  <c r="AW223" i="24"/>
  <c r="BD223" i="24"/>
  <c r="BB223" i="24"/>
  <c r="AZ223" i="24"/>
  <c r="AN223" i="24"/>
  <c r="AM223" i="24"/>
  <c r="W223" i="24"/>
  <c r="F223" i="51"/>
  <c r="Z223" i="24"/>
  <c r="P223" i="24"/>
  <c r="L223" i="24"/>
  <c r="J223" i="24"/>
  <c r="AT223" i="24"/>
  <c r="AI223" i="24"/>
  <c r="AJ223" i="24"/>
  <c r="AF223" i="24"/>
  <c r="AD223" i="24"/>
  <c r="AB223" i="24"/>
  <c r="AR223" i="24"/>
  <c r="AX223" i="24"/>
  <c r="O223" i="24"/>
  <c r="S223" i="24"/>
  <c r="V223" i="24"/>
  <c r="AP223" i="24"/>
  <c r="AH223" i="24"/>
  <c r="BF223" i="24"/>
  <c r="AV223" i="24"/>
  <c r="T223" i="24"/>
  <c r="X223" i="24"/>
  <c r="F224" i="51"/>
  <c r="R223" i="24"/>
  <c r="AL223" i="24"/>
  <c r="I223" i="24"/>
  <c r="H223" i="24"/>
  <c r="M223" i="24"/>
  <c r="G223" i="24"/>
  <c r="N223" i="24"/>
  <c r="F223" i="24"/>
  <c r="BI83" i="24"/>
  <c r="BI82" i="24"/>
  <c r="F226" i="51" l="1"/>
  <c r="BI176" i="34"/>
  <c r="BI123" i="34"/>
  <c r="BJ83" i="24" l="1"/>
  <c r="BJ82" i="24"/>
  <c r="F79" i="24" l="1"/>
  <c r="G79" i="24"/>
  <c r="H79" i="24"/>
  <c r="I79" i="24"/>
  <c r="J79" i="24"/>
  <c r="K79" i="24"/>
  <c r="L79" i="24"/>
  <c r="M79" i="24"/>
  <c r="N79" i="24"/>
  <c r="O79" i="24"/>
  <c r="Q79" i="24"/>
  <c r="R79" i="24"/>
  <c r="S79" i="24"/>
  <c r="T79" i="24"/>
  <c r="U79" i="24"/>
  <c r="V79" i="24"/>
  <c r="W79" i="24"/>
  <c r="X79" i="24"/>
  <c r="Y79" i="24"/>
  <c r="Z79" i="24"/>
  <c r="AA79" i="24"/>
  <c r="AB79" i="24"/>
  <c r="AC79" i="24"/>
  <c r="AD79" i="24"/>
  <c r="AE79" i="24"/>
  <c r="AF79" i="24"/>
  <c r="AG79" i="24"/>
  <c r="AH79" i="24"/>
  <c r="AI79" i="24"/>
  <c r="AJ79" i="24"/>
  <c r="AK79" i="24"/>
  <c r="AL79" i="24"/>
  <c r="AM79" i="24"/>
  <c r="AN79" i="24"/>
  <c r="AO79" i="24"/>
  <c r="AP79" i="24"/>
  <c r="AQ79" i="24"/>
  <c r="AR79" i="24"/>
  <c r="AS79" i="24"/>
  <c r="AT79" i="24"/>
  <c r="AU79" i="24"/>
  <c r="AV79" i="24"/>
  <c r="AW79" i="24"/>
  <c r="AX79" i="24"/>
  <c r="AY79" i="24"/>
  <c r="AZ79" i="24"/>
  <c r="BA79" i="24"/>
  <c r="BB79" i="24"/>
  <c r="BC79" i="24"/>
  <c r="BD79" i="24"/>
  <c r="BE79" i="24"/>
  <c r="BF79" i="24"/>
  <c r="P79" i="24"/>
  <c r="BG83" i="24"/>
  <c r="BH83" i="24"/>
  <c r="BG82" i="24"/>
  <c r="BH82" i="24"/>
  <c r="BF176" i="34" l="1"/>
  <c r="BG176" i="34"/>
  <c r="BF163" i="23" l="1"/>
  <c r="BG163" i="23"/>
  <c r="BH163" i="23"/>
  <c r="BI163" i="23"/>
  <c r="BF164" i="23"/>
  <c r="D16" i="27" s="1"/>
  <c r="BG164" i="23"/>
  <c r="BH164" i="23"/>
  <c r="BI164" i="23"/>
  <c r="E12" i="35"/>
  <c r="E13" i="35"/>
  <c r="E17" i="35"/>
  <c r="E18" i="35"/>
  <c r="E19" i="35"/>
  <c r="E20" i="35"/>
  <c r="E30" i="35"/>
  <c r="E31" i="35"/>
  <c r="E32" i="35"/>
  <c r="E33" i="35"/>
  <c r="E34" i="35"/>
  <c r="E35" i="35"/>
  <c r="E36" i="35"/>
  <c r="E37" i="35"/>
  <c r="E38" i="35"/>
  <c r="E39" i="35"/>
  <c r="E43" i="35"/>
  <c r="E44" i="35"/>
  <c r="E22" i="35" l="1"/>
  <c r="E16" i="39" s="1"/>
  <c r="E41" i="35"/>
  <c r="E24" i="38" s="1"/>
  <c r="E15" i="35"/>
  <c r="E17" i="40" s="1"/>
  <c r="E46" i="35"/>
  <c r="E48" i="35" s="1"/>
  <c r="E26" i="40" s="1"/>
  <c r="E24" i="35"/>
  <c r="E24" i="40"/>
  <c r="E19" i="40"/>
  <c r="F12" i="39"/>
  <c r="F14" i="39" s="1"/>
  <c r="G12" i="39"/>
  <c r="G14" i="39" s="1"/>
  <c r="H12" i="39"/>
  <c r="H14" i="39" s="1"/>
  <c r="I12" i="39"/>
  <c r="I14" i="39" s="1"/>
  <c r="J12" i="39"/>
  <c r="J14" i="39" s="1"/>
  <c r="K12" i="39"/>
  <c r="K14" i="39" s="1"/>
  <c r="L12" i="39"/>
  <c r="L14" i="39" s="1"/>
  <c r="M12" i="39"/>
  <c r="M14" i="39" s="1"/>
  <c r="N12" i="39"/>
  <c r="N14" i="39" s="1"/>
  <c r="O12" i="39"/>
  <c r="O14" i="39" s="1"/>
  <c r="P12" i="39"/>
  <c r="P14" i="39" s="1"/>
  <c r="Q12" i="39"/>
  <c r="Q14" i="39" s="1"/>
  <c r="R12" i="39"/>
  <c r="R14" i="39" s="1"/>
  <c r="S12" i="39"/>
  <c r="S14" i="39" s="1"/>
  <c r="T12" i="39"/>
  <c r="T14" i="39" s="1"/>
  <c r="U12" i="39"/>
  <c r="U14" i="39" s="1"/>
  <c r="V12" i="39"/>
  <c r="V14" i="39" s="1"/>
  <c r="W12" i="39"/>
  <c r="W14" i="39" s="1"/>
  <c r="X12" i="39"/>
  <c r="X14" i="39" s="1"/>
  <c r="Y12" i="39"/>
  <c r="Y14" i="39" s="1"/>
  <c r="Z12" i="39"/>
  <c r="Z14" i="39" s="1"/>
  <c r="AA12" i="39"/>
  <c r="AA14" i="39" s="1"/>
  <c r="AB12" i="39"/>
  <c r="AB14" i="39" s="1"/>
  <c r="AC12" i="39"/>
  <c r="AC14" i="39" s="1"/>
  <c r="AD12" i="39"/>
  <c r="AD14" i="39" s="1"/>
  <c r="AE12" i="39"/>
  <c r="AE14" i="39" s="1"/>
  <c r="AF12" i="39"/>
  <c r="AF14" i="39" s="1"/>
  <c r="AG12" i="39"/>
  <c r="AG14" i="39" s="1"/>
  <c r="AH12" i="39"/>
  <c r="AH14" i="39" s="1"/>
  <c r="AI12" i="39"/>
  <c r="AI14" i="39" s="1"/>
  <c r="AJ12" i="39"/>
  <c r="AJ14" i="39" s="1"/>
  <c r="AK12" i="39"/>
  <c r="AK14" i="39" s="1"/>
  <c r="AL12" i="39"/>
  <c r="AL14" i="39" s="1"/>
  <c r="AM12" i="39"/>
  <c r="AM14" i="39" s="1"/>
  <c r="AN12" i="39"/>
  <c r="AN14" i="39" s="1"/>
  <c r="AO12" i="39"/>
  <c r="AO14" i="39" s="1"/>
  <c r="AP12" i="39"/>
  <c r="AP14" i="39" s="1"/>
  <c r="AQ12" i="39"/>
  <c r="AQ14" i="39" s="1"/>
  <c r="AR12" i="39"/>
  <c r="AR14" i="39" s="1"/>
  <c r="AS12" i="39"/>
  <c r="AS14" i="39" s="1"/>
  <c r="AT12" i="39"/>
  <c r="AT14" i="39" s="1"/>
  <c r="AU12" i="39"/>
  <c r="AU14" i="39" s="1"/>
  <c r="AV12" i="39"/>
  <c r="AV14" i="39" s="1"/>
  <c r="AW12" i="39"/>
  <c r="AW14" i="39" s="1"/>
  <c r="AX12" i="39"/>
  <c r="AX14" i="39" s="1"/>
  <c r="AY12" i="39"/>
  <c r="AY14" i="39" s="1"/>
  <c r="AZ12" i="39"/>
  <c r="AZ14" i="39" s="1"/>
  <c r="BA12" i="39"/>
  <c r="BA14" i="39" s="1"/>
  <c r="BB12" i="39"/>
  <c r="BB14" i="39" s="1"/>
  <c r="BC12" i="39"/>
  <c r="BC14" i="39" s="1"/>
  <c r="BD12" i="39"/>
  <c r="BD14" i="39" s="1"/>
  <c r="BE12" i="39"/>
  <c r="BE14" i="39" s="1"/>
  <c r="E12" i="39"/>
  <c r="E14" i="39" s="1"/>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AH44" i="38"/>
  <c r="AI44" i="38"/>
  <c r="AJ44" i="38"/>
  <c r="AK44" i="38"/>
  <c r="AL44" i="38"/>
  <c r="AM44" i="38"/>
  <c r="AN44" i="38"/>
  <c r="AO44" i="38"/>
  <c r="AP44" i="38"/>
  <c r="AQ44" i="38"/>
  <c r="AR44" i="38"/>
  <c r="AS44" i="38"/>
  <c r="AT44" i="38"/>
  <c r="AU44" i="38"/>
  <c r="AV44" i="38"/>
  <c r="AW44" i="38"/>
  <c r="AX44" i="38"/>
  <c r="AY44" i="38"/>
  <c r="AZ44" i="38"/>
  <c r="BA44" i="38"/>
  <c r="BB44" i="38"/>
  <c r="BC44" i="38"/>
  <c r="BD44" i="38"/>
  <c r="BE44"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AH43" i="38"/>
  <c r="AI43" i="38"/>
  <c r="AJ43" i="38"/>
  <c r="AK43" i="38"/>
  <c r="AL43" i="38"/>
  <c r="AM43" i="38"/>
  <c r="AN43" i="38"/>
  <c r="AO43" i="38"/>
  <c r="AP43" i="38"/>
  <c r="AQ43" i="38"/>
  <c r="AR43" i="38"/>
  <c r="AS43" i="38"/>
  <c r="AT43" i="38"/>
  <c r="AU43" i="38"/>
  <c r="AV43" i="38"/>
  <c r="AW43" i="38"/>
  <c r="AX43" i="38"/>
  <c r="AY43" i="38"/>
  <c r="AZ43" i="38"/>
  <c r="BA43" i="38"/>
  <c r="BB43" i="38"/>
  <c r="BC43" i="38"/>
  <c r="BD43" i="38"/>
  <c r="BE43" i="38"/>
  <c r="F42" i="38"/>
  <c r="G42" i="38"/>
  <c r="H42" i="38"/>
  <c r="I42" i="38"/>
  <c r="J42" i="38"/>
  <c r="J46" i="38" s="1"/>
  <c r="K42" i="38"/>
  <c r="K46" i="38" s="1"/>
  <c r="L42" i="38"/>
  <c r="M42" i="38"/>
  <c r="N42" i="38"/>
  <c r="O42" i="38"/>
  <c r="O46" i="38" s="1"/>
  <c r="P42" i="38"/>
  <c r="P46" i="38" s="1"/>
  <c r="Q42" i="38"/>
  <c r="Q46" i="38" s="1"/>
  <c r="R42" i="38"/>
  <c r="S42" i="38"/>
  <c r="T42" i="38"/>
  <c r="U42" i="38"/>
  <c r="V42" i="38"/>
  <c r="W42" i="38"/>
  <c r="X42" i="38"/>
  <c r="Y42" i="38"/>
  <c r="Z42" i="38"/>
  <c r="Z46" i="38" s="1"/>
  <c r="AA42" i="38"/>
  <c r="AA46" i="38" s="1"/>
  <c r="AB42" i="38"/>
  <c r="AC42" i="38"/>
  <c r="AD42" i="38"/>
  <c r="AE42" i="38"/>
  <c r="AE46" i="38" s="1"/>
  <c r="AF42" i="38"/>
  <c r="AF46" i="38" s="1"/>
  <c r="AG42" i="38"/>
  <c r="AG46" i="38" s="1"/>
  <c r="AH42" i="38"/>
  <c r="AI42" i="38"/>
  <c r="AJ42" i="38"/>
  <c r="AK42" i="38"/>
  <c r="AL42" i="38"/>
  <c r="AM42" i="38"/>
  <c r="AN42" i="38"/>
  <c r="AO42" i="38"/>
  <c r="AP42" i="38"/>
  <c r="AP46" i="38" s="1"/>
  <c r="AQ42" i="38"/>
  <c r="AQ46" i="38" s="1"/>
  <c r="AR42" i="38"/>
  <c r="AS42" i="38"/>
  <c r="AT42" i="38"/>
  <c r="AU42" i="38"/>
  <c r="AU46" i="38" s="1"/>
  <c r="AV42" i="38"/>
  <c r="AV46" i="38" s="1"/>
  <c r="AW42" i="38"/>
  <c r="AW46" i="38" s="1"/>
  <c r="AX42" i="38"/>
  <c r="AY42" i="38"/>
  <c r="AZ42" i="38"/>
  <c r="BA42" i="38"/>
  <c r="BB42" i="38"/>
  <c r="BC42" i="38"/>
  <c r="BD42" i="38"/>
  <c r="BE42"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AH38" i="38"/>
  <c r="AI38" i="38"/>
  <c r="AJ38" i="38"/>
  <c r="AK38" i="38"/>
  <c r="AL38" i="38"/>
  <c r="AM38" i="38"/>
  <c r="AN38" i="38"/>
  <c r="AO38" i="38"/>
  <c r="AP38" i="38"/>
  <c r="AQ38" i="38"/>
  <c r="AR38" i="38"/>
  <c r="AS38" i="38"/>
  <c r="AT38" i="38"/>
  <c r="AU38" i="38"/>
  <c r="AV38" i="38"/>
  <c r="AW38" i="38"/>
  <c r="AX38" i="38"/>
  <c r="AY38" i="38"/>
  <c r="AZ38" i="38"/>
  <c r="BA38" i="38"/>
  <c r="BB38" i="38"/>
  <c r="BC38" i="38"/>
  <c r="BD38" i="38"/>
  <c r="BE38"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AH37" i="38"/>
  <c r="AI37" i="38"/>
  <c r="AJ37" i="38"/>
  <c r="AK37" i="38"/>
  <c r="AL37" i="38"/>
  <c r="AM37" i="38"/>
  <c r="AN37" i="38"/>
  <c r="AO37" i="38"/>
  <c r="AP37" i="38"/>
  <c r="AQ37" i="38"/>
  <c r="AR37" i="38"/>
  <c r="AS37" i="38"/>
  <c r="AT37" i="38"/>
  <c r="AU37" i="38"/>
  <c r="AV37" i="38"/>
  <c r="AW37" i="38"/>
  <c r="AX37" i="38"/>
  <c r="AY37" i="38"/>
  <c r="AZ37" i="38"/>
  <c r="BA37" i="38"/>
  <c r="BB37" i="38"/>
  <c r="BC37" i="38"/>
  <c r="BD37" i="38"/>
  <c r="BE37"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AH36" i="38"/>
  <c r="AI36" i="38"/>
  <c r="AJ36" i="38"/>
  <c r="AK36" i="38"/>
  <c r="AL36" i="38"/>
  <c r="AM36" i="38"/>
  <c r="AN36" i="38"/>
  <c r="AO36" i="38"/>
  <c r="AP36" i="38"/>
  <c r="AQ36" i="38"/>
  <c r="AR36" i="38"/>
  <c r="AS36" i="38"/>
  <c r="AT36" i="38"/>
  <c r="AU36" i="38"/>
  <c r="AV36" i="38"/>
  <c r="AW36" i="38"/>
  <c r="AX36" i="38"/>
  <c r="AY36" i="38"/>
  <c r="AZ36" i="38"/>
  <c r="BA36" i="38"/>
  <c r="BB36" i="38"/>
  <c r="BC36" i="38"/>
  <c r="BD36" i="38"/>
  <c r="BE36"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AH35" i="38"/>
  <c r="AI35" i="38"/>
  <c r="AJ35" i="38"/>
  <c r="AK35" i="38"/>
  <c r="AL35" i="38"/>
  <c r="AM35" i="38"/>
  <c r="AN35" i="38"/>
  <c r="AO35" i="38"/>
  <c r="AP35" i="38"/>
  <c r="AQ35" i="38"/>
  <c r="AR35" i="38"/>
  <c r="AS35" i="38"/>
  <c r="AT35" i="38"/>
  <c r="AU35" i="38"/>
  <c r="AV35" i="38"/>
  <c r="AW35" i="38"/>
  <c r="AX35" i="38"/>
  <c r="AY35" i="38"/>
  <c r="AZ35" i="38"/>
  <c r="BA35" i="38"/>
  <c r="BB35" i="38"/>
  <c r="BC35" i="38"/>
  <c r="BD35" i="38"/>
  <c r="BE35"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AH34" i="38"/>
  <c r="AI34" i="38"/>
  <c r="AJ34" i="38"/>
  <c r="AK34" i="38"/>
  <c r="AL34" i="38"/>
  <c r="AM34" i="38"/>
  <c r="AN34" i="38"/>
  <c r="AO34" i="38"/>
  <c r="AP34" i="38"/>
  <c r="AQ34" i="38"/>
  <c r="AR34" i="38"/>
  <c r="AS34" i="38"/>
  <c r="AT34" i="38"/>
  <c r="AU34" i="38"/>
  <c r="AV34" i="38"/>
  <c r="AW34" i="38"/>
  <c r="AX34" i="38"/>
  <c r="AY34" i="38"/>
  <c r="AZ34" i="38"/>
  <c r="BA34" i="38"/>
  <c r="BB34" i="38"/>
  <c r="BC34" i="38"/>
  <c r="BD34" i="38"/>
  <c r="BE34" i="38"/>
  <c r="F33" i="38"/>
  <c r="G33" i="38"/>
  <c r="G40" i="38" s="1"/>
  <c r="H33" i="38"/>
  <c r="H40" i="38" s="1"/>
  <c r="I33" i="38"/>
  <c r="I40" i="38" s="1"/>
  <c r="J33" i="38"/>
  <c r="K33" i="38"/>
  <c r="L33" i="38"/>
  <c r="M33" i="38"/>
  <c r="N33" i="38"/>
  <c r="O33" i="38"/>
  <c r="P33" i="38"/>
  <c r="Q33" i="38"/>
  <c r="R33" i="38"/>
  <c r="R40" i="38" s="1"/>
  <c r="S33" i="38"/>
  <c r="T33" i="38"/>
  <c r="U33" i="38"/>
  <c r="V33" i="38"/>
  <c r="W33" i="38"/>
  <c r="W40" i="38" s="1"/>
  <c r="X33" i="38"/>
  <c r="Y33" i="38"/>
  <c r="Y40" i="38" s="1"/>
  <c r="Z33" i="38"/>
  <c r="AA33" i="38"/>
  <c r="AB33" i="38"/>
  <c r="AC33" i="38"/>
  <c r="AD33" i="38"/>
  <c r="AE33" i="38"/>
  <c r="AF33" i="38"/>
  <c r="AG33" i="38"/>
  <c r="AH33" i="38"/>
  <c r="AH40" i="38" s="1"/>
  <c r="AI33" i="38"/>
  <c r="AJ33" i="38"/>
  <c r="AK33" i="38"/>
  <c r="AL33" i="38"/>
  <c r="AM33" i="38"/>
  <c r="AM40" i="38" s="1"/>
  <c r="AN33" i="38"/>
  <c r="AN40" i="38" s="1"/>
  <c r="AO33" i="38"/>
  <c r="AO40" i="38" s="1"/>
  <c r="AP33" i="38"/>
  <c r="AQ33" i="38"/>
  <c r="AR33" i="38"/>
  <c r="AS33" i="38"/>
  <c r="AT33" i="38"/>
  <c r="AU33" i="38"/>
  <c r="AV33" i="38"/>
  <c r="AW33" i="38"/>
  <c r="AX33" i="38"/>
  <c r="AX40" i="38" s="1"/>
  <c r="AY33" i="38"/>
  <c r="AZ33" i="38"/>
  <c r="BA33" i="38"/>
  <c r="BB33" i="38"/>
  <c r="BC33" i="38"/>
  <c r="BC40" i="38" s="1"/>
  <c r="BD33" i="38"/>
  <c r="BD40" i="38" s="1"/>
  <c r="BE33" i="38"/>
  <c r="BE40" i="38" s="1"/>
  <c r="F13" i="38"/>
  <c r="G13" i="38"/>
  <c r="H13" i="38"/>
  <c r="I13" i="38"/>
  <c r="J13" i="38"/>
  <c r="K13" i="38"/>
  <c r="L13" i="38"/>
  <c r="M13" i="38"/>
  <c r="N13" i="38"/>
  <c r="O13" i="38"/>
  <c r="P13" i="38"/>
  <c r="Q13" i="38"/>
  <c r="R13" i="38"/>
  <c r="S13" i="38"/>
  <c r="T13" i="38"/>
  <c r="U13" i="38"/>
  <c r="V13" i="38"/>
  <c r="W13" i="38"/>
  <c r="X13" i="38"/>
  <c r="Y13" i="38"/>
  <c r="Z13" i="38"/>
  <c r="AA13" i="38"/>
  <c r="AB13" i="38"/>
  <c r="AC13" i="38"/>
  <c r="AD13" i="38"/>
  <c r="AE13" i="38"/>
  <c r="AF13" i="38"/>
  <c r="AG13" i="38"/>
  <c r="AH13" i="38"/>
  <c r="AI13" i="38"/>
  <c r="AJ13" i="38"/>
  <c r="AK13" i="38"/>
  <c r="AL13" i="38"/>
  <c r="AM13" i="38"/>
  <c r="AN13" i="38"/>
  <c r="AO13" i="38"/>
  <c r="AP13" i="38"/>
  <c r="AQ13" i="38"/>
  <c r="AR13" i="38"/>
  <c r="AS13" i="38"/>
  <c r="AT13" i="38"/>
  <c r="AU13" i="38"/>
  <c r="AV13" i="38"/>
  <c r="AW13" i="38"/>
  <c r="AX13" i="38"/>
  <c r="AY13" i="38"/>
  <c r="AZ13" i="38"/>
  <c r="BA13" i="38"/>
  <c r="BB13" i="38"/>
  <c r="BC13" i="38"/>
  <c r="BD13" i="38"/>
  <c r="BE13" i="38"/>
  <c r="F12" i="38"/>
  <c r="F15" i="38" s="1"/>
  <c r="G12" i="38"/>
  <c r="G15" i="38" s="1"/>
  <c r="H12" i="38"/>
  <c r="H15" i="38" s="1"/>
  <c r="I12" i="38"/>
  <c r="I15" i="38" s="1"/>
  <c r="J12" i="38"/>
  <c r="J15" i="38" s="1"/>
  <c r="K12" i="38"/>
  <c r="K15" i="38" s="1"/>
  <c r="L12" i="38"/>
  <c r="M12" i="38"/>
  <c r="N12" i="38"/>
  <c r="O12" i="38"/>
  <c r="P12" i="38"/>
  <c r="P15" i="38" s="1"/>
  <c r="Q12" i="38"/>
  <c r="Q15" i="38" s="1"/>
  <c r="R12" i="38"/>
  <c r="S12" i="38"/>
  <c r="T12" i="38"/>
  <c r="U12" i="38"/>
  <c r="V12" i="38"/>
  <c r="V15" i="38" s="1"/>
  <c r="W12" i="38"/>
  <c r="W15" i="38" s="1"/>
  <c r="X12" i="38"/>
  <c r="Y12" i="38"/>
  <c r="Y15" i="38" s="1"/>
  <c r="Z12" i="38"/>
  <c r="Z15" i="38" s="1"/>
  <c r="AA12" i="38"/>
  <c r="AA15" i="38" s="1"/>
  <c r="AB12" i="38"/>
  <c r="AC12" i="38"/>
  <c r="AD12" i="38"/>
  <c r="AE12" i="38"/>
  <c r="AE15" i="38" s="1"/>
  <c r="AF12" i="38"/>
  <c r="AF15" i="38" s="1"/>
  <c r="AG12" i="38"/>
  <c r="AG15" i="38" s="1"/>
  <c r="AH12" i="38"/>
  <c r="AI12" i="38"/>
  <c r="AJ12" i="38"/>
  <c r="AK12" i="38"/>
  <c r="AL12" i="38"/>
  <c r="AL15" i="38" s="1"/>
  <c r="AM12" i="38"/>
  <c r="AM15" i="38" s="1"/>
  <c r="AN12" i="38"/>
  <c r="AN15" i="38" s="1"/>
  <c r="AO12" i="38"/>
  <c r="AO15" i="38" s="1"/>
  <c r="AP12" i="38"/>
  <c r="AP15" i="38" s="1"/>
  <c r="AQ12" i="38"/>
  <c r="AQ15" i="38" s="1"/>
  <c r="AR12" i="38"/>
  <c r="AS12" i="38"/>
  <c r="AT12" i="38"/>
  <c r="AU12" i="38"/>
  <c r="AU15" i="38" s="1"/>
  <c r="AV12" i="38"/>
  <c r="AV15" i="38" s="1"/>
  <c r="AW12" i="38"/>
  <c r="AW15" i="38" s="1"/>
  <c r="AX12" i="38"/>
  <c r="AY12" i="38"/>
  <c r="AZ12" i="38"/>
  <c r="BA12" i="38"/>
  <c r="BB12" i="38"/>
  <c r="BB15" i="38" s="1"/>
  <c r="BC12" i="38"/>
  <c r="BC15" i="38" s="1"/>
  <c r="BD12" i="38"/>
  <c r="BD15" i="38" s="1"/>
  <c r="BE12" i="38"/>
  <c r="BE15" i="38" s="1"/>
  <c r="E44" i="38"/>
  <c r="E43" i="38"/>
  <c r="E42" i="38"/>
  <c r="E38" i="38"/>
  <c r="E37" i="38"/>
  <c r="E36" i="38"/>
  <c r="E35" i="38"/>
  <c r="E34" i="38"/>
  <c r="E33" i="38"/>
  <c r="E13" i="38"/>
  <c r="E12" i="38"/>
  <c r="F37" i="37"/>
  <c r="G37" i="37"/>
  <c r="H37" i="37"/>
  <c r="I37" i="37"/>
  <c r="J37" i="37"/>
  <c r="K37" i="37"/>
  <c r="L37" i="37"/>
  <c r="M37" i="37"/>
  <c r="N37" i="37"/>
  <c r="O37" i="37"/>
  <c r="P37" i="37"/>
  <c r="Q37" i="37"/>
  <c r="R37" i="37"/>
  <c r="S37" i="37"/>
  <c r="T37" i="37"/>
  <c r="U37" i="37"/>
  <c r="V37" i="37"/>
  <c r="W37" i="37"/>
  <c r="X37" i="37"/>
  <c r="Y37" i="37"/>
  <c r="Z37" i="37"/>
  <c r="AA37" i="37"/>
  <c r="AB37" i="37"/>
  <c r="AC37" i="37"/>
  <c r="AD37" i="37"/>
  <c r="AE37" i="37"/>
  <c r="AF37" i="37"/>
  <c r="AG37" i="37"/>
  <c r="AH37" i="37"/>
  <c r="AI37" i="37"/>
  <c r="AJ37" i="37"/>
  <c r="AK37" i="37"/>
  <c r="AL37" i="37"/>
  <c r="AM37" i="37"/>
  <c r="AN37" i="37"/>
  <c r="AO37" i="37"/>
  <c r="AP37" i="37"/>
  <c r="AQ37" i="37"/>
  <c r="AR37" i="37"/>
  <c r="AS37" i="37"/>
  <c r="AT37" i="37"/>
  <c r="AU37" i="37"/>
  <c r="AV37" i="37"/>
  <c r="AW37" i="37"/>
  <c r="AX37" i="37"/>
  <c r="AY37" i="37"/>
  <c r="AZ37" i="37"/>
  <c r="BA37" i="37"/>
  <c r="BB37" i="37"/>
  <c r="BC37" i="37"/>
  <c r="BD37" i="37"/>
  <c r="BE37" i="37"/>
  <c r="F36" i="37"/>
  <c r="G36" i="37"/>
  <c r="H36" i="37"/>
  <c r="I36" i="37"/>
  <c r="J36" i="37"/>
  <c r="K36" i="37"/>
  <c r="L36" i="37"/>
  <c r="M36" i="37"/>
  <c r="N36" i="37"/>
  <c r="O36" i="37"/>
  <c r="P36" i="37"/>
  <c r="Q36" i="37"/>
  <c r="R36" i="37"/>
  <c r="S36" i="37"/>
  <c r="T36" i="37"/>
  <c r="U36" i="37"/>
  <c r="V36" i="37"/>
  <c r="W36" i="37"/>
  <c r="X36" i="37"/>
  <c r="Y36" i="37"/>
  <c r="Z36" i="37"/>
  <c r="AA36" i="37"/>
  <c r="AB36" i="37"/>
  <c r="AC36" i="37"/>
  <c r="AD36" i="37"/>
  <c r="AE36" i="37"/>
  <c r="AF36" i="37"/>
  <c r="AG36" i="37"/>
  <c r="AH36" i="37"/>
  <c r="AI36" i="37"/>
  <c r="AJ36" i="37"/>
  <c r="AK36" i="37"/>
  <c r="AL36" i="37"/>
  <c r="AM36" i="37"/>
  <c r="AN36" i="37"/>
  <c r="AO36" i="37"/>
  <c r="AP36" i="37"/>
  <c r="AQ36" i="37"/>
  <c r="AR36" i="37"/>
  <c r="AS36" i="37"/>
  <c r="AT36" i="37"/>
  <c r="AU36" i="37"/>
  <c r="AV36" i="37"/>
  <c r="AW36" i="37"/>
  <c r="AX36" i="37"/>
  <c r="AY36" i="37"/>
  <c r="AZ36" i="37"/>
  <c r="BA36" i="37"/>
  <c r="BB36" i="37"/>
  <c r="BC36" i="37"/>
  <c r="BD36" i="37"/>
  <c r="BE36" i="37"/>
  <c r="F35" i="37"/>
  <c r="G35" i="37"/>
  <c r="H35" i="37"/>
  <c r="I35" i="37"/>
  <c r="J35" i="37"/>
  <c r="K35" i="37"/>
  <c r="L35" i="37"/>
  <c r="M35" i="37"/>
  <c r="N35" i="37"/>
  <c r="O35" i="37"/>
  <c r="P35" i="37"/>
  <c r="Q35" i="37"/>
  <c r="R35" i="37"/>
  <c r="S35" i="37"/>
  <c r="T35" i="37"/>
  <c r="U35" i="37"/>
  <c r="V35" i="37"/>
  <c r="W35" i="37"/>
  <c r="X35" i="37"/>
  <c r="Y35" i="37"/>
  <c r="Z35" i="37"/>
  <c r="AA35" i="37"/>
  <c r="AB35" i="37"/>
  <c r="AC35" i="37"/>
  <c r="AD35" i="37"/>
  <c r="AE35" i="37"/>
  <c r="AF35" i="37"/>
  <c r="AG35" i="37"/>
  <c r="AH35" i="37"/>
  <c r="AI35" i="37"/>
  <c r="AJ35" i="37"/>
  <c r="AK35" i="37"/>
  <c r="AL35" i="37"/>
  <c r="AM35" i="37"/>
  <c r="AN35" i="37"/>
  <c r="AO35" i="37"/>
  <c r="AP35" i="37"/>
  <c r="AQ35" i="37"/>
  <c r="AR35" i="37"/>
  <c r="AS35" i="37"/>
  <c r="AT35" i="37"/>
  <c r="AU35" i="37"/>
  <c r="AV35" i="37"/>
  <c r="AW35" i="37"/>
  <c r="AX35" i="37"/>
  <c r="AY35" i="37"/>
  <c r="AZ35" i="37"/>
  <c r="BA35" i="37"/>
  <c r="BB35" i="37"/>
  <c r="BC35" i="37"/>
  <c r="BD35" i="37"/>
  <c r="BE35" i="37"/>
  <c r="F34" i="37"/>
  <c r="G34" i="37"/>
  <c r="H34" i="37"/>
  <c r="I34" i="37"/>
  <c r="J34" i="37"/>
  <c r="K34" i="37"/>
  <c r="L34" i="37"/>
  <c r="M34" i="37"/>
  <c r="N34" i="37"/>
  <c r="O34" i="37"/>
  <c r="P34" i="37"/>
  <c r="Q34" i="37"/>
  <c r="R34" i="37"/>
  <c r="S34" i="37"/>
  <c r="T34" i="37"/>
  <c r="U34" i="37"/>
  <c r="V34" i="37"/>
  <c r="W34" i="37"/>
  <c r="X34" i="37"/>
  <c r="Y34" i="37"/>
  <c r="Z34" i="37"/>
  <c r="AA34" i="37"/>
  <c r="AB34" i="37"/>
  <c r="AC34" i="37"/>
  <c r="AD34" i="37"/>
  <c r="AE34" i="37"/>
  <c r="AF34" i="37"/>
  <c r="AG34" i="37"/>
  <c r="AH34" i="37"/>
  <c r="AI34" i="37"/>
  <c r="AJ34" i="37"/>
  <c r="AK34" i="37"/>
  <c r="AL34" i="37"/>
  <c r="AM34" i="37"/>
  <c r="AN34" i="37"/>
  <c r="AO34" i="37"/>
  <c r="AP34" i="37"/>
  <c r="AQ34" i="37"/>
  <c r="AR34" i="37"/>
  <c r="AS34" i="37"/>
  <c r="AT34" i="37"/>
  <c r="AU34" i="37"/>
  <c r="AV34" i="37"/>
  <c r="AW34" i="37"/>
  <c r="AX34" i="37"/>
  <c r="AY34" i="37"/>
  <c r="AZ34" i="37"/>
  <c r="BA34" i="37"/>
  <c r="BB34" i="37"/>
  <c r="BC34" i="37"/>
  <c r="BD34" i="37"/>
  <c r="BE34" i="37"/>
  <c r="F33" i="37"/>
  <c r="G33" i="37"/>
  <c r="H33" i="37"/>
  <c r="I33" i="37"/>
  <c r="J33" i="37"/>
  <c r="K33" i="37"/>
  <c r="L33" i="37"/>
  <c r="M33" i="37"/>
  <c r="N33" i="37"/>
  <c r="O33" i="37"/>
  <c r="P33" i="37"/>
  <c r="Q33" i="37"/>
  <c r="R33" i="37"/>
  <c r="S33" i="37"/>
  <c r="T33" i="37"/>
  <c r="U33" i="37"/>
  <c r="V33" i="37"/>
  <c r="W33" i="37"/>
  <c r="X33" i="37"/>
  <c r="Y33" i="37"/>
  <c r="Z33" i="37"/>
  <c r="AA33" i="37"/>
  <c r="AB33" i="37"/>
  <c r="AC33" i="37"/>
  <c r="AD33" i="37"/>
  <c r="AE33" i="37"/>
  <c r="AF33" i="37"/>
  <c r="AG33" i="37"/>
  <c r="AH33" i="37"/>
  <c r="AI33" i="37"/>
  <c r="AJ33" i="37"/>
  <c r="AK33" i="37"/>
  <c r="AL33" i="37"/>
  <c r="AM33" i="37"/>
  <c r="AN33" i="37"/>
  <c r="AO33" i="37"/>
  <c r="AP33" i="37"/>
  <c r="AQ33" i="37"/>
  <c r="AR33" i="37"/>
  <c r="AS33" i="37"/>
  <c r="AT33" i="37"/>
  <c r="AU33" i="37"/>
  <c r="AV33" i="37"/>
  <c r="AW33" i="37"/>
  <c r="AX33" i="37"/>
  <c r="AY33" i="37"/>
  <c r="AZ33" i="37"/>
  <c r="BA33" i="37"/>
  <c r="BB33" i="37"/>
  <c r="BC33" i="37"/>
  <c r="BD33" i="37"/>
  <c r="BE33" i="37"/>
  <c r="F32" i="37"/>
  <c r="G32" i="37"/>
  <c r="H32" i="37"/>
  <c r="I32" i="37"/>
  <c r="J32" i="37"/>
  <c r="K32" i="37"/>
  <c r="L32" i="37"/>
  <c r="M32" i="37"/>
  <c r="N32" i="37"/>
  <c r="O32" i="37"/>
  <c r="P32" i="37"/>
  <c r="Q32" i="37"/>
  <c r="R32" i="37"/>
  <c r="S32" i="37"/>
  <c r="T32" i="37"/>
  <c r="U32" i="37"/>
  <c r="V32" i="37"/>
  <c r="W32" i="37"/>
  <c r="X32" i="37"/>
  <c r="Y32" i="37"/>
  <c r="Z32" i="37"/>
  <c r="AA32" i="37"/>
  <c r="AB32" i="37"/>
  <c r="AC32" i="37"/>
  <c r="AD32" i="37"/>
  <c r="AE32" i="37"/>
  <c r="AF32" i="37"/>
  <c r="AG32" i="37"/>
  <c r="AH32" i="37"/>
  <c r="AI32" i="37"/>
  <c r="AJ32" i="37"/>
  <c r="AK32" i="37"/>
  <c r="AL32" i="37"/>
  <c r="AM32" i="37"/>
  <c r="AN32" i="37"/>
  <c r="AO32" i="37"/>
  <c r="AP32" i="37"/>
  <c r="AQ32" i="37"/>
  <c r="AR32" i="37"/>
  <c r="AS32" i="37"/>
  <c r="AT32" i="37"/>
  <c r="AU32" i="37"/>
  <c r="AV32" i="37"/>
  <c r="AW32" i="37"/>
  <c r="AX32" i="37"/>
  <c r="AY32" i="37"/>
  <c r="AZ32" i="37"/>
  <c r="BA32" i="37"/>
  <c r="BB32" i="37"/>
  <c r="BC32" i="37"/>
  <c r="BD32" i="37"/>
  <c r="BE32" i="37"/>
  <c r="F22" i="37"/>
  <c r="G22" i="37"/>
  <c r="H22" i="37"/>
  <c r="I22" i="37"/>
  <c r="J22" i="37"/>
  <c r="K22" i="37"/>
  <c r="L22" i="37"/>
  <c r="M22" i="37"/>
  <c r="N22" i="37"/>
  <c r="O22" i="37"/>
  <c r="P22" i="37"/>
  <c r="Q22" i="37"/>
  <c r="R22" i="37"/>
  <c r="S22" i="37"/>
  <c r="T22" i="37"/>
  <c r="U22" i="37"/>
  <c r="V22" i="37"/>
  <c r="W22" i="37"/>
  <c r="X22" i="37"/>
  <c r="Y22" i="37"/>
  <c r="Z22" i="37"/>
  <c r="AA22" i="37"/>
  <c r="AB22" i="37"/>
  <c r="AC22" i="37"/>
  <c r="AD22" i="37"/>
  <c r="AE22" i="37"/>
  <c r="AF22" i="37"/>
  <c r="AG22" i="37"/>
  <c r="AH22" i="37"/>
  <c r="AI22" i="37"/>
  <c r="AJ22" i="37"/>
  <c r="AK22" i="37"/>
  <c r="AL22" i="37"/>
  <c r="AM22" i="37"/>
  <c r="AN22" i="37"/>
  <c r="AO22" i="37"/>
  <c r="AP22" i="37"/>
  <c r="AQ22" i="37"/>
  <c r="AR22" i="37"/>
  <c r="AS22" i="37"/>
  <c r="AT22" i="37"/>
  <c r="AU22" i="37"/>
  <c r="AV22" i="37"/>
  <c r="AW22" i="37"/>
  <c r="AX22" i="37"/>
  <c r="AY22" i="37"/>
  <c r="AZ22" i="37"/>
  <c r="BA22" i="37"/>
  <c r="BB22" i="37"/>
  <c r="BC22" i="37"/>
  <c r="BD22" i="37"/>
  <c r="BE22" i="37"/>
  <c r="F21" i="37"/>
  <c r="G21" i="37"/>
  <c r="H21" i="37"/>
  <c r="I21" i="37"/>
  <c r="J21" i="37"/>
  <c r="K21" i="37"/>
  <c r="L21" i="37"/>
  <c r="M21" i="37"/>
  <c r="N21" i="37"/>
  <c r="O21" i="37"/>
  <c r="P21" i="37"/>
  <c r="Q21" i="37"/>
  <c r="R21" i="37"/>
  <c r="S21" i="37"/>
  <c r="T21" i="37"/>
  <c r="U21" i="37"/>
  <c r="V21" i="37"/>
  <c r="W21" i="37"/>
  <c r="X21" i="37"/>
  <c r="Y21" i="37"/>
  <c r="Z21" i="37"/>
  <c r="AA21" i="37"/>
  <c r="AB21" i="37"/>
  <c r="AC21" i="37"/>
  <c r="AD21" i="37"/>
  <c r="AE21" i="37"/>
  <c r="AF21" i="37"/>
  <c r="AG21" i="37"/>
  <c r="AH21" i="37"/>
  <c r="AI21" i="37"/>
  <c r="AJ21" i="37"/>
  <c r="AK21" i="37"/>
  <c r="AL21" i="37"/>
  <c r="AM21" i="37"/>
  <c r="AN21" i="37"/>
  <c r="AO21" i="37"/>
  <c r="AP21" i="37"/>
  <c r="AQ21" i="37"/>
  <c r="AR21" i="37"/>
  <c r="AS21" i="37"/>
  <c r="AT21" i="37"/>
  <c r="AU21" i="37"/>
  <c r="AV21" i="37"/>
  <c r="AW21" i="37"/>
  <c r="AX21" i="37"/>
  <c r="AY21" i="37"/>
  <c r="AZ21" i="37"/>
  <c r="BA21" i="37"/>
  <c r="BB21" i="37"/>
  <c r="BC21" i="37"/>
  <c r="BD21" i="37"/>
  <c r="BE21" i="37"/>
  <c r="F20" i="37"/>
  <c r="G20" i="37"/>
  <c r="H20" i="37"/>
  <c r="I20" i="37"/>
  <c r="J20" i="37"/>
  <c r="K20" i="37"/>
  <c r="L20" i="37"/>
  <c r="M20" i="37"/>
  <c r="N20" i="37"/>
  <c r="O20" i="37"/>
  <c r="P20" i="37"/>
  <c r="Q20" i="37"/>
  <c r="R20" i="37"/>
  <c r="S20" i="37"/>
  <c r="T20" i="37"/>
  <c r="U20" i="37"/>
  <c r="V20" i="37"/>
  <c r="W20" i="37"/>
  <c r="X20" i="37"/>
  <c r="Y20" i="37"/>
  <c r="Z20" i="37"/>
  <c r="AA20" i="37"/>
  <c r="AB20" i="37"/>
  <c r="AC20" i="37"/>
  <c r="AD20" i="37"/>
  <c r="AE20" i="37"/>
  <c r="AF20" i="37"/>
  <c r="AG20" i="37"/>
  <c r="AH20" i="37"/>
  <c r="AI20" i="37"/>
  <c r="AJ20" i="37"/>
  <c r="AK20" i="37"/>
  <c r="AL20" i="37"/>
  <c r="AM20" i="37"/>
  <c r="AN20" i="37"/>
  <c r="AO20" i="37"/>
  <c r="AP20" i="37"/>
  <c r="AQ20" i="37"/>
  <c r="AR20" i="37"/>
  <c r="AS20" i="37"/>
  <c r="AT20" i="37"/>
  <c r="AU20" i="37"/>
  <c r="AV20" i="37"/>
  <c r="AW20" i="37"/>
  <c r="AX20" i="37"/>
  <c r="AY20" i="37"/>
  <c r="AZ20" i="37"/>
  <c r="BA20" i="37"/>
  <c r="BB20" i="37"/>
  <c r="BC20" i="37"/>
  <c r="BD20" i="37"/>
  <c r="BE20" i="37"/>
  <c r="F19" i="37"/>
  <c r="G19" i="37"/>
  <c r="H19" i="37"/>
  <c r="I19" i="37"/>
  <c r="J19" i="37"/>
  <c r="K19" i="37"/>
  <c r="L19" i="37"/>
  <c r="M19" i="37"/>
  <c r="N19" i="37"/>
  <c r="O19" i="37"/>
  <c r="P19" i="37"/>
  <c r="Q19" i="37"/>
  <c r="R19" i="37"/>
  <c r="S19" i="37"/>
  <c r="T19" i="37"/>
  <c r="U19" i="37"/>
  <c r="V19" i="37"/>
  <c r="W19" i="37"/>
  <c r="X19" i="37"/>
  <c r="Y19" i="37"/>
  <c r="Z19" i="37"/>
  <c r="AA19" i="37"/>
  <c r="AB19" i="37"/>
  <c r="AC19" i="37"/>
  <c r="AD19" i="37"/>
  <c r="AE19" i="37"/>
  <c r="AF19" i="37"/>
  <c r="AG19" i="37"/>
  <c r="AH19" i="37"/>
  <c r="AI19" i="37"/>
  <c r="AJ19" i="37"/>
  <c r="AK19" i="37"/>
  <c r="AL19" i="37"/>
  <c r="AM19" i="37"/>
  <c r="AN19" i="37"/>
  <c r="AO19" i="37"/>
  <c r="AP19" i="37"/>
  <c r="AQ19" i="37"/>
  <c r="AR19" i="37"/>
  <c r="AS19" i="37"/>
  <c r="AT19" i="37"/>
  <c r="AU19" i="37"/>
  <c r="AV19" i="37"/>
  <c r="AW19" i="37"/>
  <c r="AX19" i="37"/>
  <c r="AY19" i="37"/>
  <c r="AZ19" i="37"/>
  <c r="BA19" i="37"/>
  <c r="BB19" i="37"/>
  <c r="BC19" i="37"/>
  <c r="BD19" i="37"/>
  <c r="BE19" i="37"/>
  <c r="F18" i="37"/>
  <c r="G18" i="37"/>
  <c r="H18" i="37"/>
  <c r="I18" i="37"/>
  <c r="J18" i="37"/>
  <c r="K18" i="37"/>
  <c r="L18" i="37"/>
  <c r="M18" i="37"/>
  <c r="N18" i="37"/>
  <c r="O18" i="37"/>
  <c r="P18" i="37"/>
  <c r="Q18" i="37"/>
  <c r="R18" i="37"/>
  <c r="S18" i="37"/>
  <c r="T18" i="37"/>
  <c r="U18" i="37"/>
  <c r="V18" i="37"/>
  <c r="W18" i="37"/>
  <c r="X18" i="37"/>
  <c r="Y18" i="37"/>
  <c r="Z18" i="37"/>
  <c r="AA18" i="37"/>
  <c r="AB18" i="37"/>
  <c r="AC18" i="37"/>
  <c r="AD18" i="37"/>
  <c r="AE18" i="37"/>
  <c r="AF18" i="37"/>
  <c r="AG18" i="37"/>
  <c r="AH18" i="37"/>
  <c r="AI18" i="37"/>
  <c r="AJ18" i="37"/>
  <c r="AK18" i="37"/>
  <c r="AL18" i="37"/>
  <c r="AM18" i="37"/>
  <c r="AN18" i="37"/>
  <c r="AO18" i="37"/>
  <c r="AP18" i="37"/>
  <c r="AQ18" i="37"/>
  <c r="AR18" i="37"/>
  <c r="AS18" i="37"/>
  <c r="AT18" i="37"/>
  <c r="AU18" i="37"/>
  <c r="AV18" i="37"/>
  <c r="AW18" i="37"/>
  <c r="AX18" i="37"/>
  <c r="AY18" i="37"/>
  <c r="AZ18" i="37"/>
  <c r="BA18" i="37"/>
  <c r="BB18" i="37"/>
  <c r="BC18" i="37"/>
  <c r="BD18" i="37"/>
  <c r="BE18" i="37"/>
  <c r="F17" i="37"/>
  <c r="G17" i="37"/>
  <c r="H17" i="37"/>
  <c r="I17" i="37"/>
  <c r="J17" i="37"/>
  <c r="K17" i="37"/>
  <c r="L17" i="37"/>
  <c r="M17" i="37"/>
  <c r="N17" i="37"/>
  <c r="O17" i="37"/>
  <c r="P17" i="37"/>
  <c r="Q17" i="37"/>
  <c r="R17" i="37"/>
  <c r="S17" i="37"/>
  <c r="T17" i="37"/>
  <c r="U17" i="37"/>
  <c r="V17" i="37"/>
  <c r="W17" i="37"/>
  <c r="X17" i="37"/>
  <c r="Y17" i="37"/>
  <c r="Z17" i="37"/>
  <c r="AA17" i="37"/>
  <c r="AB17" i="37"/>
  <c r="AC17" i="37"/>
  <c r="AD17" i="37"/>
  <c r="AE17" i="37"/>
  <c r="AF17" i="37"/>
  <c r="AG17" i="37"/>
  <c r="AH17" i="37"/>
  <c r="AI17" i="37"/>
  <c r="AJ17" i="37"/>
  <c r="AK17" i="37"/>
  <c r="AL17" i="37"/>
  <c r="AM17" i="37"/>
  <c r="AN17" i="37"/>
  <c r="AO17" i="37"/>
  <c r="AP17" i="37"/>
  <c r="AQ17" i="37"/>
  <c r="AR17" i="37"/>
  <c r="AS17" i="37"/>
  <c r="AT17" i="37"/>
  <c r="AU17" i="37"/>
  <c r="AV17" i="37"/>
  <c r="AW17" i="37"/>
  <c r="AX17" i="37"/>
  <c r="AY17" i="37"/>
  <c r="AZ17" i="37"/>
  <c r="BA17" i="37"/>
  <c r="BB17" i="37"/>
  <c r="BC17" i="37"/>
  <c r="BD17" i="37"/>
  <c r="BE17" i="37"/>
  <c r="F16" i="37"/>
  <c r="G16" i="37"/>
  <c r="H16" i="37"/>
  <c r="I16" i="37"/>
  <c r="J16" i="37"/>
  <c r="K16" i="37"/>
  <c r="L16" i="37"/>
  <c r="M16" i="37"/>
  <c r="N16" i="37"/>
  <c r="O16" i="37"/>
  <c r="P16" i="37"/>
  <c r="Q16" i="37"/>
  <c r="R16" i="37"/>
  <c r="S16" i="37"/>
  <c r="T16" i="37"/>
  <c r="U16" i="37"/>
  <c r="V16" i="37"/>
  <c r="W16" i="37"/>
  <c r="X16" i="37"/>
  <c r="Y16" i="37"/>
  <c r="Z16" i="37"/>
  <c r="AA16" i="37"/>
  <c r="AB16" i="37"/>
  <c r="AC16" i="37"/>
  <c r="AD16" i="37"/>
  <c r="AE16" i="37"/>
  <c r="AF16" i="37"/>
  <c r="AG16" i="37"/>
  <c r="AH16" i="37"/>
  <c r="AI16" i="37"/>
  <c r="AJ16" i="37"/>
  <c r="AK16" i="37"/>
  <c r="AL16" i="37"/>
  <c r="AM16" i="37"/>
  <c r="AN16" i="37"/>
  <c r="AO16" i="37"/>
  <c r="AP16" i="37"/>
  <c r="AQ16" i="37"/>
  <c r="AR16" i="37"/>
  <c r="AS16" i="37"/>
  <c r="AT16" i="37"/>
  <c r="AU16" i="37"/>
  <c r="AV16" i="37"/>
  <c r="AW16" i="37"/>
  <c r="AX16" i="37"/>
  <c r="AY16" i="37"/>
  <c r="AZ16" i="37"/>
  <c r="BA16" i="37"/>
  <c r="BB16" i="37"/>
  <c r="BC16" i="37"/>
  <c r="BD16" i="37"/>
  <c r="BE16" i="37"/>
  <c r="F15" i="37"/>
  <c r="G15" i="37"/>
  <c r="H15" i="37"/>
  <c r="I15" i="37"/>
  <c r="J15" i="37"/>
  <c r="K15" i="37"/>
  <c r="L15" i="37"/>
  <c r="M15" i="37"/>
  <c r="N15" i="37"/>
  <c r="O15" i="37"/>
  <c r="P15" i="37"/>
  <c r="Q15" i="37"/>
  <c r="R15" i="37"/>
  <c r="S15" i="37"/>
  <c r="T15" i="37"/>
  <c r="U15" i="37"/>
  <c r="V15" i="37"/>
  <c r="W15" i="37"/>
  <c r="X15" i="37"/>
  <c r="Y15" i="37"/>
  <c r="Z15" i="37"/>
  <c r="AA15" i="37"/>
  <c r="AB15" i="37"/>
  <c r="AC15" i="37"/>
  <c r="AD15" i="37"/>
  <c r="AE15" i="37"/>
  <c r="AF15" i="37"/>
  <c r="AG15" i="37"/>
  <c r="AH15" i="37"/>
  <c r="AI15" i="37"/>
  <c r="AJ15" i="37"/>
  <c r="AK15" i="37"/>
  <c r="AL15" i="37"/>
  <c r="AM15" i="37"/>
  <c r="AN15" i="37"/>
  <c r="AO15" i="37"/>
  <c r="AP15" i="37"/>
  <c r="AQ15" i="37"/>
  <c r="AR15" i="37"/>
  <c r="AS15" i="37"/>
  <c r="AT15" i="37"/>
  <c r="AU15" i="37"/>
  <c r="AV15" i="37"/>
  <c r="AW15" i="37"/>
  <c r="AX15" i="37"/>
  <c r="AY15" i="37"/>
  <c r="AZ15" i="37"/>
  <c r="BA15" i="37"/>
  <c r="BB15" i="37"/>
  <c r="BC15" i="37"/>
  <c r="BD15" i="37"/>
  <c r="BE15" i="37"/>
  <c r="F14" i="37"/>
  <c r="G14" i="37"/>
  <c r="H14" i="37"/>
  <c r="I14" i="37"/>
  <c r="J14" i="37"/>
  <c r="K14" i="37"/>
  <c r="L14" i="37"/>
  <c r="M14" i="37"/>
  <c r="N14" i="37"/>
  <c r="O14" i="37"/>
  <c r="P14" i="37"/>
  <c r="Q14" i="37"/>
  <c r="R14" i="37"/>
  <c r="S14" i="37"/>
  <c r="T14" i="37"/>
  <c r="U14" i="37"/>
  <c r="V14" i="37"/>
  <c r="W14" i="37"/>
  <c r="X14" i="37"/>
  <c r="Y14" i="37"/>
  <c r="Z14" i="37"/>
  <c r="AA14" i="37"/>
  <c r="AB14" i="37"/>
  <c r="AC14" i="37"/>
  <c r="AD14" i="37"/>
  <c r="AE14" i="37"/>
  <c r="AF14" i="37"/>
  <c r="AG14" i="37"/>
  <c r="AH14" i="37"/>
  <c r="AI14" i="37"/>
  <c r="AJ14" i="37"/>
  <c r="AK14" i="37"/>
  <c r="AL14" i="37"/>
  <c r="AM14" i="37"/>
  <c r="AN14" i="37"/>
  <c r="AO14" i="37"/>
  <c r="AP14" i="37"/>
  <c r="AQ14" i="37"/>
  <c r="AR14" i="37"/>
  <c r="AS14" i="37"/>
  <c r="AT14" i="37"/>
  <c r="AU14" i="37"/>
  <c r="AV14" i="37"/>
  <c r="AW14" i="37"/>
  <c r="AX14" i="37"/>
  <c r="AY14" i="37"/>
  <c r="AZ14" i="37"/>
  <c r="BA14" i="37"/>
  <c r="BB14" i="37"/>
  <c r="BC14" i="37"/>
  <c r="BD14" i="37"/>
  <c r="BE14" i="37"/>
  <c r="F12" i="37"/>
  <c r="F24" i="37" s="1"/>
  <c r="F26" i="37" s="1"/>
  <c r="F33" i="40" s="1"/>
  <c r="G12" i="37"/>
  <c r="H12" i="37"/>
  <c r="I12" i="37"/>
  <c r="J12" i="37"/>
  <c r="K12" i="37"/>
  <c r="L12" i="37"/>
  <c r="M12" i="37"/>
  <c r="N12" i="37"/>
  <c r="O12" i="37"/>
  <c r="O24" i="37" s="1"/>
  <c r="O26" i="37" s="1"/>
  <c r="O33" i="40" s="1"/>
  <c r="P12" i="37"/>
  <c r="Q12" i="37"/>
  <c r="R12" i="37"/>
  <c r="S12" i="37"/>
  <c r="T12" i="37"/>
  <c r="T24" i="37" s="1"/>
  <c r="T26" i="37" s="1"/>
  <c r="T33" i="40" s="1"/>
  <c r="U12" i="37"/>
  <c r="U24" i="37" s="1"/>
  <c r="U26" i="37" s="1"/>
  <c r="U33" i="40" s="1"/>
  <c r="V12" i="37"/>
  <c r="V24" i="37" s="1"/>
  <c r="V26" i="37" s="1"/>
  <c r="V33" i="40" s="1"/>
  <c r="W12" i="37"/>
  <c r="X12" i="37"/>
  <c r="Y12" i="37"/>
  <c r="Z12" i="37"/>
  <c r="AA12" i="37"/>
  <c r="AB12" i="37"/>
  <c r="AC12" i="37"/>
  <c r="AD12" i="37"/>
  <c r="AE12" i="37"/>
  <c r="AE24" i="37" s="1"/>
  <c r="AE26" i="37" s="1"/>
  <c r="AE33" i="40" s="1"/>
  <c r="AF12" i="37"/>
  <c r="AG12" i="37"/>
  <c r="AH12" i="37"/>
  <c r="AI12" i="37"/>
  <c r="AJ12" i="37"/>
  <c r="AJ24" i="37" s="1"/>
  <c r="AJ26" i="37" s="1"/>
  <c r="AJ33" i="40" s="1"/>
  <c r="AK12" i="37"/>
  <c r="AL12" i="37"/>
  <c r="AL24" i="37" s="1"/>
  <c r="AL26" i="37" s="1"/>
  <c r="AL33" i="40" s="1"/>
  <c r="AM12" i="37"/>
  <c r="AN12" i="37"/>
  <c r="AO12" i="37"/>
  <c r="AP12" i="37"/>
  <c r="AQ12" i="37"/>
  <c r="AR12" i="37"/>
  <c r="AS12" i="37"/>
  <c r="AT12" i="37"/>
  <c r="AU12" i="37"/>
  <c r="AU24" i="37" s="1"/>
  <c r="AU26" i="37" s="1"/>
  <c r="AU33" i="40" s="1"/>
  <c r="AV12" i="37"/>
  <c r="AW12" i="37"/>
  <c r="AX12" i="37"/>
  <c r="AY12" i="37"/>
  <c r="AZ12" i="37"/>
  <c r="AZ24" i="37" s="1"/>
  <c r="AZ26" i="37" s="1"/>
  <c r="AZ33" i="40" s="1"/>
  <c r="BA12" i="37"/>
  <c r="BA24" i="37" s="1"/>
  <c r="BA26" i="37" s="1"/>
  <c r="BA33" i="40" s="1"/>
  <c r="BB12" i="37"/>
  <c r="BB24" i="37" s="1"/>
  <c r="BB26" i="37" s="1"/>
  <c r="BB33" i="40" s="1"/>
  <c r="BC12" i="37"/>
  <c r="BD12" i="37"/>
  <c r="BE12" i="37"/>
  <c r="E37" i="37"/>
  <c r="E36" i="37"/>
  <c r="E35" i="37"/>
  <c r="E34" i="37"/>
  <c r="E33" i="37"/>
  <c r="E32" i="37"/>
  <c r="E22" i="37"/>
  <c r="E21" i="37"/>
  <c r="E20" i="37"/>
  <c r="E19" i="37"/>
  <c r="E18" i="37"/>
  <c r="E17" i="37"/>
  <c r="E16" i="37"/>
  <c r="E15" i="37"/>
  <c r="E14" i="37"/>
  <c r="E12" i="37"/>
  <c r="F34" i="36"/>
  <c r="G34" i="36"/>
  <c r="H34" i="36"/>
  <c r="I34" i="36"/>
  <c r="J34" i="36"/>
  <c r="K34" i="36"/>
  <c r="L34" i="36"/>
  <c r="M34" i="36"/>
  <c r="N34" i="36"/>
  <c r="O34" i="36"/>
  <c r="P34" i="36"/>
  <c r="Q34" i="36"/>
  <c r="R34" i="36"/>
  <c r="S34" i="36"/>
  <c r="T34" i="36"/>
  <c r="U34" i="36"/>
  <c r="V34" i="36"/>
  <c r="W34" i="36"/>
  <c r="X34" i="36"/>
  <c r="Y34" i="36"/>
  <c r="Z34" i="36"/>
  <c r="AA34" i="36"/>
  <c r="AB34" i="36"/>
  <c r="AC34" i="36"/>
  <c r="AD34" i="36"/>
  <c r="AE34" i="36"/>
  <c r="AF34" i="36"/>
  <c r="AG34" i="36"/>
  <c r="AH34" i="36"/>
  <c r="AI34" i="36"/>
  <c r="AJ34" i="36"/>
  <c r="AK34" i="36"/>
  <c r="AL34" i="36"/>
  <c r="AM34" i="36"/>
  <c r="AN34" i="36"/>
  <c r="AO34" i="36"/>
  <c r="AP34" i="36"/>
  <c r="AQ34" i="36"/>
  <c r="AR34" i="36"/>
  <c r="AS34" i="36"/>
  <c r="AT34" i="36"/>
  <c r="AU34" i="36"/>
  <c r="AV34" i="36"/>
  <c r="AW34" i="36"/>
  <c r="AX34" i="36"/>
  <c r="AY34" i="36"/>
  <c r="AZ34" i="36"/>
  <c r="BA34" i="36"/>
  <c r="BB34" i="36"/>
  <c r="BC34" i="36"/>
  <c r="BD34" i="36"/>
  <c r="BE34" i="36"/>
  <c r="F33" i="36"/>
  <c r="G33" i="36"/>
  <c r="H33" i="36"/>
  <c r="I33" i="36"/>
  <c r="J33" i="36"/>
  <c r="K33" i="36"/>
  <c r="L33" i="36"/>
  <c r="M33" i="36"/>
  <c r="N33" i="36"/>
  <c r="O33" i="36"/>
  <c r="P33" i="36"/>
  <c r="Q33" i="36"/>
  <c r="R33" i="36"/>
  <c r="S33" i="36"/>
  <c r="T33" i="36"/>
  <c r="U33" i="36"/>
  <c r="V33" i="36"/>
  <c r="W33" i="36"/>
  <c r="X33" i="36"/>
  <c r="Y33" i="36"/>
  <c r="Z33" i="36"/>
  <c r="AA33" i="36"/>
  <c r="AB33" i="36"/>
  <c r="AC33" i="36"/>
  <c r="AD33" i="36"/>
  <c r="AE33" i="36"/>
  <c r="AF33" i="36"/>
  <c r="AG33" i="36"/>
  <c r="AH33" i="36"/>
  <c r="AI33" i="36"/>
  <c r="AJ33" i="36"/>
  <c r="AK33" i="36"/>
  <c r="AL33" i="36"/>
  <c r="AM33" i="36"/>
  <c r="AN33" i="36"/>
  <c r="AO33" i="36"/>
  <c r="AP33" i="36"/>
  <c r="AQ33" i="36"/>
  <c r="AR33" i="36"/>
  <c r="AS33" i="36"/>
  <c r="AT33" i="36"/>
  <c r="AU33" i="36"/>
  <c r="AV33" i="36"/>
  <c r="AW33" i="36"/>
  <c r="AX33" i="36"/>
  <c r="AY33" i="36"/>
  <c r="AZ33" i="36"/>
  <c r="BA33" i="36"/>
  <c r="BB33" i="36"/>
  <c r="BC33" i="36"/>
  <c r="BD33" i="36"/>
  <c r="BE33" i="36"/>
  <c r="F32" i="36"/>
  <c r="G32" i="36"/>
  <c r="H32" i="36"/>
  <c r="I32" i="36"/>
  <c r="J32" i="36"/>
  <c r="K32" i="36"/>
  <c r="L32" i="36"/>
  <c r="M32" i="36"/>
  <c r="N32" i="36"/>
  <c r="O32" i="36"/>
  <c r="P32" i="36"/>
  <c r="Q32" i="36"/>
  <c r="R32" i="36"/>
  <c r="S32" i="36"/>
  <c r="T32" i="36"/>
  <c r="U32" i="36"/>
  <c r="V32" i="36"/>
  <c r="W32" i="36"/>
  <c r="X32" i="36"/>
  <c r="Y32" i="36"/>
  <c r="Z32" i="36"/>
  <c r="AA32" i="36"/>
  <c r="AB32" i="36"/>
  <c r="AC32" i="36"/>
  <c r="AD32" i="36"/>
  <c r="AE32" i="36"/>
  <c r="AF32" i="36"/>
  <c r="AG32" i="36"/>
  <c r="AH32" i="36"/>
  <c r="AI32" i="36"/>
  <c r="AJ32" i="36"/>
  <c r="AK32" i="36"/>
  <c r="AL32" i="36"/>
  <c r="AM32" i="36"/>
  <c r="AN32" i="36"/>
  <c r="AO32" i="36"/>
  <c r="AP32" i="36"/>
  <c r="AQ32" i="36"/>
  <c r="AR32" i="36"/>
  <c r="AS32" i="36"/>
  <c r="AT32" i="36"/>
  <c r="AU32" i="36"/>
  <c r="AV32" i="36"/>
  <c r="AW32" i="36"/>
  <c r="AX32" i="36"/>
  <c r="AY32" i="36"/>
  <c r="AZ32" i="36"/>
  <c r="BA32" i="36"/>
  <c r="BB32" i="36"/>
  <c r="BC32" i="36"/>
  <c r="BD32" i="36"/>
  <c r="BE32" i="36"/>
  <c r="F31" i="36"/>
  <c r="G31" i="36"/>
  <c r="H31" i="36"/>
  <c r="I31" i="36"/>
  <c r="J31" i="36"/>
  <c r="K31" i="36"/>
  <c r="L31" i="36"/>
  <c r="M31" i="36"/>
  <c r="N31" i="36"/>
  <c r="O31" i="36"/>
  <c r="P31" i="36"/>
  <c r="Q31" i="36"/>
  <c r="R31" i="36"/>
  <c r="S31" i="36"/>
  <c r="T31" i="36"/>
  <c r="U31" i="36"/>
  <c r="V31" i="36"/>
  <c r="W31" i="36"/>
  <c r="X31" i="36"/>
  <c r="Y31" i="36"/>
  <c r="Z31" i="36"/>
  <c r="AA31" i="36"/>
  <c r="AB31" i="36"/>
  <c r="AC31" i="36"/>
  <c r="AD31" i="36"/>
  <c r="AE31" i="36"/>
  <c r="AF31" i="36"/>
  <c r="AG31" i="36"/>
  <c r="AH31" i="36"/>
  <c r="AI31" i="36"/>
  <c r="AJ31" i="36"/>
  <c r="AK31" i="36"/>
  <c r="AL31" i="36"/>
  <c r="AM31" i="36"/>
  <c r="AN31" i="36"/>
  <c r="AO31" i="36"/>
  <c r="AP31" i="36"/>
  <c r="AQ31" i="36"/>
  <c r="AR31" i="36"/>
  <c r="AS31" i="36"/>
  <c r="AT31" i="36"/>
  <c r="AU31" i="36"/>
  <c r="AV31" i="36"/>
  <c r="AW31" i="36"/>
  <c r="AX31" i="36"/>
  <c r="AY31" i="36"/>
  <c r="AZ31" i="36"/>
  <c r="BA31" i="36"/>
  <c r="BB31" i="36"/>
  <c r="BC31" i="36"/>
  <c r="BD31" i="36"/>
  <c r="BE31" i="36"/>
  <c r="F21" i="36"/>
  <c r="G21" i="36"/>
  <c r="H21" i="36"/>
  <c r="I21" i="36"/>
  <c r="J21" i="36"/>
  <c r="K21" i="36"/>
  <c r="L21" i="36"/>
  <c r="M21" i="36"/>
  <c r="N21" i="36"/>
  <c r="O21" i="36"/>
  <c r="P21" i="36"/>
  <c r="Q21" i="36"/>
  <c r="R21" i="36"/>
  <c r="S21" i="36"/>
  <c r="T21" i="36"/>
  <c r="U21" i="36"/>
  <c r="V21" i="36"/>
  <c r="W21" i="36"/>
  <c r="X21" i="36"/>
  <c r="Y21" i="36"/>
  <c r="Z21" i="36"/>
  <c r="AA21" i="36"/>
  <c r="AB21" i="36"/>
  <c r="AC21" i="36"/>
  <c r="AD21" i="36"/>
  <c r="AE21" i="36"/>
  <c r="AF21" i="36"/>
  <c r="AG21" i="36"/>
  <c r="AH21" i="36"/>
  <c r="AI21" i="36"/>
  <c r="AJ21" i="36"/>
  <c r="AK21" i="36"/>
  <c r="AL21" i="36"/>
  <c r="AM21" i="36"/>
  <c r="AN21" i="36"/>
  <c r="AO21" i="36"/>
  <c r="AP21" i="36"/>
  <c r="AQ21" i="36"/>
  <c r="AR21" i="36"/>
  <c r="AS21" i="36"/>
  <c r="AT21" i="36"/>
  <c r="AU21" i="36"/>
  <c r="AV21" i="36"/>
  <c r="AW21" i="36"/>
  <c r="AX21" i="36"/>
  <c r="AY21" i="36"/>
  <c r="AZ21" i="36"/>
  <c r="BA21" i="36"/>
  <c r="BB21" i="36"/>
  <c r="BC21" i="36"/>
  <c r="BD21" i="36"/>
  <c r="BE21" i="36"/>
  <c r="F20" i="36"/>
  <c r="G20" i="36"/>
  <c r="H20" i="36"/>
  <c r="I20" i="36"/>
  <c r="J20" i="36"/>
  <c r="K20" i="36"/>
  <c r="L20" i="36"/>
  <c r="M20" i="36"/>
  <c r="N20" i="36"/>
  <c r="O20" i="36"/>
  <c r="P20" i="36"/>
  <c r="Q20" i="36"/>
  <c r="R20" i="36"/>
  <c r="S20" i="36"/>
  <c r="T20" i="36"/>
  <c r="U20" i="36"/>
  <c r="V20" i="36"/>
  <c r="W20" i="36"/>
  <c r="X20" i="36"/>
  <c r="Y20" i="36"/>
  <c r="Z20" i="36"/>
  <c r="AA20" i="36"/>
  <c r="AB20" i="36"/>
  <c r="AC20" i="36"/>
  <c r="AD20" i="36"/>
  <c r="AE20" i="36"/>
  <c r="AF20" i="36"/>
  <c r="AG20" i="36"/>
  <c r="AH20" i="36"/>
  <c r="AI20" i="36"/>
  <c r="AJ20" i="36"/>
  <c r="AK20" i="36"/>
  <c r="AL20" i="36"/>
  <c r="AM20" i="36"/>
  <c r="AN20" i="36"/>
  <c r="AO20" i="36"/>
  <c r="AP20" i="36"/>
  <c r="AQ20" i="36"/>
  <c r="AR20" i="36"/>
  <c r="AS20" i="36"/>
  <c r="AT20" i="36"/>
  <c r="AU20" i="36"/>
  <c r="AV20" i="36"/>
  <c r="AW20" i="36"/>
  <c r="AX20" i="36"/>
  <c r="AY20" i="36"/>
  <c r="AZ20" i="36"/>
  <c r="BA20" i="36"/>
  <c r="BB20" i="36"/>
  <c r="BC20" i="36"/>
  <c r="BD20" i="36"/>
  <c r="BE20" i="36"/>
  <c r="F19" i="36"/>
  <c r="G19" i="36"/>
  <c r="H19" i="36"/>
  <c r="I19" i="36"/>
  <c r="J19" i="36"/>
  <c r="K19" i="36"/>
  <c r="L19" i="36"/>
  <c r="M19" i="36"/>
  <c r="N19" i="36"/>
  <c r="O19" i="36"/>
  <c r="P19" i="36"/>
  <c r="Q19" i="36"/>
  <c r="R19" i="36"/>
  <c r="S19" i="36"/>
  <c r="T19" i="36"/>
  <c r="U19" i="36"/>
  <c r="V19" i="36"/>
  <c r="W19" i="36"/>
  <c r="X19" i="36"/>
  <c r="Y19" i="36"/>
  <c r="Z19" i="36"/>
  <c r="AA19" i="36"/>
  <c r="AB19" i="36"/>
  <c r="AC19" i="36"/>
  <c r="AD19" i="36"/>
  <c r="AE19" i="36"/>
  <c r="AF19" i="36"/>
  <c r="AG19" i="36"/>
  <c r="AH19" i="36"/>
  <c r="AI19" i="36"/>
  <c r="AJ19" i="36"/>
  <c r="AK19" i="36"/>
  <c r="AL19" i="36"/>
  <c r="AM19" i="36"/>
  <c r="AN19" i="36"/>
  <c r="AO19" i="36"/>
  <c r="AP19" i="36"/>
  <c r="AQ19" i="36"/>
  <c r="AR19" i="36"/>
  <c r="AS19" i="36"/>
  <c r="AT19" i="36"/>
  <c r="AU19" i="36"/>
  <c r="AV19" i="36"/>
  <c r="AW19" i="36"/>
  <c r="AX19" i="36"/>
  <c r="AY19" i="36"/>
  <c r="AZ19" i="36"/>
  <c r="BA19" i="36"/>
  <c r="BB19" i="36"/>
  <c r="BC19" i="36"/>
  <c r="BD19" i="36"/>
  <c r="BE19" i="36"/>
  <c r="F18" i="36"/>
  <c r="G18" i="36"/>
  <c r="H18" i="36"/>
  <c r="I18" i="36"/>
  <c r="J18" i="36"/>
  <c r="K18" i="36"/>
  <c r="L18" i="36"/>
  <c r="M18" i="36"/>
  <c r="N18" i="36"/>
  <c r="O18" i="36"/>
  <c r="P18" i="36"/>
  <c r="Q18" i="36"/>
  <c r="R18" i="36"/>
  <c r="S18" i="36"/>
  <c r="T18" i="36"/>
  <c r="U18" i="36"/>
  <c r="V18" i="36"/>
  <c r="W18" i="36"/>
  <c r="X18" i="36"/>
  <c r="Y18" i="36"/>
  <c r="Z18" i="36"/>
  <c r="AA18" i="36"/>
  <c r="AB18" i="36"/>
  <c r="AC18" i="36"/>
  <c r="AD18" i="36"/>
  <c r="AE18" i="36"/>
  <c r="AF18" i="36"/>
  <c r="AG18" i="36"/>
  <c r="AH18" i="36"/>
  <c r="AI18" i="36"/>
  <c r="AJ18" i="36"/>
  <c r="AK18" i="36"/>
  <c r="AL18" i="36"/>
  <c r="AM18" i="36"/>
  <c r="AN18" i="36"/>
  <c r="AO18" i="36"/>
  <c r="AP18" i="36"/>
  <c r="AQ18" i="36"/>
  <c r="AR18" i="36"/>
  <c r="AS18" i="36"/>
  <c r="AT18" i="36"/>
  <c r="AU18" i="36"/>
  <c r="AV18" i="36"/>
  <c r="AW18" i="36"/>
  <c r="AX18" i="36"/>
  <c r="AY18" i="36"/>
  <c r="AZ18" i="36"/>
  <c r="BA18" i="36"/>
  <c r="BB18" i="36"/>
  <c r="BC18" i="36"/>
  <c r="BD18" i="36"/>
  <c r="BE18" i="36"/>
  <c r="F17" i="36"/>
  <c r="G17" i="36"/>
  <c r="H17" i="36"/>
  <c r="I17" i="36"/>
  <c r="J17" i="36"/>
  <c r="K17" i="36"/>
  <c r="K23" i="36" s="1"/>
  <c r="L17" i="36"/>
  <c r="M17" i="36"/>
  <c r="N17" i="36"/>
  <c r="O17" i="36"/>
  <c r="P17" i="36"/>
  <c r="P23" i="36" s="1"/>
  <c r="Q17" i="36"/>
  <c r="Q23" i="36" s="1"/>
  <c r="R17" i="36"/>
  <c r="R23" i="36" s="1"/>
  <c r="S17" i="36"/>
  <c r="T17" i="36"/>
  <c r="U17" i="36"/>
  <c r="V17" i="36"/>
  <c r="W17" i="36"/>
  <c r="X17" i="36"/>
  <c r="Y17" i="36"/>
  <c r="Z17" i="36"/>
  <c r="AA17" i="36"/>
  <c r="AA23" i="36" s="1"/>
  <c r="AB17" i="36"/>
  <c r="AC17" i="36"/>
  <c r="AD17" i="36"/>
  <c r="AE17" i="36"/>
  <c r="AF17" i="36"/>
  <c r="AF23" i="36" s="1"/>
  <c r="AG17" i="36"/>
  <c r="AG23" i="36" s="1"/>
  <c r="AH17" i="36"/>
  <c r="AH23" i="36" s="1"/>
  <c r="AI17" i="36"/>
  <c r="AJ17" i="36"/>
  <c r="AK17" i="36"/>
  <c r="AL17" i="36"/>
  <c r="AM17" i="36"/>
  <c r="AN17" i="36"/>
  <c r="AO17" i="36"/>
  <c r="AP17" i="36"/>
  <c r="AQ17" i="36"/>
  <c r="AQ23" i="36" s="1"/>
  <c r="AR17" i="36"/>
  <c r="AS17" i="36"/>
  <c r="AT17" i="36"/>
  <c r="AU17" i="36"/>
  <c r="AV17" i="36"/>
  <c r="AV23" i="36" s="1"/>
  <c r="AW17" i="36"/>
  <c r="AW23" i="36" s="1"/>
  <c r="AX17" i="36"/>
  <c r="AX23" i="36" s="1"/>
  <c r="AY17" i="36"/>
  <c r="AZ17" i="36"/>
  <c r="BA17" i="36"/>
  <c r="BB17" i="36"/>
  <c r="BC17" i="36"/>
  <c r="BD17" i="36"/>
  <c r="BE17" i="36"/>
  <c r="F13" i="36"/>
  <c r="G13" i="36"/>
  <c r="H13" i="36"/>
  <c r="I13" i="36"/>
  <c r="J13" i="36"/>
  <c r="K13" i="36"/>
  <c r="L13" i="36"/>
  <c r="M13" i="36"/>
  <c r="N13" i="36"/>
  <c r="O13" i="36"/>
  <c r="P13" i="36"/>
  <c r="Q13" i="36"/>
  <c r="R13" i="36"/>
  <c r="S13" i="36"/>
  <c r="T13" i="36"/>
  <c r="U13" i="36"/>
  <c r="V13" i="36"/>
  <c r="W13" i="36"/>
  <c r="X13" i="36"/>
  <c r="Y13" i="36"/>
  <c r="Z13" i="36"/>
  <c r="AA13" i="36"/>
  <c r="AB13" i="36"/>
  <c r="AC13" i="36"/>
  <c r="AD13" i="36"/>
  <c r="AE13" i="36"/>
  <c r="AF13" i="36"/>
  <c r="AG13" i="36"/>
  <c r="AH13" i="36"/>
  <c r="AI13" i="36"/>
  <c r="AJ13" i="36"/>
  <c r="AK13" i="36"/>
  <c r="AL13" i="36"/>
  <c r="AM13" i="36"/>
  <c r="AN13" i="36"/>
  <c r="AO13" i="36"/>
  <c r="AP13" i="36"/>
  <c r="AQ13" i="36"/>
  <c r="AR13" i="36"/>
  <c r="AS13" i="36"/>
  <c r="AT13" i="36"/>
  <c r="AU13" i="36"/>
  <c r="AV13" i="36"/>
  <c r="AW13" i="36"/>
  <c r="AX13" i="36"/>
  <c r="AY13" i="36"/>
  <c r="AZ13" i="36"/>
  <c r="BA13" i="36"/>
  <c r="BB13" i="36"/>
  <c r="BC13" i="36"/>
  <c r="BD13" i="36"/>
  <c r="BE13" i="36"/>
  <c r="F12" i="36"/>
  <c r="G12" i="36"/>
  <c r="H12" i="36"/>
  <c r="H15" i="36" s="1"/>
  <c r="I12" i="36"/>
  <c r="I15" i="36" s="1"/>
  <c r="J12" i="36"/>
  <c r="J15" i="36" s="1"/>
  <c r="K12" i="36"/>
  <c r="L12" i="36"/>
  <c r="M12" i="36"/>
  <c r="N12" i="36"/>
  <c r="O12" i="36"/>
  <c r="O15" i="36" s="1"/>
  <c r="P12" i="36"/>
  <c r="P15" i="36" s="1"/>
  <c r="Q12" i="36"/>
  <c r="Q15" i="36" s="1"/>
  <c r="R12" i="36"/>
  <c r="R15" i="36" s="1"/>
  <c r="S12" i="36"/>
  <c r="S15" i="36" s="1"/>
  <c r="T12" i="36"/>
  <c r="T15" i="36" s="1"/>
  <c r="U12" i="36"/>
  <c r="V12" i="36"/>
  <c r="W12" i="36"/>
  <c r="X12" i="36"/>
  <c r="Y12" i="36"/>
  <c r="Y15" i="36" s="1"/>
  <c r="Z12" i="36"/>
  <c r="Z15" i="36" s="1"/>
  <c r="AA12" i="36"/>
  <c r="AB12" i="36"/>
  <c r="AC12" i="36"/>
  <c r="AD12" i="36"/>
  <c r="AE12" i="36"/>
  <c r="AE15" i="36" s="1"/>
  <c r="AF12" i="36"/>
  <c r="AF15" i="36" s="1"/>
  <c r="AG12" i="36"/>
  <c r="AG15" i="36" s="1"/>
  <c r="AH12" i="36"/>
  <c r="AH15" i="36" s="1"/>
  <c r="AI12" i="36"/>
  <c r="AI15" i="36" s="1"/>
  <c r="AJ12" i="36"/>
  <c r="AJ15" i="36" s="1"/>
  <c r="AK12" i="36"/>
  <c r="AL12" i="36"/>
  <c r="AM12" i="36"/>
  <c r="AN12" i="36"/>
  <c r="AN15" i="36" s="1"/>
  <c r="AO12" i="36"/>
  <c r="AO15" i="36" s="1"/>
  <c r="AP12" i="36"/>
  <c r="AP15" i="36" s="1"/>
  <c r="AQ12" i="36"/>
  <c r="AR12" i="36"/>
  <c r="AS12" i="36"/>
  <c r="AT12" i="36"/>
  <c r="AU12" i="36"/>
  <c r="AU15" i="36" s="1"/>
  <c r="AV12" i="36"/>
  <c r="AV15" i="36" s="1"/>
  <c r="AW12" i="36"/>
  <c r="AW15" i="36" s="1"/>
  <c r="AX12" i="36"/>
  <c r="AX15" i="36" s="1"/>
  <c r="AY12" i="36"/>
  <c r="AY15" i="36" s="1"/>
  <c r="AZ12" i="36"/>
  <c r="AZ15" i="36" s="1"/>
  <c r="BA12" i="36"/>
  <c r="BB12" i="36"/>
  <c r="BC12" i="36"/>
  <c r="BD12" i="36"/>
  <c r="BD15" i="36" s="1"/>
  <c r="BE12" i="36"/>
  <c r="BE15" i="36" s="1"/>
  <c r="E34" i="36"/>
  <c r="E33" i="36"/>
  <c r="E32" i="36"/>
  <c r="E31" i="36"/>
  <c r="E21" i="36"/>
  <c r="E20" i="36"/>
  <c r="E19" i="36"/>
  <c r="E18" i="36"/>
  <c r="E17" i="36"/>
  <c r="E13" i="36"/>
  <c r="E12" i="36"/>
  <c r="BC15" i="36" l="1"/>
  <c r="AM15" i="36"/>
  <c r="W15" i="36"/>
  <c r="G15" i="36"/>
  <c r="AU23" i="36"/>
  <c r="AE23" i="36"/>
  <c r="AE26" i="38" s="1"/>
  <c r="O23" i="36"/>
  <c r="O26" i="38" s="1"/>
  <c r="AY24" i="37"/>
  <c r="AY26" i="37" s="1"/>
  <c r="AY33" i="40" s="1"/>
  <c r="AI24" i="37"/>
  <c r="AI26" i="37" s="1"/>
  <c r="AI33" i="40" s="1"/>
  <c r="S24" i="37"/>
  <c r="S26" i="37" s="1"/>
  <c r="S33" i="40" s="1"/>
  <c r="AT15" i="38"/>
  <c r="AD15" i="38"/>
  <c r="N15" i="38"/>
  <c r="BB40" i="38"/>
  <c r="AL40" i="38"/>
  <c r="V40" i="38"/>
  <c r="F40" i="38"/>
  <c r="AT46" i="38"/>
  <c r="AD46" i="38"/>
  <c r="N46" i="38"/>
  <c r="BB15" i="36"/>
  <c r="AL15" i="36"/>
  <c r="V15" i="36"/>
  <c r="F15" i="36"/>
  <c r="AT23" i="36"/>
  <c r="AD23" i="36"/>
  <c r="AD26" i="38" s="1"/>
  <c r="N23" i="36"/>
  <c r="AX24" i="37"/>
  <c r="AX26" i="37" s="1"/>
  <c r="AX33" i="40" s="1"/>
  <c r="AH24" i="37"/>
  <c r="AH26" i="37" s="1"/>
  <c r="AH33" i="40" s="1"/>
  <c r="R24" i="37"/>
  <c r="R26" i="37" s="1"/>
  <c r="R33" i="40" s="1"/>
  <c r="AS15" i="38"/>
  <c r="AC15" i="38"/>
  <c r="M15" i="38"/>
  <c r="BA40" i="38"/>
  <c r="U40" i="38"/>
  <c r="AS46" i="38"/>
  <c r="AC46" i="38"/>
  <c r="M46" i="38"/>
  <c r="M48" i="38" s="1"/>
  <c r="M41" i="40" s="1"/>
  <c r="BA15" i="36"/>
  <c r="U15" i="36"/>
  <c r="U25" i="36" s="1"/>
  <c r="U29" i="40" s="1"/>
  <c r="AS23" i="36"/>
  <c r="AS25" i="36" s="1"/>
  <c r="AS29" i="40" s="1"/>
  <c r="AC23" i="36"/>
  <c r="AC38" i="36" s="1"/>
  <c r="AC40" i="36" s="1"/>
  <c r="AC31" i="40" s="1"/>
  <c r="M23" i="36"/>
  <c r="AW24" i="37"/>
  <c r="AW26" i="37" s="1"/>
  <c r="AW33" i="40" s="1"/>
  <c r="AG24" i="37"/>
  <c r="AG26" i="37" s="1"/>
  <c r="AG33" i="40" s="1"/>
  <c r="Q24" i="37"/>
  <c r="Q26" i="37" s="1"/>
  <c r="Q33" i="40" s="1"/>
  <c r="AR15" i="38"/>
  <c r="AB15" i="38"/>
  <c r="L15" i="38"/>
  <c r="AZ40" i="38"/>
  <c r="AJ40" i="38"/>
  <c r="T40" i="38"/>
  <c r="AR46" i="38"/>
  <c r="AB46" i="38"/>
  <c r="AB48" i="38" s="1"/>
  <c r="AB41" i="40" s="1"/>
  <c r="L46" i="38"/>
  <c r="AR23" i="36"/>
  <c r="AR26" i="38" s="1"/>
  <c r="AI40" i="38"/>
  <c r="AI48" i="38" s="1"/>
  <c r="AI41" i="40" s="1"/>
  <c r="J23" i="36"/>
  <c r="J38" i="36" s="1"/>
  <c r="J40" i="36" s="1"/>
  <c r="J31" i="40" s="1"/>
  <c r="Q40" i="38"/>
  <c r="Y23" i="36"/>
  <c r="AC24" i="37"/>
  <c r="AC26" i="37" s="1"/>
  <c r="AC33" i="40" s="1"/>
  <c r="AV40" i="38"/>
  <c r="AF40" i="38"/>
  <c r="AF48" i="38" s="1"/>
  <c r="AF41" i="40" s="1"/>
  <c r="P40" i="38"/>
  <c r="P48" i="38" s="1"/>
  <c r="P41" i="40" s="1"/>
  <c r="BD46" i="38"/>
  <c r="AN46" i="38"/>
  <c r="H46" i="38"/>
  <c r="BD23" i="36"/>
  <c r="AN23" i="36"/>
  <c r="H23" i="36"/>
  <c r="H26" i="38" s="1"/>
  <c r="AR24" i="37"/>
  <c r="AR26" i="37" s="1"/>
  <c r="AR33" i="40" s="1"/>
  <c r="AB24" i="37"/>
  <c r="AB26" i="37" s="1"/>
  <c r="AB33" i="40" s="1"/>
  <c r="L24" i="37"/>
  <c r="L26" i="37" s="1"/>
  <c r="L33" i="40" s="1"/>
  <c r="AU40" i="38"/>
  <c r="AU48" i="38" s="1"/>
  <c r="AU41" i="40" s="1"/>
  <c r="AE40" i="38"/>
  <c r="O40" i="38"/>
  <c r="BC46" i="38"/>
  <c r="BC48" i="38" s="1"/>
  <c r="BC41" i="40" s="1"/>
  <c r="AM46" i="38"/>
  <c r="W46" i="38"/>
  <c r="W48" i="38" s="1"/>
  <c r="W41" i="40" s="1"/>
  <c r="G46" i="38"/>
  <c r="G48" i="38" s="1"/>
  <c r="G41" i="40" s="1"/>
  <c r="AF24" i="37"/>
  <c r="AF26" i="37" s="1"/>
  <c r="AF33" i="40" s="1"/>
  <c r="AV24" i="37"/>
  <c r="AV26" i="37" s="1"/>
  <c r="AV33" i="40" s="1"/>
  <c r="AD24" i="37"/>
  <c r="AD26" i="37" s="1"/>
  <c r="AD33" i="40" s="1"/>
  <c r="BE23" i="36"/>
  <c r="AM23" i="36"/>
  <c r="K24" i="37"/>
  <c r="K26" i="37" s="1"/>
  <c r="K33" i="40" s="1"/>
  <c r="AD15" i="36"/>
  <c r="N15" i="36"/>
  <c r="BB23" i="36"/>
  <c r="AL23" i="36"/>
  <c r="V23" i="36"/>
  <c r="F23" i="36"/>
  <c r="AP24" i="37"/>
  <c r="AP26" i="37" s="1"/>
  <c r="AP33" i="40" s="1"/>
  <c r="Z24" i="37"/>
  <c r="Z26" i="37" s="1"/>
  <c r="Z33" i="40" s="1"/>
  <c r="J24" i="37"/>
  <c r="J26" i="37" s="1"/>
  <c r="J33" i="40" s="1"/>
  <c r="BA15" i="38"/>
  <c r="U15" i="38"/>
  <c r="AS40" i="38"/>
  <c r="AC40" i="38"/>
  <c r="M40" i="38"/>
  <c r="BA46" i="38"/>
  <c r="U46" i="38"/>
  <c r="U48" i="38" s="1"/>
  <c r="U41" i="40" s="1"/>
  <c r="L23" i="36"/>
  <c r="L26" i="38" s="1"/>
  <c r="AP23" i="36"/>
  <c r="AP38" i="36" s="1"/>
  <c r="AP40" i="36" s="1"/>
  <c r="AP31" i="40" s="1"/>
  <c r="AG40" i="38"/>
  <c r="I46" i="38"/>
  <c r="I48" i="38" s="1"/>
  <c r="I41" i="40" s="1"/>
  <c r="I23" i="36"/>
  <c r="W23" i="36"/>
  <c r="W26" i="38" s="1"/>
  <c r="AA24" i="37"/>
  <c r="AA26" i="37" s="1"/>
  <c r="AA33" i="40" s="1"/>
  <c r="AS15" i="36"/>
  <c r="AC15" i="36"/>
  <c r="M15" i="36"/>
  <c r="M25" i="36" s="1"/>
  <c r="M29" i="40" s="1"/>
  <c r="BA23" i="36"/>
  <c r="U23" i="36"/>
  <c r="BE24" i="37"/>
  <c r="BE26" i="37" s="1"/>
  <c r="BE33" i="40" s="1"/>
  <c r="AO24" i="37"/>
  <c r="AO26" i="37" s="1"/>
  <c r="AO33" i="40" s="1"/>
  <c r="Y24" i="37"/>
  <c r="Y26" i="37" s="1"/>
  <c r="Y33" i="40" s="1"/>
  <c r="I24" i="37"/>
  <c r="I26" i="37" s="1"/>
  <c r="I33" i="40" s="1"/>
  <c r="AZ15" i="38"/>
  <c r="AJ15" i="38"/>
  <c r="T15" i="38"/>
  <c r="AR40" i="38"/>
  <c r="AB40" i="38"/>
  <c r="L40" i="38"/>
  <c r="AZ46" i="38"/>
  <c r="AJ46" i="38"/>
  <c r="AJ48" i="38" s="1"/>
  <c r="AJ41" i="40" s="1"/>
  <c r="T46" i="38"/>
  <c r="S40" i="38"/>
  <c r="Z23" i="36"/>
  <c r="N24" i="37"/>
  <c r="N26" i="37" s="1"/>
  <c r="N33" i="40" s="1"/>
  <c r="AO46" i="38"/>
  <c r="AO48" i="38" s="1"/>
  <c r="AO41" i="40" s="1"/>
  <c r="AO23" i="36"/>
  <c r="AS24" i="37"/>
  <c r="AS26" i="37" s="1"/>
  <c r="AS33" i="40" s="1"/>
  <c r="G23" i="36"/>
  <c r="G26" i="38" s="1"/>
  <c r="AQ24" i="37"/>
  <c r="AQ26" i="37" s="1"/>
  <c r="AQ33" i="40" s="1"/>
  <c r="AD40" i="38"/>
  <c r="AD48" i="38" s="1"/>
  <c r="AD41" i="40" s="1"/>
  <c r="AL46" i="38"/>
  <c r="AL48" i="38" s="1"/>
  <c r="AL41" i="40" s="1"/>
  <c r="V46" i="38"/>
  <c r="V48" i="38" s="1"/>
  <c r="V41" i="40" s="1"/>
  <c r="AT15" i="36"/>
  <c r="AR15" i="36"/>
  <c r="AB15" i="36"/>
  <c r="L15" i="36"/>
  <c r="AZ23" i="36"/>
  <c r="AZ26" i="38" s="1"/>
  <c r="T23" i="36"/>
  <c r="T41" i="37" s="1"/>
  <c r="BD24" i="37"/>
  <c r="BD26" i="37" s="1"/>
  <c r="BD33" i="40" s="1"/>
  <c r="AN24" i="37"/>
  <c r="AN26" i="37" s="1"/>
  <c r="AN33" i="40" s="1"/>
  <c r="H24" i="37"/>
  <c r="H26" i="37" s="1"/>
  <c r="H33" i="40" s="1"/>
  <c r="AY15" i="38"/>
  <c r="AI15" i="38"/>
  <c r="S15" i="38"/>
  <c r="AQ40" i="38"/>
  <c r="AQ48" i="38" s="1"/>
  <c r="AQ41" i="40" s="1"/>
  <c r="AA40" i="38"/>
  <c r="K40" i="38"/>
  <c r="AY46" i="38"/>
  <c r="AI46" i="38"/>
  <c r="S46" i="38"/>
  <c r="S48" i="38" s="1"/>
  <c r="S41" i="40" s="1"/>
  <c r="AB23" i="36"/>
  <c r="P24" i="37"/>
  <c r="P26" i="37" s="1"/>
  <c r="P33" i="40" s="1"/>
  <c r="AY40" i="38"/>
  <c r="AY48" i="38" s="1"/>
  <c r="AY41" i="40" s="1"/>
  <c r="AT24" i="37"/>
  <c r="AT26" i="37" s="1"/>
  <c r="AT33" i="40" s="1"/>
  <c r="AW40" i="38"/>
  <c r="BE46" i="38"/>
  <c r="Y46" i="38"/>
  <c r="M24" i="37"/>
  <c r="M26" i="37" s="1"/>
  <c r="M33" i="40" s="1"/>
  <c r="BC23" i="36"/>
  <c r="AT40" i="38"/>
  <c r="AT48" i="38" s="1"/>
  <c r="AT41" i="40" s="1"/>
  <c r="N40" i="38"/>
  <c r="BB46" i="38"/>
  <c r="BB48" i="38" s="1"/>
  <c r="BB41" i="40" s="1"/>
  <c r="F46" i="38"/>
  <c r="F48" i="38" s="1"/>
  <c r="F41" i="40" s="1"/>
  <c r="AQ15" i="36"/>
  <c r="AA15" i="36"/>
  <c r="K15" i="36"/>
  <c r="K25" i="36" s="1"/>
  <c r="K29" i="40" s="1"/>
  <c r="AY23" i="36"/>
  <c r="S23" i="36"/>
  <c r="S25" i="36" s="1"/>
  <c r="S29" i="40" s="1"/>
  <c r="BC24" i="37"/>
  <c r="BC26" i="37" s="1"/>
  <c r="BC33" i="40" s="1"/>
  <c r="AM24" i="37"/>
  <c r="AM26" i="37" s="1"/>
  <c r="AM33" i="40" s="1"/>
  <c r="W24" i="37"/>
  <c r="W26" i="37" s="1"/>
  <c r="W33" i="40" s="1"/>
  <c r="G24" i="37"/>
  <c r="G26" i="37" s="1"/>
  <c r="G33" i="40" s="1"/>
  <c r="AX15" i="38"/>
  <c r="AH15" i="38"/>
  <c r="R15" i="38"/>
  <c r="AP40" i="38"/>
  <c r="Z40" i="38"/>
  <c r="Z48" i="38" s="1"/>
  <c r="Z41" i="40" s="1"/>
  <c r="J40" i="38"/>
  <c r="J48" i="38" s="1"/>
  <c r="J41" i="40" s="1"/>
  <c r="AX46" i="38"/>
  <c r="AX48" i="38" s="1"/>
  <c r="AX41" i="40" s="1"/>
  <c r="AH46" i="38"/>
  <c r="AH48" i="38" s="1"/>
  <c r="AH41" i="40" s="1"/>
  <c r="R46" i="38"/>
  <c r="R48" i="38" s="1"/>
  <c r="R41" i="40" s="1"/>
  <c r="N48" i="38"/>
  <c r="N41" i="40" s="1"/>
  <c r="AJ23" i="36"/>
  <c r="AJ26" i="38" s="1"/>
  <c r="AI23" i="36"/>
  <c r="AI41" i="37" s="1"/>
  <c r="N39" i="37"/>
  <c r="N36" i="36"/>
  <c r="N15" i="40" s="1"/>
  <c r="AT39" i="37"/>
  <c r="AT36" i="36"/>
  <c r="AT15" i="40" s="1"/>
  <c r="R39" i="37"/>
  <c r="R36" i="36"/>
  <c r="R15" i="40" s="1"/>
  <c r="AX39" i="37"/>
  <c r="AX36" i="36"/>
  <c r="AX15" i="40" s="1"/>
  <c r="BE48" i="38"/>
  <c r="BE41" i="40" s="1"/>
  <c r="BE39" i="37"/>
  <c r="BE36" i="36"/>
  <c r="BE15" i="40" s="1"/>
  <c r="V39" i="37"/>
  <c r="V36" i="36"/>
  <c r="V15" i="40" s="1"/>
  <c r="T48" i="38"/>
  <c r="T41" i="40" s="1"/>
  <c r="T36" i="36"/>
  <c r="T15" i="40" s="1"/>
  <c r="BC39" i="37"/>
  <c r="BC36" i="36"/>
  <c r="BC15" i="40" s="1"/>
  <c r="BB39" i="37"/>
  <c r="BB36" i="36"/>
  <c r="BB15" i="40" s="1"/>
  <c r="AZ48" i="38"/>
  <c r="AZ41" i="40" s="1"/>
  <c r="AZ36" i="36"/>
  <c r="AZ15" i="40" s="1"/>
  <c r="AY39" i="37"/>
  <c r="AY36" i="36"/>
  <c r="AY15" i="40" s="1"/>
  <c r="AW48" i="38"/>
  <c r="AW41" i="40" s="1"/>
  <c r="AW39" i="37"/>
  <c r="AW36" i="36"/>
  <c r="AW15" i="40" s="1"/>
  <c r="AV48" i="38"/>
  <c r="AV41" i="40" s="1"/>
  <c r="AV36" i="36"/>
  <c r="AV15" i="40" s="1"/>
  <c r="AS48" i="38"/>
  <c r="AS41" i="40" s="1"/>
  <c r="AS39" i="37"/>
  <c r="AS36" i="36"/>
  <c r="AS15" i="40" s="1"/>
  <c r="AQ39" i="37"/>
  <c r="AQ36" i="36"/>
  <c r="AQ15" i="40" s="1"/>
  <c r="AP48" i="38"/>
  <c r="AP41" i="40" s="1"/>
  <c r="AP39" i="37"/>
  <c r="AP36" i="36"/>
  <c r="AP15" i="40" s="1"/>
  <c r="AO39" i="37"/>
  <c r="AO36" i="36"/>
  <c r="AO15" i="40" s="1"/>
  <c r="AN48" i="38"/>
  <c r="AN41" i="40" s="1"/>
  <c r="AN36" i="36"/>
  <c r="AN15" i="40" s="1"/>
  <c r="AM48" i="38"/>
  <c r="AM41" i="40" s="1"/>
  <c r="AM39" i="37"/>
  <c r="AM36" i="36"/>
  <c r="AM15" i="40" s="1"/>
  <c r="AL39" i="37"/>
  <c r="AL36" i="36"/>
  <c r="AL15" i="40" s="1"/>
  <c r="AJ36" i="36"/>
  <c r="AJ15" i="40" s="1"/>
  <c r="AI39" i="37"/>
  <c r="AI36" i="36"/>
  <c r="AI15" i="40" s="1"/>
  <c r="AH39" i="37"/>
  <c r="AH36" i="36"/>
  <c r="AH15" i="40" s="1"/>
  <c r="AG48" i="38"/>
  <c r="AG41" i="40" s="1"/>
  <c r="AG39" i="37"/>
  <c r="AG36" i="36"/>
  <c r="AG15" i="40" s="1"/>
  <c r="AF36" i="36"/>
  <c r="AF15" i="40" s="1"/>
  <c r="AB36" i="36"/>
  <c r="AB15" i="40" s="1"/>
  <c r="BF18" i="36"/>
  <c r="J39" i="37"/>
  <c r="J36" i="36"/>
  <c r="J15" i="40" s="1"/>
  <c r="AE48" i="38"/>
  <c r="AE41" i="40" s="1"/>
  <c r="AE39" i="37"/>
  <c r="AE36" i="36"/>
  <c r="AE15" i="40" s="1"/>
  <c r="AC48" i="38"/>
  <c r="AC41" i="40" s="1"/>
  <c r="AC39" i="37"/>
  <c r="AC36" i="36"/>
  <c r="AC15" i="40" s="1"/>
  <c r="AA48" i="38"/>
  <c r="AA41" i="40" s="1"/>
  <c r="AA39" i="37"/>
  <c r="AA36" i="36"/>
  <c r="AA15" i="40" s="1"/>
  <c r="Y48" i="38"/>
  <c r="Y41" i="40" s="1"/>
  <c r="Y39" i="37"/>
  <c r="Y36" i="36"/>
  <c r="Y15" i="40" s="1"/>
  <c r="U39" i="37"/>
  <c r="U36" i="36"/>
  <c r="U15" i="40" s="1"/>
  <c r="AU39" i="37"/>
  <c r="AU36" i="36"/>
  <c r="AU15" i="40" s="1"/>
  <c r="S39" i="37"/>
  <c r="S36" i="36"/>
  <c r="S15" i="40" s="1"/>
  <c r="BF42" i="38"/>
  <c r="W39" i="37"/>
  <c r="W36" i="36"/>
  <c r="W15" i="40" s="1"/>
  <c r="AD39" i="37"/>
  <c r="BG14" i="39"/>
  <c r="AD36" i="36"/>
  <c r="AD15" i="40" s="1"/>
  <c r="Q48" i="38"/>
  <c r="Q41" i="40" s="1"/>
  <c r="Q39" i="37"/>
  <c r="Q36" i="36"/>
  <c r="Q15" i="40" s="1"/>
  <c r="P36" i="36"/>
  <c r="P15" i="40" s="1"/>
  <c r="H48" i="38"/>
  <c r="H41" i="40" s="1"/>
  <c r="BF32" i="37"/>
  <c r="H36" i="36"/>
  <c r="H15" i="40" s="1"/>
  <c r="BF31" i="36"/>
  <c r="K48" i="38"/>
  <c r="K41" i="40" s="1"/>
  <c r="K39" i="37"/>
  <c r="K36" i="36"/>
  <c r="K15" i="40" s="1"/>
  <c r="G39" i="37"/>
  <c r="BF33" i="38"/>
  <c r="G36" i="36"/>
  <c r="G15" i="40" s="1"/>
  <c r="BF21" i="36"/>
  <c r="I39" i="37"/>
  <c r="BF12" i="36"/>
  <c r="BF32" i="36"/>
  <c r="I36" i="36"/>
  <c r="I15" i="40" s="1"/>
  <c r="BD48" i="38"/>
  <c r="BD41" i="40" s="1"/>
  <c r="BD36" i="36"/>
  <c r="BD15" i="40" s="1"/>
  <c r="BF13" i="36"/>
  <c r="L48" i="38"/>
  <c r="L41" i="40" s="1"/>
  <c r="BF19" i="37"/>
  <c r="L36" i="36"/>
  <c r="L15" i="40" s="1"/>
  <c r="BF20" i="36"/>
  <c r="BF38" i="38"/>
  <c r="BF36" i="38"/>
  <c r="BF34" i="38"/>
  <c r="BF43" i="38"/>
  <c r="BF36" i="37"/>
  <c r="F39" i="37"/>
  <c r="BF34" i="37"/>
  <c r="BF14" i="39"/>
  <c r="F36" i="36"/>
  <c r="F15" i="40" s="1"/>
  <c r="BF34" i="36"/>
  <c r="BF19" i="36"/>
  <c r="BF37" i="38"/>
  <c r="BF35" i="38"/>
  <c r="M39" i="37"/>
  <c r="M36" i="36"/>
  <c r="M15" i="40" s="1"/>
  <c r="BF12" i="38"/>
  <c r="BA48" i="38"/>
  <c r="BA41" i="40" s="1"/>
  <c r="BA39" i="37"/>
  <c r="BA36" i="36"/>
  <c r="BA15" i="40" s="1"/>
  <c r="O48" i="38"/>
  <c r="O41" i="40" s="1"/>
  <c r="BF44" i="38"/>
  <c r="BF17" i="36"/>
  <c r="O39" i="37"/>
  <c r="O36" i="36"/>
  <c r="O15" i="40" s="1"/>
  <c r="O15" i="38"/>
  <c r="BF13" i="38"/>
  <c r="AR48" i="38"/>
  <c r="AR41" i="40" s="1"/>
  <c r="BH14" i="39"/>
  <c r="AR36" i="36"/>
  <c r="AR15" i="40" s="1"/>
  <c r="Z39" i="37"/>
  <c r="Z36" i="36"/>
  <c r="Z15" i="40" s="1"/>
  <c r="E15" i="36"/>
  <c r="E23" i="36"/>
  <c r="BF33" i="36"/>
  <c r="E36" i="36"/>
  <c r="E15" i="40" s="1"/>
  <c r="BD26" i="38"/>
  <c r="BD41" i="37"/>
  <c r="BD38" i="36"/>
  <c r="BD25" i="36"/>
  <c r="BD29" i="40" s="1"/>
  <c r="BB26" i="38"/>
  <c r="BB41" i="37"/>
  <c r="BB38" i="36"/>
  <c r="BB25" i="36"/>
  <c r="BB29" i="40" s="1"/>
  <c r="AX26" i="38"/>
  <c r="AX41" i="37"/>
  <c r="AX38" i="36"/>
  <c r="AX25" i="36"/>
  <c r="AX29" i="40" s="1"/>
  <c r="AV26" i="38"/>
  <c r="AV41" i="37"/>
  <c r="AV38" i="36"/>
  <c r="AV25" i="36"/>
  <c r="AV29" i="40" s="1"/>
  <c r="AT26" i="38"/>
  <c r="AT41" i="37"/>
  <c r="AT38" i="36"/>
  <c r="AT25" i="36"/>
  <c r="AT29" i="40" s="1"/>
  <c r="AP25" i="36"/>
  <c r="AP29" i="40" s="1"/>
  <c r="AN26" i="38"/>
  <c r="AN41" i="37"/>
  <c r="AN38" i="36"/>
  <c r="AN25" i="36"/>
  <c r="AN29" i="40" s="1"/>
  <c r="AL26" i="38"/>
  <c r="AL41" i="37"/>
  <c r="AL38" i="36"/>
  <c r="AL25" i="36"/>
  <c r="AL29" i="40" s="1"/>
  <c r="AJ41" i="37"/>
  <c r="AJ25" i="36"/>
  <c r="AJ29" i="40" s="1"/>
  <c r="AH26" i="38"/>
  <c r="AH41" i="37"/>
  <c r="AH38" i="36"/>
  <c r="AH25" i="36"/>
  <c r="AH29" i="40" s="1"/>
  <c r="AF26" i="38"/>
  <c r="AF41" i="37"/>
  <c r="AF38" i="36"/>
  <c r="AF40" i="36" s="1"/>
  <c r="AF31" i="40" s="1"/>
  <c r="AF25" i="36"/>
  <c r="AF29" i="40" s="1"/>
  <c r="AD41" i="37"/>
  <c r="AD38" i="36"/>
  <c r="AD40" i="36" s="1"/>
  <c r="AD31" i="40" s="1"/>
  <c r="AD25" i="36"/>
  <c r="AD29" i="40" s="1"/>
  <c r="AB26" i="38"/>
  <c r="AB41" i="37"/>
  <c r="AB38" i="36"/>
  <c r="AB40" i="36" s="1"/>
  <c r="AB31" i="40" s="1"/>
  <c r="AB25" i="36"/>
  <c r="AB29" i="40" s="1"/>
  <c r="Z26" i="38"/>
  <c r="Z41" i="37"/>
  <c r="Z38" i="36"/>
  <c r="Z25" i="36"/>
  <c r="Z29" i="40" s="1"/>
  <c r="V26" i="38"/>
  <c r="V41" i="37"/>
  <c r="V38" i="36"/>
  <c r="V25" i="36"/>
  <c r="V29" i="40" s="1"/>
  <c r="R26" i="38"/>
  <c r="R41" i="37"/>
  <c r="R38" i="36"/>
  <c r="R25" i="36"/>
  <c r="R29" i="40" s="1"/>
  <c r="P26" i="38"/>
  <c r="P41" i="37"/>
  <c r="P38" i="36"/>
  <c r="P25" i="36"/>
  <c r="P29" i="40" s="1"/>
  <c r="N26" i="38"/>
  <c r="N41" i="37"/>
  <c r="N38" i="36"/>
  <c r="N25" i="36"/>
  <c r="N29" i="40" s="1"/>
  <c r="L41" i="37"/>
  <c r="L38" i="36"/>
  <c r="L40" i="36" s="1"/>
  <c r="L31" i="40" s="1"/>
  <c r="L25" i="36"/>
  <c r="L29" i="40" s="1"/>
  <c r="J26" i="38"/>
  <c r="J41" i="37"/>
  <c r="H25" i="36"/>
  <c r="H29" i="40" s="1"/>
  <c r="F26" i="38"/>
  <c r="F41" i="37"/>
  <c r="F38" i="36"/>
  <c r="F25" i="36"/>
  <c r="F29" i="40" s="1"/>
  <c r="BH12" i="36"/>
  <c r="AK15" i="36"/>
  <c r="BE26" i="38"/>
  <c r="BE41" i="37"/>
  <c r="BE38" i="36"/>
  <c r="BE40" i="36" s="1"/>
  <c r="BE31" i="40" s="1"/>
  <c r="BE25" i="36"/>
  <c r="BE29" i="40" s="1"/>
  <c r="BC26" i="38"/>
  <c r="BC41" i="37"/>
  <c r="BC38" i="36"/>
  <c r="BC40" i="36" s="1"/>
  <c r="BC31" i="40" s="1"/>
  <c r="BC25" i="36"/>
  <c r="BC29" i="40" s="1"/>
  <c r="BA26" i="38"/>
  <c r="BA41" i="37"/>
  <c r="BA43" i="37" s="1"/>
  <c r="BA35" i="40" s="1"/>
  <c r="BA38" i="36"/>
  <c r="BA25" i="36"/>
  <c r="BA29" i="40" s="1"/>
  <c r="AY26" i="38"/>
  <c r="AY41" i="37"/>
  <c r="AY38" i="36"/>
  <c r="AY25" i="36"/>
  <c r="AY29" i="40" s="1"/>
  <c r="AW26" i="38"/>
  <c r="AW41" i="37"/>
  <c r="AW38" i="36"/>
  <c r="AW25" i="36"/>
  <c r="AW29" i="40" s="1"/>
  <c r="AU26" i="38"/>
  <c r="AU41" i="37"/>
  <c r="AU38" i="36"/>
  <c r="AU25" i="36"/>
  <c r="AU29" i="40" s="1"/>
  <c r="AQ26" i="38"/>
  <c r="AQ41" i="37"/>
  <c r="AQ38" i="36"/>
  <c r="AQ25" i="36"/>
  <c r="AQ29" i="40" s="1"/>
  <c r="AO26" i="38"/>
  <c r="AO41" i="37"/>
  <c r="AO38" i="36"/>
  <c r="AO25" i="36"/>
  <c r="AO29" i="40" s="1"/>
  <c r="AM26" i="38"/>
  <c r="AM41" i="37"/>
  <c r="AM38" i="36"/>
  <c r="AM40" i="36" s="1"/>
  <c r="AM31" i="40" s="1"/>
  <c r="AM25" i="36"/>
  <c r="AM29" i="40" s="1"/>
  <c r="AG26" i="38"/>
  <c r="AG41" i="37"/>
  <c r="AG38" i="36"/>
  <c r="AG25" i="36"/>
  <c r="AG29" i="40" s="1"/>
  <c r="AE41" i="37"/>
  <c r="AE38" i="36"/>
  <c r="AE25" i="36"/>
  <c r="AE29" i="40" s="1"/>
  <c r="AC26" i="38"/>
  <c r="AC41" i="37"/>
  <c r="AA26" i="38"/>
  <c r="AA41" i="37"/>
  <c r="AA38" i="36"/>
  <c r="AA25" i="36"/>
  <c r="AA29" i="40" s="1"/>
  <c r="Y26" i="38"/>
  <c r="Y41" i="37"/>
  <c r="Y38" i="36"/>
  <c r="Y40" i="36" s="1"/>
  <c r="Y31" i="40" s="1"/>
  <c r="Y25" i="36"/>
  <c r="Y29" i="40" s="1"/>
  <c r="W41" i="37"/>
  <c r="W38" i="36"/>
  <c r="W40" i="36" s="1"/>
  <c r="W31" i="40" s="1"/>
  <c r="W25" i="36"/>
  <c r="W29" i="40" s="1"/>
  <c r="U26" i="38"/>
  <c r="U41" i="37"/>
  <c r="U43" i="37" s="1"/>
  <c r="U35" i="40" s="1"/>
  <c r="U38" i="36"/>
  <c r="Q26" i="38"/>
  <c r="Q41" i="37"/>
  <c r="Q38" i="36"/>
  <c r="Q25" i="36"/>
  <c r="Q29" i="40" s="1"/>
  <c r="O41" i="37"/>
  <c r="O38" i="36"/>
  <c r="O25" i="36"/>
  <c r="O29" i="40" s="1"/>
  <c r="M26" i="38"/>
  <c r="M41" i="37"/>
  <c r="M43" i="37" s="1"/>
  <c r="M35" i="40" s="1"/>
  <c r="M38" i="36"/>
  <c r="K26" i="38"/>
  <c r="K41" i="37"/>
  <c r="K38" i="36"/>
  <c r="K40" i="36" s="1"/>
  <c r="K31" i="40" s="1"/>
  <c r="I26" i="38"/>
  <c r="I41" i="37"/>
  <c r="I43" i="37" s="1"/>
  <c r="I35" i="40" s="1"/>
  <c r="I38" i="36"/>
  <c r="I40" i="36" s="1"/>
  <c r="I31" i="40" s="1"/>
  <c r="I25" i="36"/>
  <c r="I29" i="40" s="1"/>
  <c r="G41" i="37"/>
  <c r="G38" i="36"/>
  <c r="G40" i="36" s="1"/>
  <c r="G31" i="40" s="1"/>
  <c r="G25" i="36"/>
  <c r="G29" i="40" s="1"/>
  <c r="BG12" i="36"/>
  <c r="BG13" i="36"/>
  <c r="X15" i="36"/>
  <c r="BG17" i="36"/>
  <c r="BG18" i="36"/>
  <c r="BG19" i="36"/>
  <c r="BG20" i="36"/>
  <c r="BG21" i="36"/>
  <c r="X23" i="36"/>
  <c r="BG31" i="36"/>
  <c r="BG32" i="36"/>
  <c r="BG33" i="36"/>
  <c r="BG34" i="36"/>
  <c r="X36" i="36"/>
  <c r="BH13" i="36"/>
  <c r="BH17" i="36"/>
  <c r="BH18" i="36"/>
  <c r="BH19" i="36"/>
  <c r="BH20" i="36"/>
  <c r="BH21" i="36"/>
  <c r="AK23" i="36"/>
  <c r="BH31" i="36"/>
  <c r="BH32" i="36"/>
  <c r="BH33" i="36"/>
  <c r="BH34" i="36"/>
  <c r="AK36" i="36"/>
  <c r="BG15" i="37"/>
  <c r="BF15" i="37"/>
  <c r="BG16" i="37"/>
  <c r="BG17" i="37"/>
  <c r="BG18" i="37"/>
  <c r="BG22" i="37"/>
  <c r="BG32" i="37"/>
  <c r="BD39" i="37"/>
  <c r="AZ39" i="37"/>
  <c r="AV39" i="37"/>
  <c r="AR39" i="37"/>
  <c r="AN39" i="37"/>
  <c r="AJ39" i="37"/>
  <c r="AF39" i="37"/>
  <c r="AB39" i="37"/>
  <c r="X39" i="37"/>
  <c r="BG33" i="37"/>
  <c r="T39" i="37"/>
  <c r="P39" i="37"/>
  <c r="L39" i="37"/>
  <c r="H39" i="37"/>
  <c r="BG34" i="37"/>
  <c r="BH35" i="37"/>
  <c r="BG35" i="37"/>
  <c r="BF35" i="37"/>
  <c r="BG36" i="37"/>
  <c r="BG37" i="37"/>
  <c r="E39" i="37"/>
  <c r="BG12" i="37"/>
  <c r="X24" i="37"/>
  <c r="BG14" i="37"/>
  <c r="BH15" i="37"/>
  <c r="BH19" i="37"/>
  <c r="BG19" i="37"/>
  <c r="BG20" i="37"/>
  <c r="BG21" i="37"/>
  <c r="BF12" i="37"/>
  <c r="BF17" i="37"/>
  <c r="BF21" i="37"/>
  <c r="E24" i="37"/>
  <c r="BF33" i="37"/>
  <c r="BF37" i="37"/>
  <c r="BH17" i="37"/>
  <c r="BH21" i="37"/>
  <c r="BH33" i="37"/>
  <c r="BH37" i="37"/>
  <c r="BF14" i="37"/>
  <c r="BF16" i="37"/>
  <c r="BF18" i="37"/>
  <c r="BF20" i="37"/>
  <c r="BF22" i="37"/>
  <c r="BH12" i="37"/>
  <c r="BH14" i="37"/>
  <c r="BH16" i="37"/>
  <c r="BH18" i="37"/>
  <c r="BH20" i="37"/>
  <c r="BH22" i="37"/>
  <c r="AK24" i="37"/>
  <c r="BH32" i="37"/>
  <c r="BH34" i="37"/>
  <c r="BH36" i="37"/>
  <c r="AK39" i="37"/>
  <c r="E40" i="38"/>
  <c r="E46" i="38"/>
  <c r="BH12" i="38"/>
  <c r="BH13" i="38"/>
  <c r="AK15" i="38"/>
  <c r="E15" i="38"/>
  <c r="BG12" i="38"/>
  <c r="BG13" i="38"/>
  <c r="X15" i="38"/>
  <c r="BG33" i="38"/>
  <c r="BG34" i="38"/>
  <c r="BG35" i="38"/>
  <c r="BG36" i="38"/>
  <c r="BG37" i="38"/>
  <c r="BG38" i="38"/>
  <c r="X40" i="38"/>
  <c r="BG42" i="38"/>
  <c r="BG43" i="38"/>
  <c r="BG44" i="38"/>
  <c r="X46" i="38"/>
  <c r="BH33" i="38"/>
  <c r="BH34" i="38"/>
  <c r="BH35" i="38"/>
  <c r="BH36" i="38"/>
  <c r="BH37" i="38"/>
  <c r="BH38" i="38"/>
  <c r="AK40" i="38"/>
  <c r="BH42" i="38"/>
  <c r="BH43" i="38"/>
  <c r="BH44" i="38"/>
  <c r="AK46" i="38"/>
  <c r="BF12" i="39"/>
  <c r="E18" i="39"/>
  <c r="E43" i="40" s="1"/>
  <c r="BG12" i="39"/>
  <c r="BH12" i="39"/>
  <c r="F44" i="35"/>
  <c r="G44" i="35"/>
  <c r="H44" i="35"/>
  <c r="I44" i="35"/>
  <c r="J44" i="35"/>
  <c r="K44" i="35"/>
  <c r="L44" i="35"/>
  <c r="M44" i="35"/>
  <c r="N44" i="35"/>
  <c r="O44" i="35"/>
  <c r="P44" i="35"/>
  <c r="Q44" i="35"/>
  <c r="R44" i="35"/>
  <c r="S44" i="35"/>
  <c r="T44" i="35"/>
  <c r="U44" i="35"/>
  <c r="W44" i="35"/>
  <c r="X44" i="35"/>
  <c r="Y44" i="35"/>
  <c r="Z44" i="35"/>
  <c r="AA44" i="35"/>
  <c r="AB44" i="35"/>
  <c r="AC44" i="35"/>
  <c r="AD44" i="35"/>
  <c r="AE44" i="35"/>
  <c r="AF44" i="35"/>
  <c r="AG44" i="35"/>
  <c r="AH44" i="35"/>
  <c r="AI44" i="35"/>
  <c r="AJ44" i="35"/>
  <c r="AK44" i="35"/>
  <c r="AL44" i="35"/>
  <c r="AM44" i="35"/>
  <c r="AN44" i="35"/>
  <c r="AO44" i="35"/>
  <c r="AP44" i="35"/>
  <c r="AQ44" i="35"/>
  <c r="AR44" i="35"/>
  <c r="AS44" i="35"/>
  <c r="AT44" i="35"/>
  <c r="AU44" i="35"/>
  <c r="AV44" i="35"/>
  <c r="AW44" i="35"/>
  <c r="AX44" i="35"/>
  <c r="AY44" i="35"/>
  <c r="AZ44" i="35"/>
  <c r="BA44" i="35"/>
  <c r="BB44" i="35"/>
  <c r="BC44" i="35"/>
  <c r="BD44" i="35"/>
  <c r="BE44" i="35"/>
  <c r="F43" i="35"/>
  <c r="G43" i="35"/>
  <c r="H43" i="35"/>
  <c r="I43" i="35"/>
  <c r="J43" i="35"/>
  <c r="K43" i="35"/>
  <c r="L43" i="35"/>
  <c r="M43" i="35"/>
  <c r="N43" i="35"/>
  <c r="O43" i="35"/>
  <c r="P43" i="35"/>
  <c r="Q43" i="35"/>
  <c r="R43" i="35"/>
  <c r="S43" i="35"/>
  <c r="T43" i="35"/>
  <c r="U43" i="35"/>
  <c r="V46" i="35"/>
  <c r="W43" i="35"/>
  <c r="W46" i="35" s="1"/>
  <c r="X43" i="35"/>
  <c r="Y43" i="35"/>
  <c r="Y46" i="35" s="1"/>
  <c r="Z43" i="35"/>
  <c r="AA43" i="35"/>
  <c r="AB43" i="35"/>
  <c r="AC43" i="35"/>
  <c r="AD43" i="35"/>
  <c r="AD46" i="35" s="1"/>
  <c r="AE43" i="35"/>
  <c r="AE46" i="35" s="1"/>
  <c r="AF43" i="35"/>
  <c r="AF46" i="35" s="1"/>
  <c r="AG43" i="35"/>
  <c r="AH43" i="35"/>
  <c r="AH46" i="35" s="1"/>
  <c r="AI43" i="35"/>
  <c r="AI46" i="35" s="1"/>
  <c r="AJ43" i="35"/>
  <c r="AK43" i="35"/>
  <c r="AL43" i="35"/>
  <c r="AL46" i="35" s="1"/>
  <c r="AM43" i="35"/>
  <c r="AM46" i="35" s="1"/>
  <c r="AN43" i="35"/>
  <c r="AN46" i="35" s="1"/>
  <c r="AO43" i="35"/>
  <c r="AO46" i="35" s="1"/>
  <c r="AP43" i="35"/>
  <c r="AQ43" i="35"/>
  <c r="AR43" i="35"/>
  <c r="AS43" i="35"/>
  <c r="AT43" i="35"/>
  <c r="AT46" i="35" s="1"/>
  <c r="AU43" i="35"/>
  <c r="AU46" i="35" s="1"/>
  <c r="AV43" i="35"/>
  <c r="AV46" i="35" s="1"/>
  <c r="AW43" i="35"/>
  <c r="AW46" i="35" s="1"/>
  <c r="AX43" i="35"/>
  <c r="AX46" i="35" s="1"/>
  <c r="AX48" i="35" s="1"/>
  <c r="AX26" i="40" s="1"/>
  <c r="AY43" i="35"/>
  <c r="AY46" i="35" s="1"/>
  <c r="AZ43" i="35"/>
  <c r="BA43" i="35"/>
  <c r="BA46" i="35" s="1"/>
  <c r="BB43" i="35"/>
  <c r="BB46" i="35" s="1"/>
  <c r="BC43" i="35"/>
  <c r="BC46" i="35" s="1"/>
  <c r="BD43" i="35"/>
  <c r="BD46" i="35" s="1"/>
  <c r="BE43" i="35"/>
  <c r="BE46" i="35" s="1"/>
  <c r="F39" i="35"/>
  <c r="G39" i="35"/>
  <c r="H39" i="35"/>
  <c r="I39" i="35"/>
  <c r="J39" i="35"/>
  <c r="K39" i="35"/>
  <c r="L39" i="35"/>
  <c r="M39" i="35"/>
  <c r="N39" i="35"/>
  <c r="O39" i="35"/>
  <c r="P39" i="35"/>
  <c r="Q39" i="35"/>
  <c r="R39" i="35"/>
  <c r="S39" i="35"/>
  <c r="T39" i="35"/>
  <c r="U39" i="35"/>
  <c r="V39" i="35"/>
  <c r="W39" i="35"/>
  <c r="X39" i="35"/>
  <c r="Y39" i="35"/>
  <c r="Z39" i="35"/>
  <c r="AA39" i="35"/>
  <c r="AB39" i="35"/>
  <c r="AC39" i="35"/>
  <c r="AD39" i="35"/>
  <c r="AE39" i="35"/>
  <c r="AF39" i="35"/>
  <c r="AG39" i="35"/>
  <c r="AH39" i="35"/>
  <c r="AI39" i="35"/>
  <c r="AJ39" i="35"/>
  <c r="AK39" i="35"/>
  <c r="AL39" i="35"/>
  <c r="AM39" i="35"/>
  <c r="AN39" i="35"/>
  <c r="AO39" i="35"/>
  <c r="AP39" i="35"/>
  <c r="AQ39" i="35"/>
  <c r="AR39" i="35"/>
  <c r="AS39" i="35"/>
  <c r="AT39" i="35"/>
  <c r="AU39" i="35"/>
  <c r="AV39" i="35"/>
  <c r="AW39" i="35"/>
  <c r="AX39" i="35"/>
  <c r="AY39" i="35"/>
  <c r="AZ39" i="35"/>
  <c r="BA39" i="35"/>
  <c r="BB39" i="35"/>
  <c r="BC39" i="35"/>
  <c r="BD39" i="35"/>
  <c r="BE39" i="35"/>
  <c r="F38" i="35"/>
  <c r="G38" i="35"/>
  <c r="H38" i="35"/>
  <c r="I38" i="35"/>
  <c r="J38" i="35"/>
  <c r="K38" i="35"/>
  <c r="L38" i="35"/>
  <c r="M38" i="35"/>
  <c r="N38" i="35"/>
  <c r="O38" i="35"/>
  <c r="P38" i="35"/>
  <c r="Q38" i="35"/>
  <c r="R38" i="35"/>
  <c r="S38" i="35"/>
  <c r="T38" i="35"/>
  <c r="U38" i="35"/>
  <c r="V38" i="35"/>
  <c r="W38" i="35"/>
  <c r="X38" i="35"/>
  <c r="Y38" i="35"/>
  <c r="Z38" i="35"/>
  <c r="AA38" i="35"/>
  <c r="AB38" i="35"/>
  <c r="AC38" i="35"/>
  <c r="AD38" i="35"/>
  <c r="AE38" i="35"/>
  <c r="AF38" i="35"/>
  <c r="AG38" i="35"/>
  <c r="AH38" i="35"/>
  <c r="AI38" i="35"/>
  <c r="AJ38" i="35"/>
  <c r="AK38" i="35"/>
  <c r="AL38" i="35"/>
  <c r="AM38" i="35"/>
  <c r="AN38" i="35"/>
  <c r="AO38" i="35"/>
  <c r="AP38" i="35"/>
  <c r="AQ38" i="35"/>
  <c r="AR38" i="35"/>
  <c r="AS38" i="35"/>
  <c r="AT38" i="35"/>
  <c r="AU38" i="35"/>
  <c r="AV38" i="35"/>
  <c r="AW38" i="35"/>
  <c r="AX38" i="35"/>
  <c r="AY38" i="35"/>
  <c r="AZ38" i="35"/>
  <c r="BA38" i="35"/>
  <c r="BB38" i="35"/>
  <c r="BC38" i="35"/>
  <c r="BD38" i="35"/>
  <c r="BE38" i="35"/>
  <c r="F37" i="35"/>
  <c r="G37" i="35"/>
  <c r="H37" i="35"/>
  <c r="I37" i="35"/>
  <c r="J37" i="35"/>
  <c r="K37" i="35"/>
  <c r="L37" i="35"/>
  <c r="M37" i="35"/>
  <c r="N37" i="35"/>
  <c r="O37" i="35"/>
  <c r="P37" i="35"/>
  <c r="Q37" i="35"/>
  <c r="R37" i="35"/>
  <c r="S37" i="35"/>
  <c r="T37" i="35"/>
  <c r="U37" i="35"/>
  <c r="V37" i="35"/>
  <c r="W37" i="35"/>
  <c r="X37" i="35"/>
  <c r="Y37" i="35"/>
  <c r="Z37" i="35"/>
  <c r="AA37" i="35"/>
  <c r="AB37" i="35"/>
  <c r="AC37" i="35"/>
  <c r="AD37" i="35"/>
  <c r="AE37" i="35"/>
  <c r="AF37" i="35"/>
  <c r="AG37" i="35"/>
  <c r="AH37" i="35"/>
  <c r="AI37" i="35"/>
  <c r="AJ37" i="35"/>
  <c r="AK37" i="35"/>
  <c r="AL37" i="35"/>
  <c r="AM37" i="35"/>
  <c r="AN37" i="35"/>
  <c r="AO37" i="35"/>
  <c r="AP37" i="35"/>
  <c r="AQ37" i="35"/>
  <c r="AR37" i="35"/>
  <c r="AS37" i="35"/>
  <c r="AT37" i="35"/>
  <c r="AU37" i="35"/>
  <c r="AV37" i="35"/>
  <c r="AW37" i="35"/>
  <c r="AX37" i="35"/>
  <c r="AY37" i="35"/>
  <c r="AZ37" i="35"/>
  <c r="BA37" i="35"/>
  <c r="BB37" i="35"/>
  <c r="BC37" i="35"/>
  <c r="BD37" i="35"/>
  <c r="BE37" i="35"/>
  <c r="F36" i="35"/>
  <c r="G36" i="35"/>
  <c r="H36" i="35"/>
  <c r="I36" i="35"/>
  <c r="J36" i="35"/>
  <c r="K36" i="35"/>
  <c r="L36" i="35"/>
  <c r="M36" i="35"/>
  <c r="N36" i="35"/>
  <c r="O36" i="35"/>
  <c r="P36" i="35"/>
  <c r="Q36" i="35"/>
  <c r="R36" i="35"/>
  <c r="S36" i="35"/>
  <c r="T36" i="35"/>
  <c r="U36" i="35"/>
  <c r="V36" i="35"/>
  <c r="W36" i="35"/>
  <c r="X36" i="35"/>
  <c r="Y36" i="35"/>
  <c r="Z36" i="35"/>
  <c r="AA36" i="35"/>
  <c r="AB36" i="35"/>
  <c r="AC36" i="35"/>
  <c r="AD36" i="35"/>
  <c r="AE36" i="35"/>
  <c r="AF36" i="35"/>
  <c r="AG36" i="35"/>
  <c r="AH36" i="35"/>
  <c r="AI36" i="35"/>
  <c r="AJ36" i="35"/>
  <c r="AK36" i="35"/>
  <c r="AL36" i="35"/>
  <c r="AM36" i="35"/>
  <c r="AN36" i="35"/>
  <c r="AO36" i="35"/>
  <c r="AP36" i="35"/>
  <c r="AQ36" i="35"/>
  <c r="AR36" i="35"/>
  <c r="AS36" i="35"/>
  <c r="AT36" i="35"/>
  <c r="AU36" i="35"/>
  <c r="AV36" i="35"/>
  <c r="AW36" i="35"/>
  <c r="AX36" i="35"/>
  <c r="AY36" i="35"/>
  <c r="AZ36" i="35"/>
  <c r="BA36" i="35"/>
  <c r="BB36" i="35"/>
  <c r="BC36" i="35"/>
  <c r="BD36" i="35"/>
  <c r="BE36" i="35"/>
  <c r="F35" i="35"/>
  <c r="G35" i="35"/>
  <c r="H35" i="35"/>
  <c r="I35" i="35"/>
  <c r="J35" i="35"/>
  <c r="K35" i="35"/>
  <c r="L35" i="35"/>
  <c r="M35" i="35"/>
  <c r="N35" i="35"/>
  <c r="O35" i="35"/>
  <c r="P35" i="35"/>
  <c r="Q35" i="35"/>
  <c r="R35" i="35"/>
  <c r="S35" i="35"/>
  <c r="T35" i="35"/>
  <c r="U35" i="35"/>
  <c r="V35" i="35"/>
  <c r="W35" i="35"/>
  <c r="X35" i="35"/>
  <c r="Y35" i="35"/>
  <c r="Z35" i="35"/>
  <c r="AA35" i="35"/>
  <c r="AB35" i="35"/>
  <c r="AC35" i="35"/>
  <c r="AD35" i="35"/>
  <c r="AE35" i="35"/>
  <c r="AF35" i="35"/>
  <c r="AG35" i="35"/>
  <c r="AH35" i="35"/>
  <c r="AI35" i="35"/>
  <c r="AJ35" i="35"/>
  <c r="AK35" i="35"/>
  <c r="AL35" i="35"/>
  <c r="AM35" i="35"/>
  <c r="AN35" i="35"/>
  <c r="AO35" i="35"/>
  <c r="AP35" i="35"/>
  <c r="AQ35" i="35"/>
  <c r="AR35" i="35"/>
  <c r="AS35" i="35"/>
  <c r="AT35" i="35"/>
  <c r="AU35" i="35"/>
  <c r="AV35" i="35"/>
  <c r="AW35" i="35"/>
  <c r="AX35" i="35"/>
  <c r="AY35" i="35"/>
  <c r="AZ35" i="35"/>
  <c r="BA35" i="35"/>
  <c r="BB35" i="35"/>
  <c r="BC35" i="35"/>
  <c r="BD35" i="35"/>
  <c r="BE35" i="35"/>
  <c r="F34" i="35"/>
  <c r="G34" i="35"/>
  <c r="H34" i="35"/>
  <c r="I34" i="35"/>
  <c r="J34" i="35"/>
  <c r="K34" i="35"/>
  <c r="L34" i="35"/>
  <c r="M34" i="35"/>
  <c r="N34" i="35"/>
  <c r="O34" i="35"/>
  <c r="P34" i="35"/>
  <c r="Q34" i="35"/>
  <c r="R34" i="35"/>
  <c r="S34" i="35"/>
  <c r="T34" i="35"/>
  <c r="U34" i="35"/>
  <c r="V34" i="35"/>
  <c r="W34" i="35"/>
  <c r="X34" i="35"/>
  <c r="Y34" i="35"/>
  <c r="Z34" i="35"/>
  <c r="AA34" i="35"/>
  <c r="AB34" i="35"/>
  <c r="AC34" i="35"/>
  <c r="AD34" i="35"/>
  <c r="AE34" i="35"/>
  <c r="AF34" i="35"/>
  <c r="AG34" i="35"/>
  <c r="AH34" i="35"/>
  <c r="AI34" i="35"/>
  <c r="AJ34" i="35"/>
  <c r="AK34" i="35"/>
  <c r="AL34" i="35"/>
  <c r="AM34" i="35"/>
  <c r="AN34" i="35"/>
  <c r="AO34" i="35"/>
  <c r="AP34" i="35"/>
  <c r="AQ34" i="35"/>
  <c r="AR34" i="35"/>
  <c r="AS34" i="35"/>
  <c r="AT34" i="35"/>
  <c r="AU34" i="35"/>
  <c r="AV34" i="35"/>
  <c r="AW34" i="35"/>
  <c r="AX34" i="35"/>
  <c r="AY34" i="35"/>
  <c r="AZ34" i="35"/>
  <c r="BA34" i="35"/>
  <c r="BB34" i="35"/>
  <c r="BC34" i="35"/>
  <c r="BD34" i="35"/>
  <c r="BE34" i="35"/>
  <c r="F33" i="35"/>
  <c r="G33" i="35"/>
  <c r="H33" i="35"/>
  <c r="I33" i="35"/>
  <c r="J33" i="35"/>
  <c r="K33" i="35"/>
  <c r="L33" i="35"/>
  <c r="M33" i="35"/>
  <c r="N33" i="35"/>
  <c r="O33" i="35"/>
  <c r="P33" i="35"/>
  <c r="Q33" i="35"/>
  <c r="R33" i="35"/>
  <c r="S33" i="35"/>
  <c r="T33" i="35"/>
  <c r="U33" i="35"/>
  <c r="V33" i="35"/>
  <c r="W33" i="35"/>
  <c r="X33" i="35"/>
  <c r="Y33" i="35"/>
  <c r="Z33" i="35"/>
  <c r="AA33" i="35"/>
  <c r="AB33" i="35"/>
  <c r="AC33" i="35"/>
  <c r="AD33" i="35"/>
  <c r="AE33" i="35"/>
  <c r="AF33" i="35"/>
  <c r="AG33" i="35"/>
  <c r="AH33" i="35"/>
  <c r="AI33" i="35"/>
  <c r="AJ33" i="35"/>
  <c r="AK33" i="35"/>
  <c r="AL33" i="35"/>
  <c r="AM33" i="35"/>
  <c r="AN33" i="35"/>
  <c r="AO33" i="35"/>
  <c r="AP33" i="35"/>
  <c r="AQ33" i="35"/>
  <c r="AR33" i="35"/>
  <c r="AS33" i="35"/>
  <c r="AT33" i="35"/>
  <c r="AU33" i="35"/>
  <c r="AV33" i="35"/>
  <c r="AW33" i="35"/>
  <c r="AX33" i="35"/>
  <c r="AY33" i="35"/>
  <c r="AZ33" i="35"/>
  <c r="BA33" i="35"/>
  <c r="BB33" i="35"/>
  <c r="BC33" i="35"/>
  <c r="BD33" i="35"/>
  <c r="BE33" i="35"/>
  <c r="F32" i="35"/>
  <c r="G32" i="35"/>
  <c r="H32" i="35"/>
  <c r="I32" i="35"/>
  <c r="J32" i="35"/>
  <c r="K32" i="35"/>
  <c r="L32" i="35"/>
  <c r="M32" i="35"/>
  <c r="N32" i="35"/>
  <c r="O32" i="35"/>
  <c r="P32" i="35"/>
  <c r="Q32" i="35"/>
  <c r="R32" i="35"/>
  <c r="S32" i="35"/>
  <c r="T32" i="35"/>
  <c r="U32" i="35"/>
  <c r="V32" i="35"/>
  <c r="W32" i="35"/>
  <c r="X32" i="35"/>
  <c r="Y32" i="35"/>
  <c r="Z32" i="35"/>
  <c r="AA32" i="35"/>
  <c r="AB32" i="35"/>
  <c r="AC32" i="35"/>
  <c r="AD32" i="35"/>
  <c r="AE32" i="35"/>
  <c r="AF32" i="35"/>
  <c r="AG32" i="35"/>
  <c r="AH32" i="35"/>
  <c r="AI32" i="35"/>
  <c r="AJ32" i="35"/>
  <c r="AK32" i="35"/>
  <c r="AL32" i="35"/>
  <c r="AM32" i="35"/>
  <c r="AN32" i="35"/>
  <c r="AO32" i="35"/>
  <c r="AP32" i="35"/>
  <c r="AQ32" i="35"/>
  <c r="AR32" i="35"/>
  <c r="AS32" i="35"/>
  <c r="AT32" i="35"/>
  <c r="AU32" i="35"/>
  <c r="AV32" i="35"/>
  <c r="AW32" i="35"/>
  <c r="AX32" i="35"/>
  <c r="AY32" i="35"/>
  <c r="AZ32" i="35"/>
  <c r="BA32" i="35"/>
  <c r="BB32" i="35"/>
  <c r="BC32" i="35"/>
  <c r="BD32" i="35"/>
  <c r="BE32" i="35"/>
  <c r="F31" i="35"/>
  <c r="G31" i="35"/>
  <c r="H31" i="35"/>
  <c r="I31" i="35"/>
  <c r="J31" i="35"/>
  <c r="K31" i="35"/>
  <c r="L31" i="35"/>
  <c r="M31" i="35"/>
  <c r="N31" i="35"/>
  <c r="O31" i="35"/>
  <c r="P31" i="35"/>
  <c r="Q31" i="35"/>
  <c r="R31" i="35"/>
  <c r="S31" i="35"/>
  <c r="T31" i="35"/>
  <c r="U31" i="35"/>
  <c r="V31" i="35"/>
  <c r="W31" i="35"/>
  <c r="X31" i="35"/>
  <c r="Y31" i="35"/>
  <c r="Z31" i="35"/>
  <c r="AA31" i="35"/>
  <c r="AB31" i="35"/>
  <c r="AC31" i="35"/>
  <c r="AD31" i="35"/>
  <c r="AE31" i="35"/>
  <c r="AF31" i="35"/>
  <c r="AG31" i="35"/>
  <c r="AH31" i="35"/>
  <c r="AI31" i="35"/>
  <c r="AJ31" i="35"/>
  <c r="AK31" i="35"/>
  <c r="AL31" i="35"/>
  <c r="AM31" i="35"/>
  <c r="AN31" i="35"/>
  <c r="AO31" i="35"/>
  <c r="AP31" i="35"/>
  <c r="AQ31" i="35"/>
  <c r="AR31" i="35"/>
  <c r="AS31" i="35"/>
  <c r="AT31" i="35"/>
  <c r="AU31" i="35"/>
  <c r="AV31" i="35"/>
  <c r="AW31" i="35"/>
  <c r="AX31" i="35"/>
  <c r="AY31" i="35"/>
  <c r="AZ31" i="35"/>
  <c r="BA31" i="35"/>
  <c r="BB31" i="35"/>
  <c r="BC31" i="35"/>
  <c r="BD31" i="35"/>
  <c r="BE31" i="35"/>
  <c r="F30" i="35"/>
  <c r="G30" i="35"/>
  <c r="H30" i="35"/>
  <c r="I30" i="35"/>
  <c r="J30" i="35"/>
  <c r="K30" i="35"/>
  <c r="L30" i="35"/>
  <c r="M30" i="35"/>
  <c r="N30" i="35"/>
  <c r="N41" i="35" s="1"/>
  <c r="O30" i="35"/>
  <c r="O41" i="35" s="1"/>
  <c r="P30" i="35"/>
  <c r="P41" i="35" s="1"/>
  <c r="Q30" i="35"/>
  <c r="Q41" i="35" s="1"/>
  <c r="R30" i="35"/>
  <c r="S30" i="35"/>
  <c r="T30" i="35"/>
  <c r="U30" i="35"/>
  <c r="V30" i="35"/>
  <c r="W30" i="35"/>
  <c r="X30" i="35"/>
  <c r="Y30" i="35"/>
  <c r="Z30" i="35"/>
  <c r="AA30" i="35"/>
  <c r="AB30" i="35"/>
  <c r="AC30" i="35"/>
  <c r="AD30" i="35"/>
  <c r="AD41" i="35" s="1"/>
  <c r="AE30" i="35"/>
  <c r="AE41" i="35" s="1"/>
  <c r="AF30" i="35"/>
  <c r="AF41" i="35" s="1"/>
  <c r="AG30" i="35"/>
  <c r="AG41" i="35" s="1"/>
  <c r="AH30" i="35"/>
  <c r="AI30" i="35"/>
  <c r="AJ30" i="35"/>
  <c r="AK30" i="35"/>
  <c r="AL30" i="35"/>
  <c r="AM30" i="35"/>
  <c r="AN30" i="35"/>
  <c r="AO30" i="35"/>
  <c r="AP30" i="35"/>
  <c r="AQ30" i="35"/>
  <c r="AR30" i="35"/>
  <c r="AS30" i="35"/>
  <c r="AT30" i="35"/>
  <c r="AT41" i="35" s="1"/>
  <c r="AU30" i="35"/>
  <c r="AU41" i="35" s="1"/>
  <c r="AV30" i="35"/>
  <c r="AV41" i="35" s="1"/>
  <c r="AW30" i="35"/>
  <c r="AW41" i="35" s="1"/>
  <c r="AX30" i="35"/>
  <c r="AY30" i="35"/>
  <c r="AZ30" i="35"/>
  <c r="BA30" i="35"/>
  <c r="BB30" i="35"/>
  <c r="BC30" i="35"/>
  <c r="BD30" i="35"/>
  <c r="BE30" i="35"/>
  <c r="F20" i="35"/>
  <c r="G20" i="35"/>
  <c r="H20" i="35"/>
  <c r="I20" i="35"/>
  <c r="J20" i="35"/>
  <c r="K20" i="35"/>
  <c r="L20" i="35"/>
  <c r="M20" i="35"/>
  <c r="N20" i="35"/>
  <c r="O20" i="35"/>
  <c r="P20" i="35"/>
  <c r="Q20" i="35"/>
  <c r="R20" i="35"/>
  <c r="S20" i="35"/>
  <c r="T20" i="35"/>
  <c r="U20" i="35"/>
  <c r="V20" i="35"/>
  <c r="W20" i="35"/>
  <c r="X20" i="35"/>
  <c r="Y20" i="35"/>
  <c r="Z20" i="35"/>
  <c r="AA20" i="35"/>
  <c r="AB20" i="35"/>
  <c r="AC20" i="35"/>
  <c r="AD20" i="35"/>
  <c r="AE20" i="35"/>
  <c r="AF20" i="35"/>
  <c r="AG20" i="35"/>
  <c r="AH20" i="35"/>
  <c r="AI20" i="35"/>
  <c r="AJ20" i="35"/>
  <c r="AK20" i="35"/>
  <c r="AL20" i="35"/>
  <c r="AM20" i="35"/>
  <c r="AN20" i="35"/>
  <c r="AO20" i="35"/>
  <c r="AP20" i="35"/>
  <c r="AQ20" i="35"/>
  <c r="AR20" i="35"/>
  <c r="AS20" i="35"/>
  <c r="AT20" i="35"/>
  <c r="AU20" i="35"/>
  <c r="AV20" i="35"/>
  <c r="AW20" i="35"/>
  <c r="AX20" i="35"/>
  <c r="AY20" i="35"/>
  <c r="AZ20" i="35"/>
  <c r="BA20" i="35"/>
  <c r="BB20" i="35"/>
  <c r="BC20" i="35"/>
  <c r="BD20" i="35"/>
  <c r="BE20" i="35"/>
  <c r="F19" i="35"/>
  <c r="G19" i="35"/>
  <c r="H19" i="35"/>
  <c r="I19" i="35"/>
  <c r="J19" i="35"/>
  <c r="K19" i="35"/>
  <c r="L19" i="35"/>
  <c r="M19" i="35"/>
  <c r="N19" i="35"/>
  <c r="O19" i="35"/>
  <c r="P19" i="35"/>
  <c r="Q19" i="35"/>
  <c r="R19" i="35"/>
  <c r="S19" i="35"/>
  <c r="T19" i="35"/>
  <c r="U19" i="35"/>
  <c r="V19" i="35"/>
  <c r="W19" i="35"/>
  <c r="X19" i="35"/>
  <c r="Y19" i="35"/>
  <c r="Z19" i="35"/>
  <c r="AA19" i="35"/>
  <c r="AB19" i="35"/>
  <c r="AC19" i="35"/>
  <c r="AD19" i="35"/>
  <c r="AE19" i="35"/>
  <c r="AF19" i="35"/>
  <c r="AG19" i="35"/>
  <c r="AH19" i="35"/>
  <c r="AI19" i="35"/>
  <c r="AJ19" i="35"/>
  <c r="AK19" i="35"/>
  <c r="AL19" i="35"/>
  <c r="AM19" i="35"/>
  <c r="AN19" i="35"/>
  <c r="AO19" i="35"/>
  <c r="AP19" i="35"/>
  <c r="AQ19" i="35"/>
  <c r="AR19" i="35"/>
  <c r="AS19" i="35"/>
  <c r="AT19" i="35"/>
  <c r="AU19" i="35"/>
  <c r="AV19" i="35"/>
  <c r="AW19" i="35"/>
  <c r="AX19" i="35"/>
  <c r="AY19" i="35"/>
  <c r="AZ19" i="35"/>
  <c r="BA19" i="35"/>
  <c r="BB19" i="35"/>
  <c r="BC19" i="35"/>
  <c r="BD19" i="35"/>
  <c r="BE19" i="35"/>
  <c r="F18" i="35"/>
  <c r="G18" i="35"/>
  <c r="H18" i="35"/>
  <c r="I18" i="35"/>
  <c r="J18" i="35"/>
  <c r="K18" i="35"/>
  <c r="L18" i="35"/>
  <c r="M18" i="35"/>
  <c r="N18" i="35"/>
  <c r="O18" i="35"/>
  <c r="P18" i="35"/>
  <c r="Q18" i="35"/>
  <c r="R18" i="35"/>
  <c r="S18" i="35"/>
  <c r="T18" i="35"/>
  <c r="U18" i="35"/>
  <c r="V18" i="35"/>
  <c r="W18" i="35"/>
  <c r="X18" i="35"/>
  <c r="Y18" i="35"/>
  <c r="Z18" i="35"/>
  <c r="AA18" i="35"/>
  <c r="AB18" i="35"/>
  <c r="AC18" i="35"/>
  <c r="AD18" i="35"/>
  <c r="AE18" i="35"/>
  <c r="AF18" i="35"/>
  <c r="AG18" i="35"/>
  <c r="AH18" i="35"/>
  <c r="AI18" i="35"/>
  <c r="AJ18" i="35"/>
  <c r="AK18" i="35"/>
  <c r="AL18" i="35"/>
  <c r="AM18" i="35"/>
  <c r="AN18" i="35"/>
  <c r="AO18" i="35"/>
  <c r="AP18" i="35"/>
  <c r="AQ18" i="35"/>
  <c r="AR18" i="35"/>
  <c r="AS18" i="35"/>
  <c r="AT18" i="35"/>
  <c r="AU18" i="35"/>
  <c r="AV18" i="35"/>
  <c r="AW18" i="35"/>
  <c r="AX18" i="35"/>
  <c r="AY18" i="35"/>
  <c r="AZ18" i="35"/>
  <c r="BA18" i="35"/>
  <c r="BB18" i="35"/>
  <c r="BC18" i="35"/>
  <c r="BD18" i="35"/>
  <c r="BE18" i="35"/>
  <c r="F17" i="35"/>
  <c r="G17" i="35"/>
  <c r="H17" i="35"/>
  <c r="I17" i="35"/>
  <c r="J17" i="35"/>
  <c r="K17" i="35"/>
  <c r="L17" i="35"/>
  <c r="M17" i="35"/>
  <c r="N17" i="35"/>
  <c r="N22" i="35" s="1"/>
  <c r="O17" i="35"/>
  <c r="O22" i="35" s="1"/>
  <c r="P17" i="35"/>
  <c r="P22" i="35" s="1"/>
  <c r="Q17" i="35"/>
  <c r="Q22" i="35" s="1"/>
  <c r="R17" i="35"/>
  <c r="S17" i="35"/>
  <c r="T17" i="35"/>
  <c r="U17" i="35"/>
  <c r="V17" i="35"/>
  <c r="W17" i="35"/>
  <c r="X17" i="35"/>
  <c r="Y17" i="35"/>
  <c r="Z17" i="35"/>
  <c r="AA17" i="35"/>
  <c r="AB17" i="35"/>
  <c r="AC17" i="35"/>
  <c r="AD17" i="35"/>
  <c r="AD22" i="35" s="1"/>
  <c r="AE17" i="35"/>
  <c r="AE22" i="35" s="1"/>
  <c r="AF17" i="35"/>
  <c r="AF22" i="35" s="1"/>
  <c r="AG17" i="35"/>
  <c r="AG22" i="35" s="1"/>
  <c r="AH17" i="35"/>
  <c r="AI17" i="35"/>
  <c r="AJ17" i="35"/>
  <c r="AK17" i="35"/>
  <c r="AL17" i="35"/>
  <c r="AM17" i="35"/>
  <c r="AN17" i="35"/>
  <c r="AO17" i="35"/>
  <c r="AP17" i="35"/>
  <c r="AQ17" i="35"/>
  <c r="AR17" i="35"/>
  <c r="AS17" i="35"/>
  <c r="AT17" i="35"/>
  <c r="AT22" i="35" s="1"/>
  <c r="AU17" i="35"/>
  <c r="AU22" i="35" s="1"/>
  <c r="AV17" i="35"/>
  <c r="AV22" i="35" s="1"/>
  <c r="AW17" i="35"/>
  <c r="AW22" i="35" s="1"/>
  <c r="AX17" i="35"/>
  <c r="AY17" i="35"/>
  <c r="AZ17" i="35"/>
  <c r="BA17" i="35"/>
  <c r="BB17" i="35"/>
  <c r="BC17" i="35"/>
  <c r="BD17" i="35"/>
  <c r="BE17" i="35"/>
  <c r="F13" i="35"/>
  <c r="G13" i="35"/>
  <c r="H13" i="35"/>
  <c r="I13" i="35"/>
  <c r="J13" i="35"/>
  <c r="K13" i="35"/>
  <c r="L13" i="35"/>
  <c r="M13" i="35"/>
  <c r="N13" i="35"/>
  <c r="O13" i="35"/>
  <c r="P13" i="35"/>
  <c r="Q13" i="35"/>
  <c r="R13" i="35"/>
  <c r="S13" i="35"/>
  <c r="T13" i="35"/>
  <c r="U13" i="35"/>
  <c r="V13" i="35"/>
  <c r="W13" i="35"/>
  <c r="X13" i="35"/>
  <c r="Y13" i="35"/>
  <c r="Z13" i="35"/>
  <c r="AA13" i="35"/>
  <c r="AB13" i="35"/>
  <c r="AC13" i="35"/>
  <c r="AD13" i="35"/>
  <c r="AE13" i="35"/>
  <c r="AF13" i="35"/>
  <c r="AG13" i="35"/>
  <c r="AH13" i="35"/>
  <c r="AI13" i="35"/>
  <c r="AJ13" i="35"/>
  <c r="AK13" i="35"/>
  <c r="AL13" i="35"/>
  <c r="AM13" i="35"/>
  <c r="AN13" i="35"/>
  <c r="AO13" i="35"/>
  <c r="AP13" i="35"/>
  <c r="AQ13" i="35"/>
  <c r="AR13" i="35"/>
  <c r="AS13" i="35"/>
  <c r="AT13" i="35"/>
  <c r="AU13" i="35"/>
  <c r="AV13" i="35"/>
  <c r="AW13" i="35"/>
  <c r="AX13" i="35"/>
  <c r="AY13" i="35"/>
  <c r="AZ13" i="35"/>
  <c r="BA13" i="35"/>
  <c r="BB13" i="35"/>
  <c r="BC13" i="35"/>
  <c r="BD13" i="35"/>
  <c r="BE13" i="35"/>
  <c r="F12" i="35"/>
  <c r="G12" i="35"/>
  <c r="G15" i="35" s="1"/>
  <c r="G17" i="40" s="1"/>
  <c r="H12" i="35"/>
  <c r="H15" i="35" s="1"/>
  <c r="H17" i="40" s="1"/>
  <c r="I12" i="35"/>
  <c r="J12" i="35"/>
  <c r="K12" i="35"/>
  <c r="L12" i="35"/>
  <c r="M12" i="35"/>
  <c r="N12" i="35"/>
  <c r="N15" i="35" s="1"/>
  <c r="N17" i="40" s="1"/>
  <c r="O12" i="35"/>
  <c r="O15" i="35" s="1"/>
  <c r="O17" i="40" s="1"/>
  <c r="P12" i="35"/>
  <c r="P15" i="35" s="1"/>
  <c r="P17" i="40" s="1"/>
  <c r="Q12" i="35"/>
  <c r="Q15" i="35" s="1"/>
  <c r="Q17" i="40" s="1"/>
  <c r="R12" i="35"/>
  <c r="R15" i="35" s="1"/>
  <c r="R17" i="40" s="1"/>
  <c r="S12" i="35"/>
  <c r="S15" i="35" s="1"/>
  <c r="S17" i="40" s="1"/>
  <c r="T12" i="35"/>
  <c r="U12" i="35"/>
  <c r="U15" i="35" s="1"/>
  <c r="U17" i="40" s="1"/>
  <c r="V12" i="35"/>
  <c r="V15" i="35" s="1"/>
  <c r="V17" i="40" s="1"/>
  <c r="W12" i="35"/>
  <c r="W15" i="35" s="1"/>
  <c r="W17" i="40" s="1"/>
  <c r="X12" i="35"/>
  <c r="Y12" i="35"/>
  <c r="Y15" i="35" s="1"/>
  <c r="Y17" i="40" s="1"/>
  <c r="Z12" i="35"/>
  <c r="AA12" i="35"/>
  <c r="AB12" i="35"/>
  <c r="AC12" i="35"/>
  <c r="AD12" i="35"/>
  <c r="AD15" i="35" s="1"/>
  <c r="AD17" i="40" s="1"/>
  <c r="AE12" i="35"/>
  <c r="AE15" i="35" s="1"/>
  <c r="AE17" i="40" s="1"/>
  <c r="AF12" i="35"/>
  <c r="AF15" i="35" s="1"/>
  <c r="AF17" i="40" s="1"/>
  <c r="AG12" i="35"/>
  <c r="AG15" i="35" s="1"/>
  <c r="AG17" i="40" s="1"/>
  <c r="AH12" i="35"/>
  <c r="AH15" i="35" s="1"/>
  <c r="AH17" i="40" s="1"/>
  <c r="AI12" i="35"/>
  <c r="AI15" i="35" s="1"/>
  <c r="AI17" i="40" s="1"/>
  <c r="AJ12" i="35"/>
  <c r="AK12" i="35"/>
  <c r="AL12" i="35"/>
  <c r="AL15" i="35" s="1"/>
  <c r="AL17" i="40" s="1"/>
  <c r="AM12" i="35"/>
  <c r="AM15" i="35" s="1"/>
  <c r="AM17" i="40" s="1"/>
  <c r="AN12" i="35"/>
  <c r="AN15" i="35" s="1"/>
  <c r="AN17" i="40" s="1"/>
  <c r="AO12" i="35"/>
  <c r="AO15" i="35" s="1"/>
  <c r="AO17" i="40" s="1"/>
  <c r="AP12" i="35"/>
  <c r="AQ12" i="35"/>
  <c r="AR12" i="35"/>
  <c r="AS12" i="35"/>
  <c r="AT12" i="35"/>
  <c r="AT15" i="35" s="1"/>
  <c r="AT17" i="40" s="1"/>
  <c r="AU12" i="35"/>
  <c r="AU15" i="35" s="1"/>
  <c r="AU17" i="40" s="1"/>
  <c r="AV12" i="35"/>
  <c r="AV15" i="35" s="1"/>
  <c r="AV17" i="40" s="1"/>
  <c r="AW12" i="35"/>
  <c r="AW15" i="35" s="1"/>
  <c r="AW17" i="40" s="1"/>
  <c r="AX12" i="35"/>
  <c r="AX15" i="35" s="1"/>
  <c r="AX17" i="40" s="1"/>
  <c r="AY12" i="35"/>
  <c r="AY15" i="35" s="1"/>
  <c r="AY17" i="40" s="1"/>
  <c r="AZ12" i="35"/>
  <c r="BA12" i="35"/>
  <c r="BA15" i="35" s="1"/>
  <c r="BA17" i="40" s="1"/>
  <c r="BB12" i="35"/>
  <c r="BB15" i="35" s="1"/>
  <c r="BB17" i="40" s="1"/>
  <c r="BC12" i="35"/>
  <c r="BC15" i="35" s="1"/>
  <c r="BC17" i="40" s="1"/>
  <c r="BD12" i="35"/>
  <c r="BD15" i="35" s="1"/>
  <c r="BD17" i="40" s="1"/>
  <c r="BE12" i="35"/>
  <c r="BE15" i="35" s="1"/>
  <c r="BE17" i="40" s="1"/>
  <c r="AZ15" i="35" l="1"/>
  <c r="AZ17" i="40" s="1"/>
  <c r="AJ15" i="35"/>
  <c r="AJ17" i="40" s="1"/>
  <c r="T15" i="35"/>
  <c r="T17" i="40" s="1"/>
  <c r="AR22" i="35"/>
  <c r="AB22" i="35"/>
  <c r="L22" i="35"/>
  <c r="AR41" i="35"/>
  <c r="AB41" i="35"/>
  <c r="L41" i="35"/>
  <c r="L24" i="40" s="1"/>
  <c r="AZ46" i="35"/>
  <c r="AJ46" i="35"/>
  <c r="AJ48" i="35" s="1"/>
  <c r="AJ26" i="40" s="1"/>
  <c r="BH15" i="38"/>
  <c r="AY40" i="36"/>
  <c r="AY31" i="40" s="1"/>
  <c r="T26" i="38"/>
  <c r="BD40" i="36"/>
  <c r="BD31" i="40" s="1"/>
  <c r="BG15" i="38"/>
  <c r="T25" i="36"/>
  <c r="T29" i="40" s="1"/>
  <c r="AS41" i="35"/>
  <c r="AA22" i="35"/>
  <c r="AP22" i="35"/>
  <c r="N40" i="36"/>
  <c r="N31" i="40" s="1"/>
  <c r="BE22" i="35"/>
  <c r="Y41" i="35"/>
  <c r="N43" i="37"/>
  <c r="N35" i="40" s="1"/>
  <c r="H22" i="35"/>
  <c r="H24" i="35" s="1"/>
  <c r="H19" i="40" s="1"/>
  <c r="BD41" i="35"/>
  <c r="BD24" i="38" s="1"/>
  <c r="BD28" i="38" s="1"/>
  <c r="BD39" i="40" s="1"/>
  <c r="AS38" i="36"/>
  <c r="AS40" i="36" s="1"/>
  <c r="AS31" i="40" s="1"/>
  <c r="W41" i="35"/>
  <c r="W24" i="40" s="1"/>
  <c r="AS41" i="37"/>
  <c r="AS43" i="37" s="1"/>
  <c r="AS35" i="40" s="1"/>
  <c r="AL41" i="35"/>
  <c r="AL48" i="35" s="1"/>
  <c r="AL26" i="40" s="1"/>
  <c r="S38" i="36"/>
  <c r="S40" i="36" s="1"/>
  <c r="S31" i="40" s="1"/>
  <c r="AI26" i="38"/>
  <c r="AS26" i="38"/>
  <c r="H38" i="36"/>
  <c r="H40" i="36" s="1"/>
  <c r="H31" i="40" s="1"/>
  <c r="AP26" i="38"/>
  <c r="BF15" i="36"/>
  <c r="T38" i="36"/>
  <c r="AC41" i="35"/>
  <c r="AQ41" i="35"/>
  <c r="I22" i="35"/>
  <c r="BE41" i="35"/>
  <c r="BD22" i="35"/>
  <c r="BD24" i="35" s="1"/>
  <c r="BD19" i="40" s="1"/>
  <c r="AN41" i="35"/>
  <c r="BA40" i="36"/>
  <c r="BA31" i="40" s="1"/>
  <c r="BC22" i="35"/>
  <c r="AM41" i="35"/>
  <c r="AM48" i="35" s="1"/>
  <c r="AM26" i="40" s="1"/>
  <c r="BG40" i="38"/>
  <c r="AL22" i="35"/>
  <c r="AL16" i="39" s="1"/>
  <c r="AL18" i="39" s="1"/>
  <c r="AL43" i="40" s="1"/>
  <c r="BB41" i="35"/>
  <c r="V41" i="35"/>
  <c r="AS15" i="35"/>
  <c r="AS17" i="40" s="1"/>
  <c r="AC15" i="35"/>
  <c r="AC17" i="40" s="1"/>
  <c r="M15" i="35"/>
  <c r="M17" i="40" s="1"/>
  <c r="AK22" i="35"/>
  <c r="BA41" i="35"/>
  <c r="BA48" i="35" s="1"/>
  <c r="BA26" i="40" s="1"/>
  <c r="U41" i="35"/>
  <c r="AS46" i="35"/>
  <c r="AS48" i="35" s="1"/>
  <c r="AS26" i="40" s="1"/>
  <c r="AC46" i="35"/>
  <c r="K43" i="37"/>
  <c r="K35" i="40" s="1"/>
  <c r="S41" i="37"/>
  <c r="S43" i="37" s="1"/>
  <c r="S35" i="40" s="1"/>
  <c r="H41" i="37"/>
  <c r="AR25" i="36"/>
  <c r="AR29" i="40" s="1"/>
  <c r="AZ25" i="36"/>
  <c r="AZ29" i="40" s="1"/>
  <c r="BH15" i="36"/>
  <c r="K22" i="35"/>
  <c r="K41" i="35"/>
  <c r="J22" i="35"/>
  <c r="J41" i="35"/>
  <c r="AO22" i="35"/>
  <c r="H41" i="35"/>
  <c r="BF40" i="38"/>
  <c r="AM22" i="35"/>
  <c r="BC41" i="35"/>
  <c r="BC48" i="35" s="1"/>
  <c r="BC26" i="40" s="1"/>
  <c r="L15" i="35"/>
  <c r="L17" i="40" s="1"/>
  <c r="AJ22" i="35"/>
  <c r="AZ41" i="35"/>
  <c r="T41" i="35"/>
  <c r="AR46" i="35"/>
  <c r="AB46" i="35"/>
  <c r="AB48" i="35" s="1"/>
  <c r="AB26" i="40" s="1"/>
  <c r="S26" i="38"/>
  <c r="AR38" i="36"/>
  <c r="AR40" i="36" s="1"/>
  <c r="AR31" i="40" s="1"/>
  <c r="AZ38" i="36"/>
  <c r="M41" i="35"/>
  <c r="W43" i="37"/>
  <c r="W35" i="40" s="1"/>
  <c r="AA41" i="35"/>
  <c r="AY48" i="35"/>
  <c r="AY26" i="40" s="1"/>
  <c r="AP41" i="35"/>
  <c r="AG40" i="36"/>
  <c r="AG31" i="40" s="1"/>
  <c r="AO41" i="35"/>
  <c r="AO24" i="40" s="1"/>
  <c r="AN22" i="35"/>
  <c r="W22" i="35"/>
  <c r="W16" i="39" s="1"/>
  <c r="W18" i="39" s="1"/>
  <c r="W43" i="40" s="1"/>
  <c r="AP41" i="37"/>
  <c r="V22" i="35"/>
  <c r="V24" i="35" s="1"/>
  <c r="V19" i="40" s="1"/>
  <c r="AB15" i="35"/>
  <c r="AB17" i="40" s="1"/>
  <c r="AZ22" i="35"/>
  <c r="T22" i="35"/>
  <c r="AJ41" i="35"/>
  <c r="AQ15" i="35"/>
  <c r="AQ17" i="40" s="1"/>
  <c r="AA15" i="35"/>
  <c r="AA17" i="40" s="1"/>
  <c r="K15" i="35"/>
  <c r="K17" i="40" s="1"/>
  <c r="AY41" i="35"/>
  <c r="AI41" i="35"/>
  <c r="S41" i="35"/>
  <c r="AQ46" i="35"/>
  <c r="AQ48" i="35" s="1"/>
  <c r="AQ26" i="40" s="1"/>
  <c r="AA46" i="35"/>
  <c r="AA48" i="35" s="1"/>
  <c r="AA26" i="40" s="1"/>
  <c r="AC25" i="36"/>
  <c r="AC29" i="40" s="1"/>
  <c r="J25" i="36"/>
  <c r="J29" i="40" s="1"/>
  <c r="AR41" i="37"/>
  <c r="AZ41" i="37"/>
  <c r="AQ22" i="35"/>
  <c r="AI48" i="35"/>
  <c r="AI26" i="40" s="1"/>
  <c r="Z22" i="35"/>
  <c r="Z41" i="35"/>
  <c r="Y22" i="35"/>
  <c r="I41" i="35"/>
  <c r="G22" i="35"/>
  <c r="G41" i="35"/>
  <c r="AI38" i="36"/>
  <c r="AI40" i="36" s="1"/>
  <c r="AI31" i="40" s="1"/>
  <c r="BB22" i="35"/>
  <c r="AR15" i="35"/>
  <c r="AR17" i="40" s="1"/>
  <c r="AY22" i="35"/>
  <c r="AY24" i="35" s="1"/>
  <c r="AY19" i="40" s="1"/>
  <c r="AI22" i="35"/>
  <c r="S22" i="35"/>
  <c r="S16" i="39" s="1"/>
  <c r="S18" i="39" s="1"/>
  <c r="S43" i="40" s="1"/>
  <c r="AP15" i="35"/>
  <c r="AP17" i="40" s="1"/>
  <c r="Z15" i="35"/>
  <c r="Z17" i="40" s="1"/>
  <c r="J15" i="35"/>
  <c r="J17" i="40" s="1"/>
  <c r="AX22" i="35"/>
  <c r="AX24" i="35" s="1"/>
  <c r="AX19" i="40" s="1"/>
  <c r="AH22" i="35"/>
  <c r="R22" i="35"/>
  <c r="AX41" i="35"/>
  <c r="AH41" i="35"/>
  <c r="R41" i="35"/>
  <c r="AP46" i="35"/>
  <c r="Z46" i="35"/>
  <c r="BH40" i="38"/>
  <c r="BG15" i="36"/>
  <c r="M40" i="36"/>
  <c r="M31" i="40" s="1"/>
  <c r="U40" i="36"/>
  <c r="U31" i="40" s="1"/>
  <c r="R40" i="36"/>
  <c r="R31" i="40" s="1"/>
  <c r="AG46" i="35"/>
  <c r="Y43" i="37"/>
  <c r="Y35" i="40" s="1"/>
  <c r="AC43" i="37"/>
  <c r="AC35" i="40" s="1"/>
  <c r="AG43" i="37"/>
  <c r="AG35" i="40" s="1"/>
  <c r="AM43" i="37"/>
  <c r="AM35" i="40" s="1"/>
  <c r="AY43" i="37"/>
  <c r="AY35" i="40" s="1"/>
  <c r="BC43" i="37"/>
  <c r="BC35" i="40" s="1"/>
  <c r="BE43" i="37"/>
  <c r="BE35" i="40" s="1"/>
  <c r="J43" i="37"/>
  <c r="J35" i="40" s="1"/>
  <c r="R43" i="37"/>
  <c r="R35" i="40" s="1"/>
  <c r="AP43" i="37"/>
  <c r="AP35" i="40" s="1"/>
  <c r="D12" i="43"/>
  <c r="AI43" i="37"/>
  <c r="AI35" i="40" s="1"/>
  <c r="AI25" i="36"/>
  <c r="AI29" i="40" s="1"/>
  <c r="AJ38" i="36"/>
  <c r="AJ40" i="36" s="1"/>
  <c r="AJ31" i="40" s="1"/>
  <c r="O40" i="36"/>
  <c r="O31" i="40" s="1"/>
  <c r="Q40" i="36"/>
  <c r="Q31" i="40" s="1"/>
  <c r="AE40" i="36"/>
  <c r="AE31" i="40" s="1"/>
  <c r="AO40" i="36"/>
  <c r="AO31" i="40" s="1"/>
  <c r="AQ40" i="36"/>
  <c r="AQ31" i="40" s="1"/>
  <c r="AU40" i="36"/>
  <c r="AU31" i="40" s="1"/>
  <c r="AW40" i="36"/>
  <c r="AW31" i="40" s="1"/>
  <c r="F40" i="36"/>
  <c r="F31" i="40" s="1"/>
  <c r="P40" i="36"/>
  <c r="P31" i="40" s="1"/>
  <c r="T40" i="36"/>
  <c r="T31" i="40" s="1"/>
  <c r="V40" i="36"/>
  <c r="V31" i="40" s="1"/>
  <c r="Z40" i="36"/>
  <c r="Z31" i="40" s="1"/>
  <c r="AH40" i="36"/>
  <c r="AH31" i="40" s="1"/>
  <c r="AL40" i="36"/>
  <c r="AL31" i="40" s="1"/>
  <c r="AT40" i="36"/>
  <c r="AT31" i="40" s="1"/>
  <c r="AV40" i="36"/>
  <c r="AV31" i="40" s="1"/>
  <c r="AX40" i="36"/>
  <c r="AX31" i="40" s="1"/>
  <c r="AZ40" i="36"/>
  <c r="AZ31" i="40" s="1"/>
  <c r="BB40" i="36"/>
  <c r="BB31" i="40" s="1"/>
  <c r="D15" i="43"/>
  <c r="U46" i="35"/>
  <c r="S46" i="35"/>
  <c r="Q46" i="35"/>
  <c r="Q48" i="35" s="1"/>
  <c r="Q26" i="40" s="1"/>
  <c r="O46" i="35"/>
  <c r="O48" i="35" s="1"/>
  <c r="O26" i="40" s="1"/>
  <c r="BF15" i="38"/>
  <c r="Q43" i="37"/>
  <c r="Q35" i="40" s="1"/>
  <c r="AW43" i="37"/>
  <c r="AW35" i="40" s="1"/>
  <c r="F43" i="37"/>
  <c r="F35" i="40" s="1"/>
  <c r="V43" i="37"/>
  <c r="V35" i="40" s="1"/>
  <c r="Z43" i="37"/>
  <c r="Z35" i="40" s="1"/>
  <c r="M46" i="35"/>
  <c r="K46" i="35"/>
  <c r="I46" i="35"/>
  <c r="I48" i="35" s="1"/>
  <c r="I26" i="40" s="1"/>
  <c r="G46" i="35"/>
  <c r="G48" i="35" s="1"/>
  <c r="G26" i="40" s="1"/>
  <c r="BD48" i="35"/>
  <c r="BD26" i="40" s="1"/>
  <c r="BB48" i="35"/>
  <c r="BB26" i="40" s="1"/>
  <c r="AV48" i="35"/>
  <c r="AV26" i="40" s="1"/>
  <c r="AT48" i="35"/>
  <c r="AT26" i="40" s="1"/>
  <c r="AR48" i="35"/>
  <c r="AR26" i="40" s="1"/>
  <c r="AN48" i="35"/>
  <c r="AN26" i="40" s="1"/>
  <c r="AH48" i="35"/>
  <c r="AH26" i="40" s="1"/>
  <c r="AF48" i="35"/>
  <c r="AF26" i="40" s="1"/>
  <c r="T46" i="35"/>
  <c r="T48" i="35" s="1"/>
  <c r="T26" i="40" s="1"/>
  <c r="R46" i="35"/>
  <c r="R48" i="35" s="1"/>
  <c r="R26" i="40" s="1"/>
  <c r="P46" i="35"/>
  <c r="P48" i="35" s="1"/>
  <c r="P26" i="40" s="1"/>
  <c r="N46" i="35"/>
  <c r="N48" i="35" s="1"/>
  <c r="N26" i="40" s="1"/>
  <c r="L46" i="35"/>
  <c r="J46" i="35"/>
  <c r="J48" i="35" s="1"/>
  <c r="J26" i="40" s="1"/>
  <c r="H46" i="35"/>
  <c r="H48" i="35" s="1"/>
  <c r="H26" i="40" s="1"/>
  <c r="AA40" i="36"/>
  <c r="AA31" i="40" s="1"/>
  <c r="BE48" i="35"/>
  <c r="BE26" i="40" s="1"/>
  <c r="AW48" i="35"/>
  <c r="AW26" i="40" s="1"/>
  <c r="AU48" i="35"/>
  <c r="AU26" i="40" s="1"/>
  <c r="AG48" i="35"/>
  <c r="AG26" i="40" s="1"/>
  <c r="AC48" i="35"/>
  <c r="AC26" i="40" s="1"/>
  <c r="Y48" i="35"/>
  <c r="Y26" i="40" s="1"/>
  <c r="W48" i="35"/>
  <c r="W26" i="40" s="1"/>
  <c r="K48" i="35"/>
  <c r="K26" i="40" s="1"/>
  <c r="H43" i="37"/>
  <c r="H35" i="40" s="1"/>
  <c r="AJ43" i="37"/>
  <c r="AJ35" i="40" s="1"/>
  <c r="AR43" i="37"/>
  <c r="AR35" i="40" s="1"/>
  <c r="AZ43" i="37"/>
  <c r="AZ35" i="40" s="1"/>
  <c r="AT43" i="37"/>
  <c r="AT35" i="40" s="1"/>
  <c r="AX43" i="37"/>
  <c r="AX35" i="40" s="1"/>
  <c r="AP48" i="35"/>
  <c r="AP26" i="40" s="1"/>
  <c r="AE48" i="35"/>
  <c r="AE26" i="40" s="1"/>
  <c r="V48" i="35"/>
  <c r="V26" i="40" s="1"/>
  <c r="T43" i="37"/>
  <c r="T35" i="40" s="1"/>
  <c r="BB43" i="37"/>
  <c r="BB35" i="40" s="1"/>
  <c r="AV43" i="37"/>
  <c r="AV35" i="40" s="1"/>
  <c r="AS22" i="35"/>
  <c r="AS16" i="39" s="1"/>
  <c r="AS18" i="39" s="1"/>
  <c r="AS43" i="40" s="1"/>
  <c r="AQ43" i="37"/>
  <c r="AQ35" i="40" s="1"/>
  <c r="AO43" i="37"/>
  <c r="AO35" i="40" s="1"/>
  <c r="AN40" i="36"/>
  <c r="AN31" i="40" s="1"/>
  <c r="AN43" i="37"/>
  <c r="AN35" i="40" s="1"/>
  <c r="AL43" i="37"/>
  <c r="AL35" i="40" s="1"/>
  <c r="AH43" i="37"/>
  <c r="AH35" i="40" s="1"/>
  <c r="AF43" i="37"/>
  <c r="AF35" i="40" s="1"/>
  <c r="AB43" i="37"/>
  <c r="AB35" i="40" s="1"/>
  <c r="AE43" i="37"/>
  <c r="AE35" i="40" s="1"/>
  <c r="AC22" i="35"/>
  <c r="AC16" i="39" s="1"/>
  <c r="AC18" i="39" s="1"/>
  <c r="AC43" i="40" s="1"/>
  <c r="AA43" i="37"/>
  <c r="AA35" i="40" s="1"/>
  <c r="U22" i="35"/>
  <c r="U16" i="39" s="1"/>
  <c r="U18" i="39" s="1"/>
  <c r="U43" i="40" s="1"/>
  <c r="AU43" i="37"/>
  <c r="AU35" i="40" s="1"/>
  <c r="AD48" i="35"/>
  <c r="AD26" i="40" s="1"/>
  <c r="AD43" i="37"/>
  <c r="AD35" i="40" s="1"/>
  <c r="P43" i="37"/>
  <c r="P35" i="40" s="1"/>
  <c r="G43" i="37"/>
  <c r="G35" i="40" s="1"/>
  <c r="I15" i="35"/>
  <c r="I17" i="40" s="1"/>
  <c r="BD43" i="37"/>
  <c r="BD35" i="40" s="1"/>
  <c r="L43" i="37"/>
  <c r="L35" i="40" s="1"/>
  <c r="M48" i="35"/>
  <c r="M26" i="40" s="1"/>
  <c r="M22" i="35"/>
  <c r="M16" i="39" s="1"/>
  <c r="M18" i="39" s="1"/>
  <c r="M43" i="40" s="1"/>
  <c r="Z48" i="35"/>
  <c r="Z26" i="40" s="1"/>
  <c r="BA22" i="35"/>
  <c r="BA16" i="39" s="1"/>
  <c r="BA18" i="39" s="1"/>
  <c r="BA43" i="40" s="1"/>
  <c r="BH39" i="37"/>
  <c r="O43" i="37"/>
  <c r="O35" i="40" s="1"/>
  <c r="BE16" i="39"/>
  <c r="BE18" i="39" s="1"/>
  <c r="BE43" i="40" s="1"/>
  <c r="BE24" i="35"/>
  <c r="BE19" i="40" s="1"/>
  <c r="AW16" i="39"/>
  <c r="AW18" i="39" s="1"/>
  <c r="AW43" i="40" s="1"/>
  <c r="AW24" i="35"/>
  <c r="AW19" i="40" s="1"/>
  <c r="AO16" i="39"/>
  <c r="AO18" i="39" s="1"/>
  <c r="AO43" i="40" s="1"/>
  <c r="AO24" i="35"/>
  <c r="AO19" i="40" s="1"/>
  <c r="AG16" i="39"/>
  <c r="AG18" i="39" s="1"/>
  <c r="AG43" i="40" s="1"/>
  <c r="AG24" i="35"/>
  <c r="AG19" i="40" s="1"/>
  <c r="Y16" i="39"/>
  <c r="Y18" i="39" s="1"/>
  <c r="Y43" i="40" s="1"/>
  <c r="Y24" i="35"/>
  <c r="Y19" i="40" s="1"/>
  <c r="Q16" i="39"/>
  <c r="Q18" i="39" s="1"/>
  <c r="Q43" i="40" s="1"/>
  <c r="Q24" i="35"/>
  <c r="Q19" i="40" s="1"/>
  <c r="I16" i="39"/>
  <c r="I18" i="39" s="1"/>
  <c r="I43" i="40" s="1"/>
  <c r="BG12" i="35"/>
  <c r="BF12" i="35"/>
  <c r="F15" i="35"/>
  <c r="BG13" i="35"/>
  <c r="BF13" i="35"/>
  <c r="AK16" i="39"/>
  <c r="X15" i="35"/>
  <c r="BC16" i="39"/>
  <c r="BC18" i="39" s="1"/>
  <c r="BC43" i="40" s="1"/>
  <c r="BC24" i="35"/>
  <c r="BC19" i="40" s="1"/>
  <c r="AY16" i="39"/>
  <c r="AY18" i="39" s="1"/>
  <c r="AY43" i="40" s="1"/>
  <c r="AU16" i="39"/>
  <c r="AU18" i="39" s="1"/>
  <c r="AU43" i="40" s="1"/>
  <c r="AU24" i="35"/>
  <c r="AU19" i="40" s="1"/>
  <c r="AQ16" i="39"/>
  <c r="AQ18" i="39" s="1"/>
  <c r="AQ43" i="40" s="1"/>
  <c r="AQ24" i="35"/>
  <c r="AQ19" i="40" s="1"/>
  <c r="AM16" i="39"/>
  <c r="AM18" i="39" s="1"/>
  <c r="AM43" i="40" s="1"/>
  <c r="AM24" i="35"/>
  <c r="AM19" i="40" s="1"/>
  <c r="BH17" i="35"/>
  <c r="AI16" i="39"/>
  <c r="AI18" i="39" s="1"/>
  <c r="AI43" i="40" s="1"/>
  <c r="AI24" i="35"/>
  <c r="AI19" i="40" s="1"/>
  <c r="AE16" i="39"/>
  <c r="AE18" i="39" s="1"/>
  <c r="AE43" i="40" s="1"/>
  <c r="AE24" i="35"/>
  <c r="AE19" i="40" s="1"/>
  <c r="AA16" i="39"/>
  <c r="AA18" i="39" s="1"/>
  <c r="AA43" i="40" s="1"/>
  <c r="AA24" i="35"/>
  <c r="AA19" i="40" s="1"/>
  <c r="W24" i="35"/>
  <c r="W19" i="40" s="1"/>
  <c r="O16" i="39"/>
  <c r="O18" i="39" s="1"/>
  <c r="O43" i="40" s="1"/>
  <c r="O24" i="35"/>
  <c r="O19" i="40" s="1"/>
  <c r="K16" i="39"/>
  <c r="K18" i="39" s="1"/>
  <c r="K43" i="40" s="1"/>
  <c r="K24" i="35"/>
  <c r="K19" i="40" s="1"/>
  <c r="G16" i="39"/>
  <c r="G18" i="39" s="1"/>
  <c r="G43" i="40" s="1"/>
  <c r="G24" i="35"/>
  <c r="G19" i="40" s="1"/>
  <c r="BH18" i="35"/>
  <c r="BH19" i="35"/>
  <c r="BH20" i="35"/>
  <c r="BA24" i="35"/>
  <c r="BA19" i="40" s="1"/>
  <c r="BE24" i="40"/>
  <c r="BE24" i="38"/>
  <c r="BE28" i="38" s="1"/>
  <c r="BE39" i="40" s="1"/>
  <c r="BC24" i="38"/>
  <c r="BC28" i="38" s="1"/>
  <c r="BC39" i="40" s="1"/>
  <c r="BA24" i="40"/>
  <c r="BA24" i="38"/>
  <c r="BA28" i="38" s="1"/>
  <c r="BA39" i="40" s="1"/>
  <c r="AY24" i="40"/>
  <c r="AY24" i="38"/>
  <c r="AY28" i="38" s="1"/>
  <c r="AY39" i="40" s="1"/>
  <c r="AW24" i="40"/>
  <c r="AW24" i="38"/>
  <c r="AW28" i="38" s="1"/>
  <c r="AW39" i="40" s="1"/>
  <c r="AU24" i="40"/>
  <c r="AU24" i="38"/>
  <c r="AU28" i="38" s="1"/>
  <c r="AU39" i="40" s="1"/>
  <c r="AS24" i="40"/>
  <c r="AS24" i="38"/>
  <c r="AS28" i="38" s="1"/>
  <c r="AS39" i="40" s="1"/>
  <c r="AQ24" i="40"/>
  <c r="AQ24" i="38"/>
  <c r="AQ28" i="38" s="1"/>
  <c r="AQ39" i="40" s="1"/>
  <c r="AO24" i="38"/>
  <c r="AO28" i="38" s="1"/>
  <c r="AO39" i="40" s="1"/>
  <c r="AM24" i="38"/>
  <c r="AM28" i="38" s="1"/>
  <c r="AM39" i="40" s="1"/>
  <c r="AI24" i="40"/>
  <c r="AI24" i="38"/>
  <c r="AI28" i="38" s="1"/>
  <c r="AI39" i="40" s="1"/>
  <c r="AG24" i="40"/>
  <c r="AG24" i="38"/>
  <c r="AG28" i="38" s="1"/>
  <c r="AG39" i="40" s="1"/>
  <c r="AE24" i="40"/>
  <c r="AE24" i="38"/>
  <c r="AE28" i="38" s="1"/>
  <c r="AE39" i="40" s="1"/>
  <c r="AC24" i="40"/>
  <c r="AC24" i="38"/>
  <c r="AC28" i="38" s="1"/>
  <c r="AC39" i="40" s="1"/>
  <c r="AA24" i="40"/>
  <c r="AA24" i="38"/>
  <c r="AA28" i="38" s="1"/>
  <c r="AA39" i="40" s="1"/>
  <c r="Y24" i="40"/>
  <c r="Y24" i="38"/>
  <c r="Y28" i="38" s="1"/>
  <c r="Y39" i="40" s="1"/>
  <c r="U24" i="40"/>
  <c r="U24" i="38"/>
  <c r="U28" i="38" s="1"/>
  <c r="U39" i="40" s="1"/>
  <c r="S24" i="40"/>
  <c r="S24" i="38"/>
  <c r="Q24" i="40"/>
  <c r="Q24" i="38"/>
  <c r="Q28" i="38" s="1"/>
  <c r="Q39" i="40" s="1"/>
  <c r="O24" i="40"/>
  <c r="O24" i="38"/>
  <c r="O28" i="38" s="1"/>
  <c r="O39" i="40" s="1"/>
  <c r="M24" i="40"/>
  <c r="M24" i="38"/>
  <c r="M28" i="38" s="1"/>
  <c r="M39" i="40" s="1"/>
  <c r="K24" i="40"/>
  <c r="K24" i="38"/>
  <c r="K28" i="38" s="1"/>
  <c r="K39" i="40" s="1"/>
  <c r="I24" i="40"/>
  <c r="I24" i="38"/>
  <c r="I28" i="38" s="1"/>
  <c r="I39" i="40" s="1"/>
  <c r="G24" i="40"/>
  <c r="G24" i="38"/>
  <c r="G28" i="38" s="1"/>
  <c r="G39" i="40" s="1"/>
  <c r="BH30" i="35"/>
  <c r="BH31" i="35"/>
  <c r="BH32" i="35"/>
  <c r="BH33" i="35"/>
  <c r="BH34" i="35"/>
  <c r="BH35" i="35"/>
  <c r="BH36" i="35"/>
  <c r="BH37" i="35"/>
  <c r="BH38" i="35"/>
  <c r="BH39" i="35"/>
  <c r="AK41" i="35"/>
  <c r="BH43" i="35"/>
  <c r="BH44" i="35"/>
  <c r="AK46" i="35"/>
  <c r="BH12" i="35"/>
  <c r="BH13" i="35"/>
  <c r="AK15" i="35"/>
  <c r="AK24" i="35" s="1"/>
  <c r="AK19" i="40" s="1"/>
  <c r="BD16" i="39"/>
  <c r="BD18" i="39" s="1"/>
  <c r="BD43" i="40" s="1"/>
  <c r="BB16" i="39"/>
  <c r="BB18" i="39" s="1"/>
  <c r="BB43" i="40" s="1"/>
  <c r="BB24" i="35"/>
  <c r="BB19" i="40" s="1"/>
  <c r="AZ16" i="39"/>
  <c r="AZ18" i="39" s="1"/>
  <c r="AZ43" i="40" s="1"/>
  <c r="AZ24" i="35"/>
  <c r="AZ19" i="40" s="1"/>
  <c r="AX16" i="39"/>
  <c r="AX18" i="39" s="1"/>
  <c r="AX43" i="40" s="1"/>
  <c r="AV16" i="39"/>
  <c r="AV18" i="39" s="1"/>
  <c r="AV43" i="40" s="1"/>
  <c r="AV24" i="35"/>
  <c r="AV19" i="40" s="1"/>
  <c r="AT16" i="39"/>
  <c r="AT18" i="39" s="1"/>
  <c r="AT43" i="40" s="1"/>
  <c r="AT24" i="35"/>
  <c r="AT19" i="40" s="1"/>
  <c r="AR16" i="39"/>
  <c r="AR18" i="39" s="1"/>
  <c r="AR43" i="40" s="1"/>
  <c r="AR24" i="35"/>
  <c r="AR19" i="40" s="1"/>
  <c r="AP16" i="39"/>
  <c r="AP18" i="39" s="1"/>
  <c r="AP43" i="40" s="1"/>
  <c r="AP24" i="35"/>
  <c r="AP19" i="40" s="1"/>
  <c r="AN16" i="39"/>
  <c r="AN18" i="39" s="1"/>
  <c r="AN43" i="40" s="1"/>
  <c r="AN24" i="35"/>
  <c r="AN19" i="40" s="1"/>
  <c r="AJ16" i="39"/>
  <c r="AJ18" i="39" s="1"/>
  <c r="AJ43" i="40" s="1"/>
  <c r="AJ24" i="35"/>
  <c r="AJ19" i="40" s="1"/>
  <c r="AH16" i="39"/>
  <c r="AH18" i="39" s="1"/>
  <c r="AH43" i="40" s="1"/>
  <c r="AH24" i="35"/>
  <c r="AH19" i="40" s="1"/>
  <c r="AF16" i="39"/>
  <c r="AF18" i="39" s="1"/>
  <c r="AF43" i="40" s="1"/>
  <c r="AF24" i="35"/>
  <c r="AF19" i="40" s="1"/>
  <c r="AD16" i="39"/>
  <c r="AD18" i="39" s="1"/>
  <c r="AD43" i="40" s="1"/>
  <c r="AD24" i="35"/>
  <c r="AD19" i="40" s="1"/>
  <c r="AB16" i="39"/>
  <c r="AB18" i="39" s="1"/>
  <c r="AB43" i="40" s="1"/>
  <c r="Z16" i="39"/>
  <c r="Z18" i="39" s="1"/>
  <c r="Z43" i="40" s="1"/>
  <c r="V16" i="39"/>
  <c r="V18" i="39" s="1"/>
  <c r="V43" i="40" s="1"/>
  <c r="T16" i="39"/>
  <c r="T18" i="39" s="1"/>
  <c r="T43" i="40" s="1"/>
  <c r="T24" i="35"/>
  <c r="T19" i="40" s="1"/>
  <c r="R16" i="39"/>
  <c r="R18" i="39" s="1"/>
  <c r="R43" i="40" s="1"/>
  <c r="R24" i="35"/>
  <c r="R19" i="40" s="1"/>
  <c r="P16" i="39"/>
  <c r="P18" i="39" s="1"/>
  <c r="P43" i="40" s="1"/>
  <c r="P24" i="35"/>
  <c r="P19" i="40" s="1"/>
  <c r="N16" i="39"/>
  <c r="N18" i="39" s="1"/>
  <c r="N43" i="40" s="1"/>
  <c r="N24" i="35"/>
  <c r="N19" i="40" s="1"/>
  <c r="L16" i="39"/>
  <c r="L18" i="39" s="1"/>
  <c r="L43" i="40" s="1"/>
  <c r="J16" i="39"/>
  <c r="J18" i="39" s="1"/>
  <c r="J43" i="40" s="1"/>
  <c r="H16" i="39"/>
  <c r="H18" i="39" s="1"/>
  <c r="H43" i="40" s="1"/>
  <c r="BD24" i="40"/>
  <c r="BB24" i="40"/>
  <c r="BB24" i="38"/>
  <c r="BB28" i="38" s="1"/>
  <c r="BB39" i="40" s="1"/>
  <c r="AZ24" i="40"/>
  <c r="AZ24" i="38"/>
  <c r="AZ28" i="38" s="1"/>
  <c r="AZ39" i="40" s="1"/>
  <c r="AX24" i="40"/>
  <c r="AX24" i="38"/>
  <c r="AX28" i="38" s="1"/>
  <c r="AX39" i="40" s="1"/>
  <c r="AV24" i="40"/>
  <c r="AV24" i="38"/>
  <c r="AV28" i="38" s="1"/>
  <c r="AV39" i="40" s="1"/>
  <c r="AT24" i="40"/>
  <c r="AT24" i="38"/>
  <c r="AT28" i="38" s="1"/>
  <c r="AT39" i="40" s="1"/>
  <c r="AR24" i="40"/>
  <c r="AR24" i="38"/>
  <c r="AR28" i="38" s="1"/>
  <c r="AR39" i="40" s="1"/>
  <c r="AP24" i="40"/>
  <c r="AP24" i="38"/>
  <c r="AP28" i="38" s="1"/>
  <c r="AP39" i="40" s="1"/>
  <c r="AN24" i="40"/>
  <c r="AN24" i="38"/>
  <c r="AN28" i="38" s="1"/>
  <c r="AN39" i="40" s="1"/>
  <c r="AL24" i="40"/>
  <c r="AL24" i="38"/>
  <c r="AL28" i="38" s="1"/>
  <c r="AL39" i="40" s="1"/>
  <c r="AJ24" i="40"/>
  <c r="AJ24" i="38"/>
  <c r="AJ28" i="38" s="1"/>
  <c r="AJ39" i="40" s="1"/>
  <c r="AH24" i="40"/>
  <c r="AH24" i="38"/>
  <c r="AH28" i="38" s="1"/>
  <c r="AH39" i="40" s="1"/>
  <c r="AF24" i="40"/>
  <c r="AF24" i="38"/>
  <c r="AF28" i="38" s="1"/>
  <c r="AF39" i="40" s="1"/>
  <c r="AD24" i="40"/>
  <c r="AD24" i="38"/>
  <c r="AD28" i="38" s="1"/>
  <c r="AD39" i="40" s="1"/>
  <c r="AB24" i="40"/>
  <c r="AB24" i="38"/>
  <c r="AB28" i="38" s="1"/>
  <c r="AB39" i="40" s="1"/>
  <c r="Z24" i="40"/>
  <c r="Z24" i="38"/>
  <c r="Z28" i="38" s="1"/>
  <c r="Z39" i="40" s="1"/>
  <c r="V24" i="40"/>
  <c r="V24" i="38"/>
  <c r="V28" i="38" s="1"/>
  <c r="V39" i="40" s="1"/>
  <c r="T24" i="40"/>
  <c r="T24" i="38"/>
  <c r="T28" i="38" s="1"/>
  <c r="T39" i="40" s="1"/>
  <c r="R24" i="40"/>
  <c r="R24" i="38"/>
  <c r="R28" i="38" s="1"/>
  <c r="R39" i="40" s="1"/>
  <c r="P24" i="40"/>
  <c r="P24" i="38"/>
  <c r="P28" i="38" s="1"/>
  <c r="P39" i="40" s="1"/>
  <c r="N24" i="40"/>
  <c r="N24" i="38"/>
  <c r="N28" i="38" s="1"/>
  <c r="N39" i="40" s="1"/>
  <c r="J24" i="40"/>
  <c r="J24" i="38"/>
  <c r="J28" i="38" s="1"/>
  <c r="J39" i="40" s="1"/>
  <c r="H24" i="40"/>
  <c r="H24" i="38"/>
  <c r="H28" i="38" s="1"/>
  <c r="H39" i="40" s="1"/>
  <c r="BG17" i="35"/>
  <c r="BF17" i="35"/>
  <c r="BG18" i="35"/>
  <c r="BF18" i="35"/>
  <c r="BG19" i="35"/>
  <c r="BF19" i="35"/>
  <c r="BG20" i="35"/>
  <c r="BF20" i="35"/>
  <c r="X22" i="35"/>
  <c r="F22" i="35"/>
  <c r="BG30" i="35"/>
  <c r="BF30" i="35"/>
  <c r="BG31" i="35"/>
  <c r="BF31" i="35"/>
  <c r="BG32" i="35"/>
  <c r="BF32" i="35"/>
  <c r="BG33" i="35"/>
  <c r="BF33" i="35"/>
  <c r="BG34" i="35"/>
  <c r="BF34" i="35"/>
  <c r="BG35" i="35"/>
  <c r="BF35" i="35"/>
  <c r="BG36" i="35"/>
  <c r="BF36" i="35"/>
  <c r="BG37" i="35"/>
  <c r="BF37" i="35"/>
  <c r="BG38" i="35"/>
  <c r="BF38" i="35"/>
  <c r="BG39" i="35"/>
  <c r="BF39" i="35"/>
  <c r="X41" i="35"/>
  <c r="F41" i="35"/>
  <c r="BG43" i="35"/>
  <c r="BF43" i="35"/>
  <c r="BG44" i="35"/>
  <c r="BF44" i="35"/>
  <c r="X46" i="35"/>
  <c r="F46" i="35"/>
  <c r="BH23" i="36"/>
  <c r="BH25" i="36" s="1"/>
  <c r="AK26" i="38"/>
  <c r="AK41" i="37"/>
  <c r="AK38" i="36"/>
  <c r="AK25" i="36"/>
  <c r="AK29" i="40" s="1"/>
  <c r="BG23" i="36"/>
  <c r="X26" i="38"/>
  <c r="X41" i="37"/>
  <c r="X38" i="36"/>
  <c r="X25" i="36"/>
  <c r="X29" i="40" s="1"/>
  <c r="BG29" i="40" s="1"/>
  <c r="BF36" i="36"/>
  <c r="BF15" i="40"/>
  <c r="BF23" i="36"/>
  <c r="BF25" i="36" s="1"/>
  <c r="E26" i="38"/>
  <c r="E41" i="37"/>
  <c r="BF41" i="37" s="1"/>
  <c r="E38" i="36"/>
  <c r="E25" i="36"/>
  <c r="E29" i="40" s="1"/>
  <c r="BH36" i="36"/>
  <c r="AK15" i="40"/>
  <c r="BH15" i="40" s="1"/>
  <c r="BG36" i="36"/>
  <c r="X15" i="40"/>
  <c r="BG15" i="40" s="1"/>
  <c r="AK26" i="37"/>
  <c r="AK33" i="40" s="1"/>
  <c r="BH33" i="40" s="1"/>
  <c r="BH24" i="37"/>
  <c r="BH26" i="37" s="1"/>
  <c r="E26" i="37"/>
  <c r="E33" i="40" s="1"/>
  <c r="BF24" i="37"/>
  <c r="BF26" i="37" s="1"/>
  <c r="BG24" i="37"/>
  <c r="BG26" i="37" s="1"/>
  <c r="X26" i="37"/>
  <c r="X33" i="40" s="1"/>
  <c r="BG33" i="40" s="1"/>
  <c r="BF39" i="37"/>
  <c r="BG39" i="37"/>
  <c r="BG46" i="38"/>
  <c r="BG48" i="38" s="1"/>
  <c r="X48" i="38"/>
  <c r="X41" i="40" s="1"/>
  <c r="BG41" i="40" s="1"/>
  <c r="BH46" i="38"/>
  <c r="BH48" i="38" s="1"/>
  <c r="AK48" i="38"/>
  <c r="AK41" i="40" s="1"/>
  <c r="BH41" i="40" s="1"/>
  <c r="BF46" i="38"/>
  <c r="BF48" i="38" s="1"/>
  <c r="E48" i="38"/>
  <c r="E41" i="40" s="1"/>
  <c r="BF41" i="40" s="1"/>
  <c r="BF29" i="40" l="1"/>
  <c r="AL24" i="35"/>
  <c r="AL19" i="40" s="1"/>
  <c r="E43" i="37"/>
  <c r="E35" i="40" s="1"/>
  <c r="BF35" i="40" s="1"/>
  <c r="S28" i="38"/>
  <c r="S39" i="40" s="1"/>
  <c r="S24" i="35"/>
  <c r="S19" i="40" s="1"/>
  <c r="L48" i="35"/>
  <c r="L26" i="40" s="1"/>
  <c r="Z24" i="35"/>
  <c r="Z19" i="40" s="1"/>
  <c r="AM24" i="40"/>
  <c r="BC24" i="40"/>
  <c r="W24" i="38"/>
  <c r="W28" i="38" s="1"/>
  <c r="W39" i="40" s="1"/>
  <c r="AB24" i="35"/>
  <c r="AB19" i="40" s="1"/>
  <c r="J24" i="35"/>
  <c r="J19" i="40" s="1"/>
  <c r="BG25" i="36"/>
  <c r="L24" i="38"/>
  <c r="L28" i="38" s="1"/>
  <c r="L39" i="40" s="1"/>
  <c r="L24" i="35"/>
  <c r="L19" i="40" s="1"/>
  <c r="AO48" i="35"/>
  <c r="AO26" i="40" s="1"/>
  <c r="BH29" i="40"/>
  <c r="AZ48" i="35"/>
  <c r="AZ26" i="40" s="1"/>
  <c r="S48" i="35"/>
  <c r="S26" i="40" s="1"/>
  <c r="U48" i="35"/>
  <c r="U26" i="40" s="1"/>
  <c r="BF33" i="40"/>
  <c r="D30" i="43"/>
  <c r="D26" i="43"/>
  <c r="D38" i="43"/>
  <c r="D32" i="43"/>
  <c r="I24" i="35"/>
  <c r="I19" i="40" s="1"/>
  <c r="D40" i="43"/>
  <c r="D18" i="43"/>
  <c r="AS24" i="35"/>
  <c r="AS19" i="40" s="1"/>
  <c r="BH22" i="35"/>
  <c r="BH19" i="40"/>
  <c r="AC24" i="35"/>
  <c r="AC19" i="40" s="1"/>
  <c r="U24" i="35"/>
  <c r="U19" i="40" s="1"/>
  <c r="M24" i="35"/>
  <c r="M19" i="40" s="1"/>
  <c r="BF46" i="35"/>
  <c r="F48" i="35"/>
  <c r="F26" i="40" s="1"/>
  <c r="F24" i="40"/>
  <c r="BF24" i="40" s="1"/>
  <c r="BF41" i="35"/>
  <c r="F24" i="38"/>
  <c r="BF22" i="35"/>
  <c r="F16" i="39"/>
  <c r="F24" i="35"/>
  <c r="F19" i="40" s="1"/>
  <c r="BH15" i="35"/>
  <c r="AK17" i="40"/>
  <c r="BH17" i="40" s="1"/>
  <c r="BH46" i="35"/>
  <c r="AK48" i="35"/>
  <c r="AK26" i="40" s="1"/>
  <c r="BG15" i="35"/>
  <c r="X17" i="40"/>
  <c r="BG17" i="40" s="1"/>
  <c r="BH16" i="39"/>
  <c r="BH18" i="39" s="1"/>
  <c r="AK18" i="39"/>
  <c r="AK43" i="40" s="1"/>
  <c r="BH43" i="40" s="1"/>
  <c r="BF15" i="35"/>
  <c r="F17" i="40"/>
  <c r="BF17" i="40" s="1"/>
  <c r="BG46" i="35"/>
  <c r="X48" i="35"/>
  <c r="X26" i="40" s="1"/>
  <c r="BG26" i="40" s="1"/>
  <c r="BG41" i="35"/>
  <c r="X24" i="40"/>
  <c r="X24" i="38"/>
  <c r="BG24" i="38" s="1"/>
  <c r="X16" i="39"/>
  <c r="BG22" i="35"/>
  <c r="X24" i="35"/>
  <c r="X19" i="40" s="1"/>
  <c r="AK24" i="40"/>
  <c r="BH24" i="40" s="1"/>
  <c r="BH41" i="35"/>
  <c r="AK24" i="38"/>
  <c r="BH24" i="38" s="1"/>
  <c r="BG24" i="40"/>
  <c r="BF43" i="37"/>
  <c r="BF38" i="36"/>
  <c r="BF40" i="36" s="1"/>
  <c r="E40" i="36"/>
  <c r="E31" i="40" s="1"/>
  <c r="BF26" i="38"/>
  <c r="E28" i="38"/>
  <c r="E39" i="40" s="1"/>
  <c r="BG41" i="37"/>
  <c r="BG43" i="37" s="1"/>
  <c r="X43" i="37"/>
  <c r="X35" i="40" s="1"/>
  <c r="BG35" i="40" s="1"/>
  <c r="BH38" i="36"/>
  <c r="BH40" i="36" s="1"/>
  <c r="AK40" i="36"/>
  <c r="AK31" i="40" s="1"/>
  <c r="BH31" i="40" s="1"/>
  <c r="BH26" i="38"/>
  <c r="BG38" i="36"/>
  <c r="BG40" i="36" s="1"/>
  <c r="X40" i="36"/>
  <c r="X31" i="40" s="1"/>
  <c r="BG31" i="40" s="1"/>
  <c r="BG26" i="38"/>
  <c r="AK43" i="37"/>
  <c r="AK35" i="40" s="1"/>
  <c r="BH35" i="40" s="1"/>
  <c r="BH41" i="37"/>
  <c r="BH43" i="37" s="1"/>
  <c r="C55" i="13"/>
  <c r="BH26" i="40" l="1"/>
  <c r="BG19" i="40"/>
  <c r="BG24" i="35"/>
  <c r="BF26" i="40"/>
  <c r="AK28" i="38"/>
  <c r="AK39" i="40" s="1"/>
  <c r="BH39" i="40" s="1"/>
  <c r="BF19" i="40"/>
  <c r="BF31" i="40"/>
  <c r="D28" i="43"/>
  <c r="BH24" i="35"/>
  <c r="BG28" i="38"/>
  <c r="X28" i="38"/>
  <c r="X39" i="40" s="1"/>
  <c r="BG39" i="40" s="1"/>
  <c r="BG48" i="35"/>
  <c r="BH48" i="35"/>
  <c r="D24" i="43"/>
  <c r="D22" i="43"/>
  <c r="BF24" i="38"/>
  <c r="BF28" i="38" s="1"/>
  <c r="F28" i="38"/>
  <c r="F39" i="40" s="1"/>
  <c r="BF48" i="35"/>
  <c r="BH28" i="38"/>
  <c r="F18" i="39"/>
  <c r="F43" i="40" s="1"/>
  <c r="BF43" i="40" s="1"/>
  <c r="BF16" i="39"/>
  <c r="BF18" i="39" s="1"/>
  <c r="X18" i="39"/>
  <c r="X43" i="40" s="1"/>
  <c r="BG43" i="40" s="1"/>
  <c r="BG16" i="39"/>
  <c r="BG18" i="39" s="1"/>
  <c r="BF24" i="35"/>
  <c r="BI38" i="42"/>
  <c r="BI39" i="42"/>
  <c r="BI40" i="42"/>
  <c r="BI41" i="42"/>
  <c r="BI42" i="42"/>
  <c r="BI43" i="42"/>
  <c r="BI44" i="42"/>
  <c r="BI45" i="42"/>
  <c r="BI46" i="42"/>
  <c r="BI47" i="42"/>
  <c r="BI48" i="42"/>
  <c r="BI49" i="42"/>
  <c r="BI50" i="42"/>
  <c r="BI51" i="42"/>
  <c r="BI52" i="42"/>
  <c r="BI53" i="42"/>
  <c r="BI54" i="42"/>
  <c r="BI55" i="42"/>
  <c r="BH38" i="42"/>
  <c r="BH39" i="42"/>
  <c r="BH40" i="42"/>
  <c r="BH41" i="42"/>
  <c r="BH42" i="42"/>
  <c r="BH43" i="42"/>
  <c r="BH44" i="42"/>
  <c r="BH45" i="42"/>
  <c r="BH46" i="42"/>
  <c r="BH47" i="42"/>
  <c r="BH48" i="42"/>
  <c r="BH49" i="42"/>
  <c r="BH50" i="42"/>
  <c r="BH51" i="42"/>
  <c r="BH52" i="42"/>
  <c r="BH53" i="42"/>
  <c r="BH54" i="42"/>
  <c r="BH55" i="42"/>
  <c r="BG38" i="42"/>
  <c r="BG39" i="42"/>
  <c r="BG40" i="42"/>
  <c r="BG41" i="42"/>
  <c r="BG42" i="42"/>
  <c r="BG43" i="42"/>
  <c r="BG44" i="42"/>
  <c r="BG45" i="42"/>
  <c r="BG46" i="42"/>
  <c r="BG47" i="42"/>
  <c r="BG48" i="42"/>
  <c r="BG49" i="42"/>
  <c r="BG50" i="42"/>
  <c r="BG51" i="42"/>
  <c r="BG52" i="42"/>
  <c r="BG53" i="42"/>
  <c r="BG54" i="42"/>
  <c r="BG55" i="42"/>
  <c r="BF38" i="42"/>
  <c r="D42" i="38" s="1"/>
  <c r="BF39" i="42"/>
  <c r="D43" i="38" s="1"/>
  <c r="BF40" i="42"/>
  <c r="D44" i="38" s="1"/>
  <c r="BF41" i="42"/>
  <c r="D34" i="38" s="1"/>
  <c r="BF42" i="42"/>
  <c r="D35" i="38" s="1"/>
  <c r="BF43" i="42"/>
  <c r="D36" i="38" s="1"/>
  <c r="BF44" i="42"/>
  <c r="D37" i="38" s="1"/>
  <c r="BF45" i="42"/>
  <c r="D38" i="38" s="1"/>
  <c r="BF46" i="42"/>
  <c r="D39" i="35" s="1"/>
  <c r="BF47" i="42"/>
  <c r="D33" i="35" s="1"/>
  <c r="BF48" i="42"/>
  <c r="BF49" i="42"/>
  <c r="D20" i="35" s="1"/>
  <c r="BF50" i="42"/>
  <c r="D18" i="36" s="1"/>
  <c r="BF51" i="42"/>
  <c r="D38" i="35" s="1"/>
  <c r="BF52" i="42"/>
  <c r="D21" i="36" s="1"/>
  <c r="BF53" i="42"/>
  <c r="D19" i="36" s="1"/>
  <c r="BF54" i="42"/>
  <c r="BF55" i="42"/>
  <c r="BI20" i="42"/>
  <c r="BI21" i="42"/>
  <c r="BI22" i="42"/>
  <c r="BI23" i="42"/>
  <c r="BI24" i="42"/>
  <c r="BI25" i="42"/>
  <c r="BI26" i="42"/>
  <c r="BI27" i="42"/>
  <c r="BI28" i="42"/>
  <c r="BI29" i="42"/>
  <c r="BI30" i="42"/>
  <c r="BI31" i="42"/>
  <c r="BI32" i="42"/>
  <c r="BI33" i="42"/>
  <c r="BI34" i="42"/>
  <c r="BH20" i="42"/>
  <c r="BH21" i="42"/>
  <c r="BH22" i="42"/>
  <c r="BH23" i="42"/>
  <c r="BH24" i="42"/>
  <c r="BH25" i="42"/>
  <c r="BH26" i="42"/>
  <c r="BH27" i="42"/>
  <c r="BH28" i="42"/>
  <c r="BH29" i="42"/>
  <c r="BH30" i="42"/>
  <c r="BH31" i="42"/>
  <c r="BH32" i="42"/>
  <c r="BH33" i="42"/>
  <c r="BH34" i="42"/>
  <c r="BG20" i="42"/>
  <c r="BG21" i="42"/>
  <c r="BG22" i="42"/>
  <c r="BG23" i="42"/>
  <c r="BG24" i="42"/>
  <c r="BG25" i="42"/>
  <c r="BG26" i="42"/>
  <c r="BG27" i="42"/>
  <c r="BG28" i="42"/>
  <c r="BG29" i="42"/>
  <c r="BG30" i="42"/>
  <c r="BG31" i="42"/>
  <c r="BG32" i="42"/>
  <c r="BG33" i="42"/>
  <c r="BG34" i="42"/>
  <c r="BF20" i="42"/>
  <c r="D34" i="37" s="1"/>
  <c r="BF21" i="42"/>
  <c r="D33" i="38" s="1"/>
  <c r="BF22" i="42"/>
  <c r="D12" i="36" s="1"/>
  <c r="BF23" i="42"/>
  <c r="D18" i="37" s="1"/>
  <c r="BF24" i="42"/>
  <c r="D32" i="35" s="1"/>
  <c r="BF25" i="42"/>
  <c r="D19" i="37" s="1"/>
  <c r="BF26" i="42"/>
  <c r="BF27" i="42"/>
  <c r="BF28" i="42"/>
  <c r="D20" i="37" s="1"/>
  <c r="BF29" i="42"/>
  <c r="D21" i="37" s="1"/>
  <c r="BF30" i="42"/>
  <c r="D22" i="37" s="1"/>
  <c r="BF31" i="42"/>
  <c r="D37" i="35" s="1"/>
  <c r="BF32" i="42"/>
  <c r="BF33" i="42"/>
  <c r="BF34" i="42"/>
  <c r="BI17" i="42"/>
  <c r="BH17" i="42"/>
  <c r="BG17" i="42"/>
  <c r="BF17" i="42"/>
  <c r="D14" i="37" s="1"/>
  <c r="BI8" i="42"/>
  <c r="BH8" i="42"/>
  <c r="BG8" i="42"/>
  <c r="BF8" i="42"/>
  <c r="D12" i="38" s="1"/>
  <c r="BF39" i="40" l="1"/>
  <c r="D36" i="43"/>
  <c r="D36" i="37"/>
  <c r="D35" i="35"/>
  <c r="D30" i="35"/>
  <c r="D19" i="35"/>
  <c r="D33" i="37"/>
  <c r="D18" i="35"/>
  <c r="D17" i="35"/>
  <c r="D37" i="37"/>
  <c r="D36" i="35"/>
  <c r="D32" i="37"/>
  <c r="D31" i="35"/>
  <c r="D20" i="36"/>
  <c r="D13" i="36"/>
  <c r="D34" i="35"/>
  <c r="D35" i="37"/>
  <c r="D17" i="37"/>
  <c r="D12" i="35"/>
  <c r="BI61" i="42"/>
  <c r="BH61" i="42"/>
  <c r="BG61" i="42"/>
  <c r="BF61" i="42"/>
  <c r="D44" i="35" s="1"/>
  <c r="BI58" i="42"/>
  <c r="BH58" i="42"/>
  <c r="BG58" i="42"/>
  <c r="BF58" i="42"/>
  <c r="BI37" i="42"/>
  <c r="BH37" i="42"/>
  <c r="BG37" i="42"/>
  <c r="BF37" i="42"/>
  <c r="D17" i="36" s="1"/>
  <c r="BI19" i="42"/>
  <c r="BH19" i="42"/>
  <c r="BG19" i="42"/>
  <c r="BF19" i="42"/>
  <c r="D16" i="37" s="1"/>
  <c r="BI18" i="42"/>
  <c r="BH18" i="42"/>
  <c r="BG18" i="42"/>
  <c r="BF18" i="42"/>
  <c r="D15" i="37" s="1"/>
  <c r="BI14" i="42"/>
  <c r="BH14" i="42"/>
  <c r="BG14" i="42"/>
  <c r="BF14" i="42"/>
  <c r="D12" i="39" s="1"/>
  <c r="BI13" i="42"/>
  <c r="BH13" i="42"/>
  <c r="BG13" i="42"/>
  <c r="BF13" i="42"/>
  <c r="BI12" i="42"/>
  <c r="BH12" i="42"/>
  <c r="BG12" i="42"/>
  <c r="BF12" i="42"/>
  <c r="D34" i="36" s="1"/>
  <c r="BI11" i="42"/>
  <c r="BH11" i="42"/>
  <c r="BG11" i="42"/>
  <c r="BF11" i="42"/>
  <c r="D33" i="36" s="1"/>
  <c r="BI10" i="42"/>
  <c r="BH10" i="42"/>
  <c r="BG10" i="42"/>
  <c r="BF10" i="42"/>
  <c r="D32" i="36" s="1"/>
  <c r="BI9" i="42"/>
  <c r="BH9" i="42"/>
  <c r="BG9" i="42"/>
  <c r="BF9" i="42"/>
  <c r="D31" i="36" s="1"/>
  <c r="BI5" i="42"/>
  <c r="BH5" i="42"/>
  <c r="BG5" i="42"/>
  <c r="BF5" i="42"/>
  <c r="BE2" i="42"/>
  <c r="BD2" i="42"/>
  <c r="BC2" i="42"/>
  <c r="BB2" i="42"/>
  <c r="BA2" i="42"/>
  <c r="AZ2" i="42"/>
  <c r="AY2" i="42"/>
  <c r="AX2" i="42"/>
  <c r="AW2" i="42"/>
  <c r="AV2" i="42"/>
  <c r="AU2" i="42"/>
  <c r="AT2" i="42"/>
  <c r="AS2" i="42"/>
  <c r="AR2" i="42"/>
  <c r="AQ2" i="42"/>
  <c r="AP2" i="42"/>
  <c r="AO2" i="42"/>
  <c r="AN2" i="42"/>
  <c r="AM2" i="42"/>
  <c r="AL2" i="42"/>
  <c r="AK2" i="42"/>
  <c r="AJ2" i="42"/>
  <c r="AI2" i="42"/>
  <c r="AH2" i="42"/>
  <c r="AG2" i="42"/>
  <c r="AF2" i="42"/>
  <c r="AE2" i="42"/>
  <c r="AD2" i="42"/>
  <c r="AC2" i="42"/>
  <c r="AB2" i="42"/>
  <c r="AA2" i="42"/>
  <c r="Z2" i="42"/>
  <c r="Y2" i="42"/>
  <c r="X2" i="42"/>
  <c r="W2" i="42"/>
  <c r="V2" i="42"/>
  <c r="U2" i="42"/>
  <c r="T2" i="42"/>
  <c r="S2" i="42"/>
  <c r="R2" i="42"/>
  <c r="Q2" i="42"/>
  <c r="P2" i="42"/>
  <c r="O2" i="42"/>
  <c r="N2" i="42"/>
  <c r="M2" i="42"/>
  <c r="L2" i="42"/>
  <c r="K2" i="42"/>
  <c r="J2" i="42"/>
  <c r="I2" i="42"/>
  <c r="H2" i="42"/>
  <c r="G2" i="42"/>
  <c r="F2" i="42"/>
  <c r="E2" i="42"/>
  <c r="D12" i="37" l="1"/>
  <c r="D43" i="35"/>
  <c r="D13" i="38"/>
  <c r="D13" i="35"/>
  <c r="BF2" i="42"/>
  <c r="D17" i="38" s="1"/>
  <c r="BH2" i="42"/>
  <c r="BG2" i="42"/>
  <c r="BI2" i="42"/>
  <c r="D4" i="22" l="1"/>
  <c r="E4" i="22"/>
  <c r="F4" i="22"/>
  <c r="G4" i="22"/>
  <c r="H4" i="22"/>
  <c r="I4" i="22"/>
  <c r="J4" i="22"/>
  <c r="K4" i="22"/>
  <c r="L4" i="22"/>
  <c r="M4" i="22"/>
  <c r="N4" i="22"/>
  <c r="O4" i="22"/>
  <c r="P4" i="22"/>
  <c r="Q4" i="22"/>
  <c r="R4" i="22"/>
  <c r="S4" i="22"/>
  <c r="T4" i="22"/>
  <c r="U4" i="22"/>
  <c r="V4" i="22"/>
  <c r="W4" i="22"/>
  <c r="X4" i="22"/>
  <c r="Y4" i="22"/>
  <c r="Z4" i="22"/>
  <c r="AA4" i="22"/>
  <c r="AB4" i="22"/>
  <c r="AC4" i="22"/>
  <c r="AD4" i="22"/>
  <c r="AE4" i="22"/>
  <c r="AF4" i="22"/>
  <c r="AG4" i="22"/>
  <c r="AH4" i="22"/>
  <c r="AI4" i="22"/>
  <c r="AJ4" i="22"/>
  <c r="AL4" i="22"/>
  <c r="AM4" i="22"/>
  <c r="AN4" i="22"/>
  <c r="AO4" i="22"/>
  <c r="AP4" i="22"/>
  <c r="AQ4" i="22"/>
  <c r="AR4" i="22"/>
  <c r="AS4" i="22"/>
  <c r="AT4" i="22"/>
  <c r="AU4" i="22"/>
  <c r="AV4" i="22"/>
  <c r="AW4" i="22"/>
  <c r="AX4" i="22"/>
  <c r="AY4" i="22"/>
  <c r="AZ4" i="22"/>
  <c r="BA4" i="22"/>
  <c r="BB4" i="22"/>
  <c r="BC4" i="22"/>
  <c r="D8" i="22"/>
  <c r="E8" i="22"/>
  <c r="F8" i="22"/>
  <c r="G8" i="22"/>
  <c r="H8" i="22"/>
  <c r="I8" i="22"/>
  <c r="J8" i="22"/>
  <c r="K8" i="22"/>
  <c r="L8" i="22"/>
  <c r="M8" i="22"/>
  <c r="N8" i="22"/>
  <c r="O8" i="22"/>
  <c r="P8" i="22"/>
  <c r="Q8" i="22"/>
  <c r="R8" i="22"/>
  <c r="S8" i="22"/>
  <c r="T8" i="22"/>
  <c r="U8" i="22"/>
  <c r="V8" i="22"/>
  <c r="W8" i="22"/>
  <c r="X8" i="22"/>
  <c r="Y8" i="22"/>
  <c r="Z8" i="22"/>
  <c r="AA8" i="22"/>
  <c r="AB8" i="22"/>
  <c r="AC8" i="22"/>
  <c r="AD8" i="22"/>
  <c r="AE8" i="22"/>
  <c r="AF8" i="22"/>
  <c r="AG8" i="22"/>
  <c r="AH8" i="22"/>
  <c r="AI8" i="22"/>
  <c r="AJ8" i="22"/>
  <c r="AK8" i="22"/>
  <c r="AL8" i="22"/>
  <c r="AM8" i="22"/>
  <c r="AN8" i="22"/>
  <c r="AO8" i="22"/>
  <c r="AP8" i="22"/>
  <c r="AQ8" i="22"/>
  <c r="AR8" i="22"/>
  <c r="AS8" i="22"/>
  <c r="AT8" i="22"/>
  <c r="AU8" i="22"/>
  <c r="AV8" i="22"/>
  <c r="AW8" i="22"/>
  <c r="AX8" i="22"/>
  <c r="AY8" i="22"/>
  <c r="AZ8" i="22"/>
  <c r="BA8" i="22"/>
  <c r="BB8" i="22"/>
  <c r="BC8" i="22"/>
  <c r="D12" i="22"/>
  <c r="E12" i="22"/>
  <c r="F12" i="22"/>
  <c r="G12" i="22"/>
  <c r="H12" i="22"/>
  <c r="I12" i="22"/>
  <c r="J12" i="22"/>
  <c r="K12" i="22"/>
  <c r="L12" i="22"/>
  <c r="M12" i="22"/>
  <c r="N12" i="22"/>
  <c r="O12" i="22"/>
  <c r="P12" i="22"/>
  <c r="Q12" i="22"/>
  <c r="R12" i="22"/>
  <c r="S12" i="22"/>
  <c r="T12" i="22"/>
  <c r="U12" i="22"/>
  <c r="V12" i="22"/>
  <c r="W12" i="22"/>
  <c r="X12" i="22"/>
  <c r="Y12" i="22"/>
  <c r="Z12" i="22"/>
  <c r="AA12" i="22"/>
  <c r="AB12" i="22"/>
  <c r="AC12" i="22"/>
  <c r="AD12" i="22"/>
  <c r="AE12" i="22"/>
  <c r="AF12" i="22"/>
  <c r="AG12" i="22"/>
  <c r="AH12" i="22"/>
  <c r="AI12" i="22"/>
  <c r="AJ12" i="22"/>
  <c r="AK12" i="22"/>
  <c r="AL12" i="22"/>
  <c r="AM12" i="22"/>
  <c r="AN12" i="22"/>
  <c r="AO12" i="22"/>
  <c r="AP12" i="22"/>
  <c r="AQ12" i="22"/>
  <c r="AR12" i="22"/>
  <c r="AS12" i="22"/>
  <c r="AT12" i="22"/>
  <c r="AU12" i="22"/>
  <c r="AV12" i="22"/>
  <c r="AW12" i="22"/>
  <c r="AX12" i="22"/>
  <c r="AY12" i="22"/>
  <c r="AZ12" i="22"/>
  <c r="BA12" i="22"/>
  <c r="BB12" i="22"/>
  <c r="BC12" i="22"/>
  <c r="D16" i="22"/>
  <c r="E16" i="22"/>
  <c r="F16" i="22"/>
  <c r="G16" i="22"/>
  <c r="H16" i="22"/>
  <c r="I16" i="22"/>
  <c r="J16" i="22"/>
  <c r="K16" i="22"/>
  <c r="L16" i="22"/>
  <c r="M16" i="22"/>
  <c r="N16" i="22"/>
  <c r="O16" i="22"/>
  <c r="P16" i="22"/>
  <c r="Q16" i="22"/>
  <c r="R16" i="22"/>
  <c r="S16" i="22"/>
  <c r="T16" i="22"/>
  <c r="U16" i="22"/>
  <c r="V16" i="22"/>
  <c r="W16" i="22"/>
  <c r="X16" i="22"/>
  <c r="Y16" i="22"/>
  <c r="Z16" i="22"/>
  <c r="AA16" i="22"/>
  <c r="AB16" i="22"/>
  <c r="AC16" i="22"/>
  <c r="AD16" i="22"/>
  <c r="AE16" i="22"/>
  <c r="AF16" i="22"/>
  <c r="AG16" i="22"/>
  <c r="AH16" i="22"/>
  <c r="AI16" i="22"/>
  <c r="AJ16" i="22"/>
  <c r="AK16" i="22"/>
  <c r="AL16" i="22"/>
  <c r="AM16" i="22"/>
  <c r="AN16" i="22"/>
  <c r="AO16" i="22"/>
  <c r="AP16" i="22"/>
  <c r="AQ16" i="22"/>
  <c r="AR16" i="22"/>
  <c r="AS16" i="22"/>
  <c r="AT16" i="22"/>
  <c r="AU16" i="22"/>
  <c r="AV16" i="22"/>
  <c r="AW16" i="22"/>
  <c r="AX16" i="22"/>
  <c r="AY16" i="22"/>
  <c r="AZ16" i="22"/>
  <c r="BA16" i="22"/>
  <c r="BB16" i="22"/>
  <c r="BC16" i="22"/>
  <c r="D20" i="22"/>
  <c r="E20" i="22"/>
  <c r="F20" i="22"/>
  <c r="G20" i="22"/>
  <c r="H20" i="22"/>
  <c r="I20" i="22"/>
  <c r="J20" i="22"/>
  <c r="K20" i="22"/>
  <c r="L20" i="22"/>
  <c r="M20" i="22"/>
  <c r="N20" i="22"/>
  <c r="O20" i="22"/>
  <c r="P20" i="22"/>
  <c r="Q20" i="22"/>
  <c r="R20" i="22"/>
  <c r="S20" i="22"/>
  <c r="T20" i="22"/>
  <c r="U20" i="22"/>
  <c r="V20" i="22"/>
  <c r="W20" i="22"/>
  <c r="X20" i="22"/>
  <c r="Y20" i="22"/>
  <c r="Z20" i="22"/>
  <c r="AA20" i="22"/>
  <c r="AB20" i="22"/>
  <c r="AC20" i="22"/>
  <c r="AD20" i="22"/>
  <c r="AE20" i="22"/>
  <c r="AF20" i="22"/>
  <c r="AG20" i="22"/>
  <c r="AH20" i="22"/>
  <c r="AI20" i="22"/>
  <c r="AJ20" i="22"/>
  <c r="AK20" i="22"/>
  <c r="AL20" i="22"/>
  <c r="AM20" i="22"/>
  <c r="AN20" i="22"/>
  <c r="AO20" i="22"/>
  <c r="AP20" i="22"/>
  <c r="AQ20" i="22"/>
  <c r="AR20" i="22"/>
  <c r="AS20" i="22"/>
  <c r="AT20" i="22"/>
  <c r="AU20" i="22"/>
  <c r="AV20" i="22"/>
  <c r="AW20" i="22"/>
  <c r="AX20" i="22"/>
  <c r="AY20" i="22"/>
  <c r="AZ20" i="22"/>
  <c r="BA20" i="22"/>
  <c r="BB20" i="22"/>
  <c r="BC20" i="22"/>
  <c r="D24" i="22"/>
  <c r="E24" i="22"/>
  <c r="F24" i="22"/>
  <c r="G24" i="22"/>
  <c r="H24" i="22"/>
  <c r="I24" i="22"/>
  <c r="J24" i="22"/>
  <c r="K24" i="22"/>
  <c r="L24" i="22"/>
  <c r="M24" i="22"/>
  <c r="N24" i="22"/>
  <c r="O24" i="22"/>
  <c r="P24" i="22"/>
  <c r="Q24" i="22"/>
  <c r="R24" i="22"/>
  <c r="S24" i="22"/>
  <c r="T24" i="22"/>
  <c r="U24" i="22"/>
  <c r="V24" i="22"/>
  <c r="W24" i="22"/>
  <c r="X24" i="22"/>
  <c r="Y24" i="22"/>
  <c r="Z24" i="22"/>
  <c r="AA24" i="22"/>
  <c r="AB24" i="22"/>
  <c r="AC24" i="22"/>
  <c r="AD24" i="22"/>
  <c r="AE24" i="22"/>
  <c r="AF24" i="22"/>
  <c r="AG24" i="22"/>
  <c r="AH24" i="22"/>
  <c r="AI24" i="22"/>
  <c r="AJ24" i="22"/>
  <c r="AK24" i="22"/>
  <c r="AL24" i="22"/>
  <c r="AM24" i="22"/>
  <c r="AN24" i="22"/>
  <c r="AO24" i="22"/>
  <c r="AP24" i="22"/>
  <c r="AQ24" i="22"/>
  <c r="AR24" i="22"/>
  <c r="AS24" i="22"/>
  <c r="AT24" i="22"/>
  <c r="AU24" i="22"/>
  <c r="AV24" i="22"/>
  <c r="AW24" i="22"/>
  <c r="AX24" i="22"/>
  <c r="AY24" i="22"/>
  <c r="AZ24" i="22"/>
  <c r="BA24" i="22"/>
  <c r="BB24" i="22"/>
  <c r="BC24" i="22"/>
  <c r="D28" i="22"/>
  <c r="E28" i="22"/>
  <c r="F28" i="22"/>
  <c r="G28" i="22"/>
  <c r="H28" i="22"/>
  <c r="I28" i="22"/>
  <c r="J28" i="22"/>
  <c r="K28" i="22"/>
  <c r="L28" i="22"/>
  <c r="M28" i="22"/>
  <c r="N28" i="22"/>
  <c r="O28" i="22"/>
  <c r="P28" i="22"/>
  <c r="Q28" i="22"/>
  <c r="R28" i="22"/>
  <c r="S28" i="22"/>
  <c r="T28" i="22"/>
  <c r="U28" i="22"/>
  <c r="V28" i="22"/>
  <c r="W28" i="22"/>
  <c r="X28" i="22"/>
  <c r="Y28" i="22"/>
  <c r="Z28" i="22"/>
  <c r="AA28" i="22"/>
  <c r="AB28" i="22"/>
  <c r="AC28" i="22"/>
  <c r="AD28" i="22"/>
  <c r="AE28" i="22"/>
  <c r="AF28" i="22"/>
  <c r="AG28" i="22"/>
  <c r="AH28" i="22"/>
  <c r="AI28" i="22"/>
  <c r="AJ28" i="22"/>
  <c r="AK28" i="22"/>
  <c r="AL28" i="22"/>
  <c r="AM28" i="22"/>
  <c r="AN28" i="22"/>
  <c r="AO28" i="22"/>
  <c r="AP28" i="22"/>
  <c r="AQ28" i="22"/>
  <c r="AR28" i="22"/>
  <c r="AS28" i="22"/>
  <c r="AT28" i="22"/>
  <c r="AU28" i="22"/>
  <c r="AV28" i="22"/>
  <c r="AW28" i="22"/>
  <c r="AX28" i="22"/>
  <c r="AY28" i="22"/>
  <c r="AZ28" i="22"/>
  <c r="BA28" i="22"/>
  <c r="BB28" i="22"/>
  <c r="BC28" i="22"/>
  <c r="D32" i="22"/>
  <c r="E32" i="22"/>
  <c r="F32" i="22"/>
  <c r="G32" i="22"/>
  <c r="H32" i="22"/>
  <c r="I32" i="22"/>
  <c r="J32" i="22"/>
  <c r="K32" i="22"/>
  <c r="L32" i="22"/>
  <c r="M32" i="22"/>
  <c r="N32" i="22"/>
  <c r="O32" i="22"/>
  <c r="P32" i="22"/>
  <c r="Q32" i="22"/>
  <c r="R32" i="22"/>
  <c r="S32" i="22"/>
  <c r="T32" i="22"/>
  <c r="U32" i="22"/>
  <c r="V32" i="22"/>
  <c r="W32" i="22"/>
  <c r="X32" i="22"/>
  <c r="Y32" i="22"/>
  <c r="Z32" i="22"/>
  <c r="AA32" i="22"/>
  <c r="AB32" i="22"/>
  <c r="AC32" i="22"/>
  <c r="AD32" i="22"/>
  <c r="AE32" i="22"/>
  <c r="AF32" i="22"/>
  <c r="AG32" i="22"/>
  <c r="AH32" i="22"/>
  <c r="AI32" i="22"/>
  <c r="AJ32" i="22"/>
  <c r="AK32" i="22"/>
  <c r="AL32" i="22"/>
  <c r="AM32" i="22"/>
  <c r="AN32" i="22"/>
  <c r="AO32" i="22"/>
  <c r="AP32" i="22"/>
  <c r="AQ32" i="22"/>
  <c r="AR32" i="22"/>
  <c r="AS32" i="22"/>
  <c r="AT32" i="22"/>
  <c r="AU32" i="22"/>
  <c r="AV32" i="22"/>
  <c r="AW32" i="22"/>
  <c r="AX32" i="22"/>
  <c r="AY32" i="22"/>
  <c r="AZ32" i="22"/>
  <c r="BA32" i="22"/>
  <c r="BB32" i="22"/>
  <c r="BC32" i="22"/>
  <c r="D36" i="22"/>
  <c r="E36" i="22"/>
  <c r="F36" i="22"/>
  <c r="G36" i="22"/>
  <c r="H36" i="22"/>
  <c r="I36" i="22"/>
  <c r="J36" i="22"/>
  <c r="K36" i="22"/>
  <c r="L36" i="22"/>
  <c r="M36" i="22"/>
  <c r="N36" i="22"/>
  <c r="O36" i="22"/>
  <c r="P36" i="22"/>
  <c r="Q36" i="22"/>
  <c r="R36" i="22"/>
  <c r="S36" i="22"/>
  <c r="T36" i="22"/>
  <c r="U36" i="22"/>
  <c r="V36" i="22"/>
  <c r="W36" i="22"/>
  <c r="X36" i="22"/>
  <c r="Y36" i="22"/>
  <c r="Z36" i="22"/>
  <c r="AA36" i="22"/>
  <c r="AB36" i="22"/>
  <c r="AC36" i="22"/>
  <c r="AD36" i="22"/>
  <c r="AE36" i="22"/>
  <c r="AF36" i="22"/>
  <c r="AG36" i="22"/>
  <c r="AH36" i="22"/>
  <c r="AI36" i="22"/>
  <c r="AJ36" i="22"/>
  <c r="AK36" i="22"/>
  <c r="AL36" i="22"/>
  <c r="AM36" i="22"/>
  <c r="AN36" i="22"/>
  <c r="AO36" i="22"/>
  <c r="AP36" i="22"/>
  <c r="AQ36" i="22"/>
  <c r="AR36" i="22"/>
  <c r="AS36" i="22"/>
  <c r="AT36" i="22"/>
  <c r="AU36" i="22"/>
  <c r="AV36" i="22"/>
  <c r="AW36" i="22"/>
  <c r="AX36" i="22"/>
  <c r="AY36" i="22"/>
  <c r="AZ36" i="22"/>
  <c r="BA36" i="22"/>
  <c r="BB36" i="22"/>
  <c r="BC36" i="22"/>
  <c r="D40" i="22"/>
  <c r="E40" i="22"/>
  <c r="F40" i="22"/>
  <c r="G40" i="22"/>
  <c r="H40" i="22"/>
  <c r="I40" i="22"/>
  <c r="J40" i="22"/>
  <c r="K40" i="22"/>
  <c r="L40" i="22"/>
  <c r="M40" i="22"/>
  <c r="N40" i="22"/>
  <c r="O40" i="22"/>
  <c r="P40" i="22"/>
  <c r="Q40" i="22"/>
  <c r="R40" i="22"/>
  <c r="S40" i="22"/>
  <c r="T40" i="22"/>
  <c r="U40" i="22"/>
  <c r="V40" i="22"/>
  <c r="W40" i="22"/>
  <c r="X40" i="22"/>
  <c r="Y40" i="22"/>
  <c r="Z40" i="22"/>
  <c r="AA40" i="22"/>
  <c r="AB40" i="22"/>
  <c r="AC40" i="22"/>
  <c r="AD40" i="22"/>
  <c r="AE40" i="22"/>
  <c r="AF40" i="22"/>
  <c r="AG40" i="22"/>
  <c r="AH40" i="22"/>
  <c r="AI40" i="22"/>
  <c r="AJ40" i="22"/>
  <c r="AK40" i="22"/>
  <c r="AL40" i="22"/>
  <c r="AM40" i="22"/>
  <c r="AN40" i="22"/>
  <c r="AO40" i="22"/>
  <c r="AP40" i="22"/>
  <c r="AQ40" i="22"/>
  <c r="AR40" i="22"/>
  <c r="AS40" i="22"/>
  <c r="AT40" i="22"/>
  <c r="AU40" i="22"/>
  <c r="AV40" i="22"/>
  <c r="AW40" i="22"/>
  <c r="AX40" i="22"/>
  <c r="AY40" i="22"/>
  <c r="AZ40" i="22"/>
  <c r="BA40" i="22"/>
  <c r="BB40" i="22"/>
  <c r="BC40" i="22"/>
  <c r="C40" i="22"/>
  <c r="C36" i="22"/>
  <c r="C32" i="22"/>
  <c r="C28" i="22"/>
  <c r="C24" i="22"/>
  <c r="C20" i="22"/>
  <c r="C16" i="22"/>
  <c r="C12" i="22"/>
  <c r="C8" i="22"/>
  <c r="C4" i="22"/>
  <c r="M44" i="22" l="1"/>
  <c r="D14" i="39"/>
  <c r="D46" i="38"/>
  <c r="D15" i="38"/>
  <c r="D19" i="38" s="1"/>
  <c r="D37" i="40" s="1"/>
  <c r="D39" i="37"/>
  <c r="D23" i="36"/>
  <c r="D15" i="36"/>
  <c r="D46" i="35"/>
  <c r="D41" i="35"/>
  <c r="D24" i="38" s="1"/>
  <c r="D22" i="35"/>
  <c r="D16" i="39" s="1"/>
  <c r="D15" i="35"/>
  <c r="D17" i="40" s="1"/>
  <c r="D26" i="38" l="1"/>
  <c r="D41" i="37"/>
  <c r="D43" i="37" s="1"/>
  <c r="D35" i="40" s="1"/>
  <c r="D48" i="35"/>
  <c r="D26" i="40" s="1"/>
  <c r="D18" i="39"/>
  <c r="D43" i="40" s="1"/>
  <c r="D24" i="35"/>
  <c r="D19" i="40" s="1"/>
  <c r="D24" i="40"/>
  <c r="D28" i="38"/>
  <c r="D39" i="40" s="1"/>
  <c r="D36" i="36"/>
  <c r="D15" i="40" s="1"/>
  <c r="D24" i="37"/>
  <c r="D26" i="37" s="1"/>
  <c r="D33" i="40" s="1"/>
  <c r="D40" i="38"/>
  <c r="D48" i="38" s="1"/>
  <c r="D41" i="40" s="1"/>
  <c r="D38" i="36"/>
  <c r="D25" i="36"/>
  <c r="D29" i="40" s="1"/>
  <c r="D40" i="36" l="1"/>
  <c r="D31" i="40" s="1"/>
  <c r="BI170" i="34"/>
  <c r="BI171" i="34"/>
  <c r="BI172" i="34"/>
  <c r="BI173" i="34"/>
  <c r="BI174" i="34"/>
  <c r="BI175" i="34"/>
  <c r="BH170" i="34"/>
  <c r="BH171" i="34"/>
  <c r="BH172" i="34"/>
  <c r="BH173" i="34"/>
  <c r="BH174" i="34"/>
  <c r="BH175" i="34"/>
  <c r="BG170" i="34"/>
  <c r="BG171" i="34"/>
  <c r="BG172" i="34"/>
  <c r="BG173" i="34"/>
  <c r="BG174" i="34"/>
  <c r="BG175" i="34"/>
  <c r="BF170" i="34"/>
  <c r="BF171" i="34"/>
  <c r="BF172" i="34"/>
  <c r="BF173" i="34"/>
  <c r="BF174" i="34"/>
  <c r="BF175" i="34"/>
  <c r="BI159" i="34"/>
  <c r="BI160" i="34"/>
  <c r="BI161" i="34"/>
  <c r="BI162" i="34"/>
  <c r="BI163" i="34"/>
  <c r="BI164" i="34"/>
  <c r="BI165" i="34"/>
  <c r="BI166" i="34"/>
  <c r="BH159" i="34"/>
  <c r="BH160" i="34"/>
  <c r="BH161" i="34"/>
  <c r="BH162" i="34"/>
  <c r="BH163" i="34"/>
  <c r="BH164" i="34"/>
  <c r="BH165" i="34"/>
  <c r="BH166" i="34"/>
  <c r="BG159" i="34"/>
  <c r="BG160" i="34"/>
  <c r="BG161" i="34"/>
  <c r="BG162" i="34"/>
  <c r="BG163" i="34"/>
  <c r="BG164" i="34"/>
  <c r="BG165" i="34"/>
  <c r="BG166" i="34"/>
  <c r="BF159" i="34"/>
  <c r="BF160" i="34"/>
  <c r="BF161" i="34"/>
  <c r="BF162" i="34"/>
  <c r="BF163" i="34"/>
  <c r="BF164" i="34"/>
  <c r="BF165" i="34"/>
  <c r="BF166" i="34"/>
  <c r="BI148" i="34"/>
  <c r="BI149" i="34"/>
  <c r="BI150" i="34"/>
  <c r="BI151" i="34"/>
  <c r="BI152" i="34"/>
  <c r="BI153" i="34"/>
  <c r="BI154" i="34"/>
  <c r="BI155" i="34"/>
  <c r="BH148" i="34"/>
  <c r="BH149" i="34"/>
  <c r="BH150" i="34"/>
  <c r="BH151" i="34"/>
  <c r="BH152" i="34"/>
  <c r="BH153" i="34"/>
  <c r="BH154" i="34"/>
  <c r="BH155" i="34"/>
  <c r="BG148" i="34"/>
  <c r="BG149" i="34"/>
  <c r="BG150" i="34"/>
  <c r="BG151" i="34"/>
  <c r="BG152" i="34"/>
  <c r="BG153" i="34"/>
  <c r="BG154" i="34"/>
  <c r="BG155" i="34"/>
  <c r="BF148" i="34"/>
  <c r="BF149" i="34"/>
  <c r="BF150" i="34"/>
  <c r="BF151" i="34"/>
  <c r="BF152" i="34"/>
  <c r="BF153" i="34"/>
  <c r="BF154" i="34"/>
  <c r="BF155" i="34"/>
  <c r="BI137" i="34"/>
  <c r="BI138" i="34"/>
  <c r="BI139" i="34"/>
  <c r="BI140" i="34"/>
  <c r="BI141" i="34"/>
  <c r="BI142" i="34"/>
  <c r="BI143" i="34"/>
  <c r="BI144" i="34"/>
  <c r="BH137" i="34"/>
  <c r="BH138" i="34"/>
  <c r="BH139" i="34"/>
  <c r="BH140" i="34"/>
  <c r="BH141" i="34"/>
  <c r="BH142" i="34"/>
  <c r="BH143" i="34"/>
  <c r="BH144" i="34"/>
  <c r="BG137" i="34"/>
  <c r="BG138" i="34"/>
  <c r="BG139" i="34"/>
  <c r="BG140" i="34"/>
  <c r="BG141" i="34"/>
  <c r="BG142" i="34"/>
  <c r="BG143" i="34"/>
  <c r="BG144" i="34"/>
  <c r="BF137" i="34"/>
  <c r="BF138" i="34"/>
  <c r="BF139" i="34"/>
  <c r="BF140" i="34"/>
  <c r="BF141" i="34"/>
  <c r="BF142" i="34"/>
  <c r="BF143" i="34"/>
  <c r="BF144" i="34"/>
  <c r="BI115" i="34"/>
  <c r="BI116" i="34"/>
  <c r="BI117" i="34"/>
  <c r="BI118" i="34"/>
  <c r="BI119" i="34"/>
  <c r="BI120" i="34"/>
  <c r="BI121" i="34"/>
  <c r="BI122" i="34"/>
  <c r="BH115" i="34"/>
  <c r="BH116" i="34"/>
  <c r="BH117" i="34"/>
  <c r="BH118" i="34"/>
  <c r="BH119" i="34"/>
  <c r="BH120" i="34"/>
  <c r="BH121" i="34"/>
  <c r="BH122" i="34"/>
  <c r="BG115" i="34"/>
  <c r="BG116" i="34"/>
  <c r="BG117" i="34"/>
  <c r="BG118" i="34"/>
  <c r="BG119" i="34"/>
  <c r="BG120" i="34"/>
  <c r="BG121" i="34"/>
  <c r="BG122" i="34"/>
  <c r="BF115" i="34"/>
  <c r="BF116" i="34"/>
  <c r="BF117" i="34"/>
  <c r="BF118" i="34"/>
  <c r="BF119" i="34"/>
  <c r="BF120" i="34"/>
  <c r="BF121" i="34"/>
  <c r="BF122" i="34"/>
  <c r="BI100" i="34"/>
  <c r="BI101" i="34"/>
  <c r="BI102" i="34"/>
  <c r="BI103" i="34"/>
  <c r="BI104" i="34"/>
  <c r="BI105" i="34"/>
  <c r="BI106" i="34"/>
  <c r="BH100" i="34"/>
  <c r="BH101" i="34"/>
  <c r="BH102" i="34"/>
  <c r="BH103" i="34"/>
  <c r="BH104" i="34"/>
  <c r="BH105" i="34"/>
  <c r="BH106" i="34"/>
  <c r="BG100" i="34"/>
  <c r="BG101" i="34"/>
  <c r="BG102" i="34"/>
  <c r="BG103" i="34"/>
  <c r="BG104" i="34"/>
  <c r="BG105" i="34"/>
  <c r="BG106" i="34"/>
  <c r="BF100" i="34"/>
  <c r="BF101" i="34"/>
  <c r="BF102" i="34"/>
  <c r="BF103" i="34"/>
  <c r="BF104" i="34"/>
  <c r="BF105" i="34"/>
  <c r="BF106" i="34"/>
  <c r="BI90" i="34"/>
  <c r="BI91" i="34"/>
  <c r="BI92" i="34"/>
  <c r="BI93" i="34"/>
  <c r="BI94" i="34"/>
  <c r="BI95" i="34"/>
  <c r="BI96" i="34"/>
  <c r="BH90" i="34"/>
  <c r="BH91" i="34"/>
  <c r="BH92" i="34"/>
  <c r="BH93" i="34"/>
  <c r="BH94" i="34"/>
  <c r="BH95" i="34"/>
  <c r="BH96" i="34"/>
  <c r="BG90" i="34"/>
  <c r="BG91" i="34"/>
  <c r="BG92" i="34"/>
  <c r="BG93" i="34"/>
  <c r="BG94" i="34"/>
  <c r="BG95" i="34"/>
  <c r="BG96" i="34"/>
  <c r="BF90" i="34"/>
  <c r="BF91" i="34"/>
  <c r="BF92" i="34"/>
  <c r="BF93" i="34"/>
  <c r="BF94" i="34"/>
  <c r="BF95" i="34"/>
  <c r="BF96" i="34"/>
  <c r="F177" i="34"/>
  <c r="G177" i="34"/>
  <c r="H177" i="34"/>
  <c r="I177" i="34"/>
  <c r="J177" i="34"/>
  <c r="K177" i="34"/>
  <c r="L177" i="34"/>
  <c r="M177" i="34"/>
  <c r="N177" i="34"/>
  <c r="O177" i="34"/>
  <c r="P177" i="34"/>
  <c r="Q177" i="34"/>
  <c r="R177" i="34"/>
  <c r="S177" i="34"/>
  <c r="T177" i="34"/>
  <c r="U177" i="34"/>
  <c r="V177" i="34"/>
  <c r="W177" i="34"/>
  <c r="X177" i="34"/>
  <c r="Y177" i="34"/>
  <c r="Z177" i="34"/>
  <c r="AA177" i="34"/>
  <c r="AB177" i="34"/>
  <c r="AC177" i="34"/>
  <c r="AD177" i="34"/>
  <c r="AE177" i="34"/>
  <c r="AF177" i="34"/>
  <c r="AG177" i="34"/>
  <c r="AH177" i="34"/>
  <c r="AI177" i="34"/>
  <c r="AJ177" i="34"/>
  <c r="AK177" i="34"/>
  <c r="AL177" i="34"/>
  <c r="AM177" i="34"/>
  <c r="AN177" i="34"/>
  <c r="AO177" i="34"/>
  <c r="AP177" i="34"/>
  <c r="AQ177" i="34"/>
  <c r="AR177" i="34"/>
  <c r="AS177" i="34"/>
  <c r="AT177" i="34"/>
  <c r="AU177" i="34"/>
  <c r="AV177" i="34"/>
  <c r="AW177" i="34"/>
  <c r="AX177" i="34"/>
  <c r="AY177" i="34"/>
  <c r="AZ177" i="34"/>
  <c r="BA177" i="34"/>
  <c r="BB177" i="34"/>
  <c r="BC177" i="34"/>
  <c r="BE177" i="34"/>
  <c r="F168" i="34"/>
  <c r="G168" i="34"/>
  <c r="H168" i="34"/>
  <c r="I168" i="34"/>
  <c r="J168" i="34"/>
  <c r="K168" i="34"/>
  <c r="L168" i="34"/>
  <c r="M168" i="34"/>
  <c r="N168" i="34"/>
  <c r="O168" i="34"/>
  <c r="P168" i="34"/>
  <c r="Q168" i="34"/>
  <c r="R168" i="34"/>
  <c r="S168" i="34"/>
  <c r="T168" i="34"/>
  <c r="U168" i="34"/>
  <c r="V168" i="34"/>
  <c r="W168" i="34"/>
  <c r="X168" i="34"/>
  <c r="Y168" i="34"/>
  <c r="Z168" i="34"/>
  <c r="AA168" i="34"/>
  <c r="AB168" i="34"/>
  <c r="AC168" i="34"/>
  <c r="AD168" i="34"/>
  <c r="AE168" i="34"/>
  <c r="AF168" i="34"/>
  <c r="AH168" i="34"/>
  <c r="AI168" i="34"/>
  <c r="AJ168" i="34"/>
  <c r="AK168" i="34"/>
  <c r="AL168" i="34"/>
  <c r="AM168" i="34"/>
  <c r="AN168" i="34"/>
  <c r="AO168" i="34"/>
  <c r="AP168" i="34"/>
  <c r="AQ168" i="34"/>
  <c r="AR168" i="34"/>
  <c r="AS168" i="34"/>
  <c r="AT168" i="34"/>
  <c r="AU168" i="34"/>
  <c r="AV168" i="34"/>
  <c r="AW168" i="34"/>
  <c r="AX168" i="34"/>
  <c r="AY168" i="34"/>
  <c r="AZ168" i="34"/>
  <c r="BA168" i="34"/>
  <c r="BB168" i="34"/>
  <c r="BC168" i="34"/>
  <c r="BD168" i="34"/>
  <c r="BE168" i="34"/>
  <c r="F157" i="34"/>
  <c r="G157" i="34"/>
  <c r="H157" i="34"/>
  <c r="I157" i="34"/>
  <c r="J157" i="34"/>
  <c r="K157" i="34"/>
  <c r="L157" i="34"/>
  <c r="M157" i="34"/>
  <c r="N157" i="34"/>
  <c r="O157" i="34"/>
  <c r="P157" i="34"/>
  <c r="Q157" i="34"/>
  <c r="R157" i="34"/>
  <c r="S157" i="34"/>
  <c r="T157" i="34"/>
  <c r="U157" i="34"/>
  <c r="V157" i="34"/>
  <c r="W157" i="34"/>
  <c r="X157" i="34"/>
  <c r="Y157" i="34"/>
  <c r="Z157" i="34"/>
  <c r="AA157" i="34"/>
  <c r="AB157" i="34"/>
  <c r="AC157" i="34"/>
  <c r="AD157" i="34"/>
  <c r="AE157" i="34"/>
  <c r="AF157" i="34"/>
  <c r="AG157" i="34"/>
  <c r="AH157" i="34"/>
  <c r="AI157" i="34"/>
  <c r="AJ157" i="34"/>
  <c r="AK157" i="34"/>
  <c r="AL157" i="34"/>
  <c r="AM157" i="34"/>
  <c r="AN157" i="34"/>
  <c r="AO157" i="34"/>
  <c r="AP157" i="34"/>
  <c r="AQ157" i="34"/>
  <c r="AR157" i="34"/>
  <c r="AS157" i="34"/>
  <c r="AT157" i="34"/>
  <c r="AU157" i="34"/>
  <c r="AV157" i="34"/>
  <c r="AW157" i="34"/>
  <c r="AX157" i="34"/>
  <c r="AY157" i="34"/>
  <c r="AZ157" i="34"/>
  <c r="BA157" i="34"/>
  <c r="BB157" i="34"/>
  <c r="BC157" i="34"/>
  <c r="BD157" i="34"/>
  <c r="BE157" i="34"/>
  <c r="F146" i="34"/>
  <c r="G146" i="34"/>
  <c r="H146" i="34"/>
  <c r="I146" i="34"/>
  <c r="J146" i="34"/>
  <c r="K146" i="34"/>
  <c r="L146" i="34"/>
  <c r="M146" i="34"/>
  <c r="N146" i="34"/>
  <c r="O146" i="34"/>
  <c r="P146" i="34"/>
  <c r="Q146" i="34"/>
  <c r="R146" i="34"/>
  <c r="S146" i="34"/>
  <c r="T146" i="34"/>
  <c r="U146" i="34"/>
  <c r="V146" i="34"/>
  <c r="W146" i="34"/>
  <c r="X146" i="34"/>
  <c r="Y146" i="34"/>
  <c r="Z146" i="34"/>
  <c r="AA146" i="34"/>
  <c r="AB146" i="34"/>
  <c r="AC146" i="34"/>
  <c r="AD146" i="34"/>
  <c r="AE146" i="34"/>
  <c r="AF146" i="34"/>
  <c r="AG146" i="34"/>
  <c r="AH146" i="34"/>
  <c r="AI146" i="34"/>
  <c r="AJ146" i="34"/>
  <c r="AK146" i="34"/>
  <c r="AL146" i="34"/>
  <c r="AM146" i="34"/>
  <c r="AN146" i="34"/>
  <c r="AO146" i="34"/>
  <c r="AP146" i="34"/>
  <c r="AQ146" i="34"/>
  <c r="AR146" i="34"/>
  <c r="AS146" i="34"/>
  <c r="AT146" i="34"/>
  <c r="AU146" i="34"/>
  <c r="AV146" i="34"/>
  <c r="AW146" i="34"/>
  <c r="AX146" i="34"/>
  <c r="AY146" i="34"/>
  <c r="AZ146" i="34"/>
  <c r="BA146" i="34"/>
  <c r="BB146" i="34"/>
  <c r="BC146" i="34"/>
  <c r="BD146" i="34"/>
  <c r="BE146" i="34"/>
  <c r="F135" i="34"/>
  <c r="G135" i="34"/>
  <c r="H135" i="34"/>
  <c r="I135" i="34"/>
  <c r="J135" i="34"/>
  <c r="K135" i="34"/>
  <c r="L135" i="34"/>
  <c r="M135" i="34"/>
  <c r="N135" i="34"/>
  <c r="O135" i="34"/>
  <c r="P135" i="34"/>
  <c r="Q135" i="34"/>
  <c r="R135" i="34"/>
  <c r="S135" i="34"/>
  <c r="T135" i="34"/>
  <c r="U135" i="34"/>
  <c r="V135" i="34"/>
  <c r="W135" i="34"/>
  <c r="X135" i="34"/>
  <c r="Y135" i="34"/>
  <c r="Z135" i="34"/>
  <c r="AA135" i="34"/>
  <c r="AB135" i="34"/>
  <c r="AC135" i="34"/>
  <c r="AD135" i="34"/>
  <c r="AE135" i="34"/>
  <c r="AF135" i="34"/>
  <c r="AG135" i="34"/>
  <c r="AH135" i="34"/>
  <c r="AI135" i="34"/>
  <c r="AJ135" i="34"/>
  <c r="AK135" i="34"/>
  <c r="AL135" i="34"/>
  <c r="AM135" i="34"/>
  <c r="AN135" i="34"/>
  <c r="AO135" i="34"/>
  <c r="AP135" i="34"/>
  <c r="AQ135" i="34"/>
  <c r="AR135" i="34"/>
  <c r="AS135" i="34"/>
  <c r="AT135" i="34"/>
  <c r="AU135" i="34"/>
  <c r="AV135" i="34"/>
  <c r="AW135" i="34"/>
  <c r="AX135" i="34"/>
  <c r="AY135" i="34"/>
  <c r="AZ135" i="34"/>
  <c r="BA135" i="34"/>
  <c r="BB135" i="34"/>
  <c r="BC135" i="34"/>
  <c r="BD135" i="34"/>
  <c r="BE135" i="34"/>
  <c r="F124" i="34"/>
  <c r="G124" i="34"/>
  <c r="H124" i="34"/>
  <c r="I124" i="34"/>
  <c r="J124" i="34"/>
  <c r="K124" i="34"/>
  <c r="L124" i="34"/>
  <c r="M124" i="34"/>
  <c r="N124" i="34"/>
  <c r="O124" i="34"/>
  <c r="P124" i="34"/>
  <c r="Q124" i="34"/>
  <c r="R124" i="34"/>
  <c r="S124" i="34"/>
  <c r="T124" i="34"/>
  <c r="U124" i="34"/>
  <c r="V124" i="34"/>
  <c r="W124" i="34"/>
  <c r="X124" i="34"/>
  <c r="Y124" i="34"/>
  <c r="Z124" i="34"/>
  <c r="AA124" i="34"/>
  <c r="AB124" i="34"/>
  <c r="AC124" i="34"/>
  <c r="AD124" i="34"/>
  <c r="AE124" i="34"/>
  <c r="AF124" i="34"/>
  <c r="AG124" i="34"/>
  <c r="AH124" i="34"/>
  <c r="AI124" i="34"/>
  <c r="AJ124" i="34"/>
  <c r="AK124" i="34"/>
  <c r="AL124" i="34"/>
  <c r="AM124" i="34"/>
  <c r="AN124" i="34"/>
  <c r="AO124" i="34"/>
  <c r="AP124" i="34"/>
  <c r="AQ124" i="34"/>
  <c r="AR124" i="34"/>
  <c r="AS124" i="34"/>
  <c r="AT124" i="34"/>
  <c r="AU124" i="34"/>
  <c r="AV124" i="34"/>
  <c r="AW124" i="34"/>
  <c r="AX124" i="34"/>
  <c r="AY124" i="34"/>
  <c r="AZ124" i="34"/>
  <c r="BA124" i="34"/>
  <c r="BB124" i="34"/>
  <c r="BC124" i="34"/>
  <c r="BD124" i="34"/>
  <c r="BE124" i="34"/>
  <c r="F113" i="34"/>
  <c r="G113" i="34"/>
  <c r="H113" i="34"/>
  <c r="I113" i="34"/>
  <c r="J113" i="34"/>
  <c r="K113" i="34"/>
  <c r="L113" i="34"/>
  <c r="N113" i="34"/>
  <c r="O113" i="34"/>
  <c r="P113" i="34"/>
  <c r="Q113" i="34"/>
  <c r="R113" i="34"/>
  <c r="S113" i="34"/>
  <c r="T113" i="34"/>
  <c r="U113" i="34"/>
  <c r="V113" i="34"/>
  <c r="W113" i="34"/>
  <c r="X113" i="34"/>
  <c r="Y113" i="34"/>
  <c r="Z113" i="34"/>
  <c r="AA113" i="34"/>
  <c r="AB113" i="34"/>
  <c r="AC113" i="34"/>
  <c r="AE113" i="34"/>
  <c r="AF113" i="34"/>
  <c r="AG113" i="34"/>
  <c r="AH113" i="34"/>
  <c r="AI113" i="34"/>
  <c r="AJ113" i="34"/>
  <c r="AK113" i="34"/>
  <c r="AL113" i="34"/>
  <c r="AM113" i="34"/>
  <c r="AN113" i="34"/>
  <c r="AO113" i="34"/>
  <c r="AP113" i="34"/>
  <c r="AQ113" i="34"/>
  <c r="AR113" i="34"/>
  <c r="AS113" i="34"/>
  <c r="AT113" i="34"/>
  <c r="AU113" i="34"/>
  <c r="AV113" i="34"/>
  <c r="AX113" i="34"/>
  <c r="AY113" i="34"/>
  <c r="AZ113" i="34"/>
  <c r="BA113" i="34"/>
  <c r="BB113" i="34"/>
  <c r="BC113" i="34"/>
  <c r="BD113" i="34"/>
  <c r="BE113" i="34"/>
  <c r="F108" i="34"/>
  <c r="G108" i="34"/>
  <c r="H108" i="34"/>
  <c r="I108" i="34"/>
  <c r="J108" i="34"/>
  <c r="K108" i="34"/>
  <c r="L108" i="34"/>
  <c r="M108" i="34"/>
  <c r="N108" i="34"/>
  <c r="O108" i="34"/>
  <c r="P108" i="34"/>
  <c r="Q108" i="34"/>
  <c r="R108" i="34"/>
  <c r="S108" i="34"/>
  <c r="T108" i="34"/>
  <c r="U108" i="34"/>
  <c r="V108" i="34"/>
  <c r="W108" i="34"/>
  <c r="X108" i="34"/>
  <c r="Y108" i="34"/>
  <c r="Z108" i="34"/>
  <c r="AA108" i="34"/>
  <c r="AB108" i="34"/>
  <c r="AC108" i="34"/>
  <c r="AD108" i="34"/>
  <c r="AE108" i="34"/>
  <c r="AF108" i="34"/>
  <c r="AG108" i="34"/>
  <c r="AH108" i="34"/>
  <c r="AI108" i="34"/>
  <c r="AJ108" i="34"/>
  <c r="AK108" i="34"/>
  <c r="AL108" i="34"/>
  <c r="AM108" i="34"/>
  <c r="AN108" i="34"/>
  <c r="AO108" i="34"/>
  <c r="AP108" i="34"/>
  <c r="AQ108" i="34"/>
  <c r="AR108" i="34"/>
  <c r="AS108" i="34"/>
  <c r="AT108" i="34"/>
  <c r="AU108" i="34"/>
  <c r="AV108" i="34"/>
  <c r="AW108" i="34"/>
  <c r="AX108" i="34"/>
  <c r="AY108" i="34"/>
  <c r="AZ108" i="34"/>
  <c r="BA108" i="34"/>
  <c r="BB108" i="34"/>
  <c r="BC108" i="34"/>
  <c r="BD108" i="34"/>
  <c r="BE108" i="34"/>
  <c r="F98" i="34"/>
  <c r="G98" i="34"/>
  <c r="H98" i="34"/>
  <c r="I98" i="34"/>
  <c r="J98" i="34"/>
  <c r="K98" i="34"/>
  <c r="L98" i="34"/>
  <c r="M98" i="34"/>
  <c r="N98" i="34"/>
  <c r="O98" i="34"/>
  <c r="P98" i="34"/>
  <c r="Q98" i="34"/>
  <c r="R98" i="34"/>
  <c r="S98" i="34"/>
  <c r="T98" i="34"/>
  <c r="U98" i="34"/>
  <c r="V98" i="34"/>
  <c r="W98" i="34"/>
  <c r="X98" i="34"/>
  <c r="Y98" i="34"/>
  <c r="Z98" i="34"/>
  <c r="AA98" i="34"/>
  <c r="AB98" i="34"/>
  <c r="AC98" i="34"/>
  <c r="AD98" i="34"/>
  <c r="AE98" i="34"/>
  <c r="AF98" i="34"/>
  <c r="AG98" i="34"/>
  <c r="AH98" i="34"/>
  <c r="AI98" i="34"/>
  <c r="AJ98" i="34"/>
  <c r="AK98" i="34"/>
  <c r="AL98" i="34"/>
  <c r="AM98" i="34"/>
  <c r="AO98" i="34"/>
  <c r="AP98" i="34"/>
  <c r="AQ98" i="34"/>
  <c r="AR98" i="34"/>
  <c r="AS98" i="34"/>
  <c r="AT98" i="34"/>
  <c r="AU98" i="34"/>
  <c r="AV98" i="34"/>
  <c r="AW98" i="34"/>
  <c r="AX98" i="34"/>
  <c r="AY98" i="34"/>
  <c r="AZ98" i="34"/>
  <c r="BA98" i="34"/>
  <c r="BB98" i="34"/>
  <c r="BC98" i="34"/>
  <c r="BD98" i="34"/>
  <c r="BE98" i="34"/>
  <c r="F88" i="34"/>
  <c r="G88" i="34"/>
  <c r="H88" i="34"/>
  <c r="I88" i="34"/>
  <c r="J88" i="34"/>
  <c r="K88" i="34"/>
  <c r="L88" i="34"/>
  <c r="M88" i="34"/>
  <c r="N88" i="34"/>
  <c r="O88" i="34"/>
  <c r="P88" i="34"/>
  <c r="Q88" i="34"/>
  <c r="R88" i="34"/>
  <c r="S88" i="34"/>
  <c r="T88" i="34"/>
  <c r="U88" i="34"/>
  <c r="V88" i="34"/>
  <c r="W88" i="34"/>
  <c r="X88" i="34"/>
  <c r="Y88" i="34"/>
  <c r="Z88" i="34"/>
  <c r="AA88" i="34"/>
  <c r="AB88" i="34"/>
  <c r="AC88" i="34"/>
  <c r="AD88" i="34"/>
  <c r="AE88" i="34"/>
  <c r="AF88" i="34"/>
  <c r="AG88" i="34"/>
  <c r="AH88" i="34"/>
  <c r="AI88" i="34"/>
  <c r="AJ88" i="34"/>
  <c r="AK88" i="34"/>
  <c r="AL88" i="34"/>
  <c r="AL87" i="34" s="1"/>
  <c r="AM88" i="34"/>
  <c r="AN88" i="34"/>
  <c r="AO88" i="34"/>
  <c r="AP88" i="34"/>
  <c r="AQ88" i="34"/>
  <c r="AR88" i="34"/>
  <c r="AS88" i="34"/>
  <c r="AT88" i="34"/>
  <c r="AU88" i="34"/>
  <c r="AV88" i="34"/>
  <c r="AW88" i="34"/>
  <c r="AX88" i="34"/>
  <c r="AZ88" i="34"/>
  <c r="BA88" i="34"/>
  <c r="BB88" i="34"/>
  <c r="BD88" i="34"/>
  <c r="BE88" i="34"/>
  <c r="BI65" i="34"/>
  <c r="BI66" i="34"/>
  <c r="BI67" i="34"/>
  <c r="BI68" i="34"/>
  <c r="BI69" i="34"/>
  <c r="BI70" i="34"/>
  <c r="BI71" i="34"/>
  <c r="BI72" i="34"/>
  <c r="BH65" i="34"/>
  <c r="BH66" i="34"/>
  <c r="BH67" i="34"/>
  <c r="BH68" i="34"/>
  <c r="BH69" i="34"/>
  <c r="BH70" i="34"/>
  <c r="BH71" i="34"/>
  <c r="BH72" i="34"/>
  <c r="BG65" i="34"/>
  <c r="BG66" i="34"/>
  <c r="BG67" i="34"/>
  <c r="BG68" i="34"/>
  <c r="BG69" i="34"/>
  <c r="BG70" i="34"/>
  <c r="BG71" i="34"/>
  <c r="BG72" i="34"/>
  <c r="BF65" i="34"/>
  <c r="BF66" i="34"/>
  <c r="BF67" i="34"/>
  <c r="BF68" i="34"/>
  <c r="BF69" i="34"/>
  <c r="BF70" i="34"/>
  <c r="BF71" i="34"/>
  <c r="BF72" i="34"/>
  <c r="BI54" i="34"/>
  <c r="BI55" i="34"/>
  <c r="BI56" i="34"/>
  <c r="BI57" i="34"/>
  <c r="BI58" i="34"/>
  <c r="BI59" i="34"/>
  <c r="BI60" i="34"/>
  <c r="BI61" i="34"/>
  <c r="BH54" i="34"/>
  <c r="BH55" i="34"/>
  <c r="BH56" i="34"/>
  <c r="BH57" i="34"/>
  <c r="BH58" i="34"/>
  <c r="BH59" i="34"/>
  <c r="BH60" i="34"/>
  <c r="BH61" i="34"/>
  <c r="BG54" i="34"/>
  <c r="BG55" i="34"/>
  <c r="BG56" i="34"/>
  <c r="BG57" i="34"/>
  <c r="BG58" i="34"/>
  <c r="BG59" i="34"/>
  <c r="BG60" i="34"/>
  <c r="BG61" i="34"/>
  <c r="BF54" i="34"/>
  <c r="BF55" i="34"/>
  <c r="BF56" i="34"/>
  <c r="BF57" i="34"/>
  <c r="BF58" i="34"/>
  <c r="BF59" i="34"/>
  <c r="BF60" i="34"/>
  <c r="BF61" i="34"/>
  <c r="BI43" i="34"/>
  <c r="BI44" i="34"/>
  <c r="BI45" i="34"/>
  <c r="BI46" i="34"/>
  <c r="BI47" i="34"/>
  <c r="BI48" i="34"/>
  <c r="BI49" i="34"/>
  <c r="BI50" i="34"/>
  <c r="BH43" i="34"/>
  <c r="BH44" i="34"/>
  <c r="BH45" i="34"/>
  <c r="BH46" i="34"/>
  <c r="BH47" i="34"/>
  <c r="BH48" i="34"/>
  <c r="BH49" i="34"/>
  <c r="BH50" i="34"/>
  <c r="BG43" i="34"/>
  <c r="BG44" i="34"/>
  <c r="BG45" i="34"/>
  <c r="BG46" i="34"/>
  <c r="BG47" i="34"/>
  <c r="BG48" i="34"/>
  <c r="BG49" i="34"/>
  <c r="BG50" i="34"/>
  <c r="BF43" i="34"/>
  <c r="BF44" i="34"/>
  <c r="BF45" i="34"/>
  <c r="BF46" i="34"/>
  <c r="BF47" i="34"/>
  <c r="BF48" i="34"/>
  <c r="BF49" i="34"/>
  <c r="BF50" i="34"/>
  <c r="BI32" i="34"/>
  <c r="BI33" i="34"/>
  <c r="BI34" i="34"/>
  <c r="BI35" i="34"/>
  <c r="BI36" i="34"/>
  <c r="BI37" i="34"/>
  <c r="BI38" i="34"/>
  <c r="BI39" i="34"/>
  <c r="BH32" i="34"/>
  <c r="BH33" i="34"/>
  <c r="BH34" i="34"/>
  <c r="BH35" i="34"/>
  <c r="BH36" i="34"/>
  <c r="BH37" i="34"/>
  <c r="BH38" i="34"/>
  <c r="BH39" i="34"/>
  <c r="BG32" i="34"/>
  <c r="BG33" i="34"/>
  <c r="BG34" i="34"/>
  <c r="BG35" i="34"/>
  <c r="BG36" i="34"/>
  <c r="BG37" i="34"/>
  <c r="BG38" i="34"/>
  <c r="BG39" i="34"/>
  <c r="BF32" i="34"/>
  <c r="BF33" i="34"/>
  <c r="BF34" i="34"/>
  <c r="BF35" i="34"/>
  <c r="BF36" i="34"/>
  <c r="BF37" i="34"/>
  <c r="BF38" i="34"/>
  <c r="BF39" i="34"/>
  <c r="BI27" i="34"/>
  <c r="BI28" i="34"/>
  <c r="BH27" i="34"/>
  <c r="BH28" i="34"/>
  <c r="BG27" i="34"/>
  <c r="BG28" i="34"/>
  <c r="BF27" i="34"/>
  <c r="BF28" i="34"/>
  <c r="G82" i="34"/>
  <c r="H82" i="34"/>
  <c r="I82" i="34"/>
  <c r="J82" i="34"/>
  <c r="K82" i="34"/>
  <c r="L82" i="34"/>
  <c r="M82" i="34"/>
  <c r="N82" i="34"/>
  <c r="O82" i="34"/>
  <c r="P82" i="34"/>
  <c r="Q82" i="34"/>
  <c r="R82" i="34"/>
  <c r="S82" i="34"/>
  <c r="T82" i="34"/>
  <c r="U82" i="34"/>
  <c r="V82" i="34"/>
  <c r="W82" i="34"/>
  <c r="X82" i="34"/>
  <c r="Y82" i="34"/>
  <c r="Z82" i="34"/>
  <c r="AA82" i="34"/>
  <c r="AB82" i="34"/>
  <c r="AC82" i="34"/>
  <c r="AD82" i="34"/>
  <c r="AE82" i="34"/>
  <c r="AF82" i="34"/>
  <c r="AG82" i="34"/>
  <c r="AH82" i="34"/>
  <c r="AI82" i="34"/>
  <c r="AJ82" i="34"/>
  <c r="AK82" i="34"/>
  <c r="AL82" i="34"/>
  <c r="AM82" i="34"/>
  <c r="AN82" i="34"/>
  <c r="AO82" i="34"/>
  <c r="AP82" i="34"/>
  <c r="AQ82" i="34"/>
  <c r="AR82" i="34"/>
  <c r="AS82" i="34"/>
  <c r="AT82" i="34"/>
  <c r="AU82" i="34"/>
  <c r="AV82" i="34"/>
  <c r="AW82" i="34"/>
  <c r="AX82" i="34"/>
  <c r="AY82" i="34"/>
  <c r="AZ82" i="34"/>
  <c r="BA82" i="34"/>
  <c r="BB82" i="34"/>
  <c r="BC82" i="34"/>
  <c r="BD82" i="34"/>
  <c r="BE82" i="34"/>
  <c r="F74" i="34"/>
  <c r="G74" i="34"/>
  <c r="H74" i="34"/>
  <c r="I74" i="34"/>
  <c r="J74" i="34"/>
  <c r="K74" i="34"/>
  <c r="L74" i="34"/>
  <c r="M74" i="34"/>
  <c r="N74" i="34"/>
  <c r="O74" i="34"/>
  <c r="P74" i="34"/>
  <c r="Q74" i="34"/>
  <c r="R74" i="34"/>
  <c r="S74" i="34"/>
  <c r="T74" i="34"/>
  <c r="U74" i="34"/>
  <c r="V74" i="34"/>
  <c r="W74" i="34"/>
  <c r="X74" i="34"/>
  <c r="Y74" i="34"/>
  <c r="Z74" i="34"/>
  <c r="AA74" i="34"/>
  <c r="AB74" i="34"/>
  <c r="AC74" i="34"/>
  <c r="AD74" i="34"/>
  <c r="AE74" i="34"/>
  <c r="AF74" i="34"/>
  <c r="AG74" i="34"/>
  <c r="AH74" i="34"/>
  <c r="AI74" i="34"/>
  <c r="AJ74" i="34"/>
  <c r="AK74" i="34"/>
  <c r="AL74" i="34"/>
  <c r="AM74" i="34"/>
  <c r="AN74" i="34"/>
  <c r="AO74" i="34"/>
  <c r="AP74" i="34"/>
  <c r="AQ74" i="34"/>
  <c r="AR74" i="34"/>
  <c r="AS74" i="34"/>
  <c r="AT74" i="34"/>
  <c r="AU74" i="34"/>
  <c r="AV74" i="34"/>
  <c r="AW74" i="34"/>
  <c r="AX74" i="34"/>
  <c r="AY74" i="34"/>
  <c r="AZ74" i="34"/>
  <c r="BA74" i="34"/>
  <c r="BB74" i="34"/>
  <c r="BC74" i="34"/>
  <c r="BD74" i="34"/>
  <c r="BE74" i="34"/>
  <c r="F63" i="34"/>
  <c r="G63" i="34"/>
  <c r="H63" i="34"/>
  <c r="I63" i="34"/>
  <c r="J63" i="34"/>
  <c r="K63" i="34"/>
  <c r="L63" i="34"/>
  <c r="M63" i="34"/>
  <c r="N63" i="34"/>
  <c r="O63" i="34"/>
  <c r="P63" i="34"/>
  <c r="Q63" i="34"/>
  <c r="R63" i="34"/>
  <c r="S63" i="34"/>
  <c r="T63" i="34"/>
  <c r="U63" i="34"/>
  <c r="V63" i="34"/>
  <c r="W63" i="34"/>
  <c r="X63" i="34"/>
  <c r="Y63" i="34"/>
  <c r="Z63" i="34"/>
  <c r="AA63" i="34"/>
  <c r="AB63" i="34"/>
  <c r="AC63" i="34"/>
  <c r="AD63" i="34"/>
  <c r="AE63" i="34"/>
  <c r="AF63" i="34"/>
  <c r="AG63" i="34"/>
  <c r="AH63" i="34"/>
  <c r="AI63" i="34"/>
  <c r="AJ63" i="34"/>
  <c r="AK63" i="34"/>
  <c r="AL63" i="34"/>
  <c r="AM63" i="34"/>
  <c r="AN63" i="34"/>
  <c r="AO63" i="34"/>
  <c r="AP63" i="34"/>
  <c r="AQ63" i="34"/>
  <c r="AR63" i="34"/>
  <c r="AS63" i="34"/>
  <c r="AT63" i="34"/>
  <c r="AU63" i="34"/>
  <c r="AV63" i="34"/>
  <c r="AW63" i="34"/>
  <c r="AX63" i="34"/>
  <c r="AY63" i="34"/>
  <c r="AZ63" i="34"/>
  <c r="BA63" i="34"/>
  <c r="BB63" i="34"/>
  <c r="BC63" i="34"/>
  <c r="BD63" i="34"/>
  <c r="BE63" i="34"/>
  <c r="F52" i="34"/>
  <c r="G52" i="34"/>
  <c r="H52" i="34"/>
  <c r="I52" i="34"/>
  <c r="J52" i="34"/>
  <c r="K52" i="34"/>
  <c r="L52" i="34"/>
  <c r="M52" i="34"/>
  <c r="N52" i="34"/>
  <c r="O52" i="34"/>
  <c r="P52" i="34"/>
  <c r="Q52" i="34"/>
  <c r="R52" i="34"/>
  <c r="S52" i="34"/>
  <c r="T52" i="34"/>
  <c r="U52" i="34"/>
  <c r="V52" i="34"/>
  <c r="W52" i="34"/>
  <c r="X52" i="34"/>
  <c r="Y52" i="34"/>
  <c r="Z52" i="34"/>
  <c r="AA52" i="34"/>
  <c r="AB52" i="34"/>
  <c r="AC52" i="34"/>
  <c r="AD52" i="34"/>
  <c r="AE52" i="34"/>
  <c r="AF52" i="34"/>
  <c r="AG52" i="34"/>
  <c r="AH52" i="34"/>
  <c r="AI52" i="34"/>
  <c r="AJ52" i="34"/>
  <c r="AK52" i="34"/>
  <c r="AL52" i="34"/>
  <c r="AM52" i="34"/>
  <c r="AN52" i="34"/>
  <c r="AO52" i="34"/>
  <c r="AP52" i="34"/>
  <c r="AQ52" i="34"/>
  <c r="AR52" i="34"/>
  <c r="AS52" i="34"/>
  <c r="AT52" i="34"/>
  <c r="AU52" i="34"/>
  <c r="AV52" i="34"/>
  <c r="AW52" i="34"/>
  <c r="AX52" i="34"/>
  <c r="AY52" i="34"/>
  <c r="AZ52" i="34"/>
  <c r="BA52" i="34"/>
  <c r="BB52" i="34"/>
  <c r="BC52" i="34"/>
  <c r="BD52" i="34"/>
  <c r="BE52" i="34"/>
  <c r="F41" i="34"/>
  <c r="G41" i="34"/>
  <c r="H41" i="34"/>
  <c r="I41" i="34"/>
  <c r="J41" i="34"/>
  <c r="K41" i="34"/>
  <c r="L41" i="34"/>
  <c r="M41" i="34"/>
  <c r="N41" i="34"/>
  <c r="O41" i="34"/>
  <c r="P41" i="34"/>
  <c r="Q41" i="34"/>
  <c r="R41" i="34"/>
  <c r="S41" i="34"/>
  <c r="T41" i="34"/>
  <c r="U41" i="34"/>
  <c r="V41" i="34"/>
  <c r="W41" i="34"/>
  <c r="X41" i="34"/>
  <c r="Y41" i="34"/>
  <c r="Z41" i="34"/>
  <c r="AA41" i="34"/>
  <c r="AB41" i="34"/>
  <c r="AC41" i="34"/>
  <c r="AD41" i="34"/>
  <c r="AE41" i="34"/>
  <c r="AF41" i="34"/>
  <c r="AG41" i="34"/>
  <c r="AH41" i="34"/>
  <c r="AI41" i="34"/>
  <c r="AJ41" i="34"/>
  <c r="AK41" i="34"/>
  <c r="AL41" i="34"/>
  <c r="AM41" i="34"/>
  <c r="AN41" i="34"/>
  <c r="AO41" i="34"/>
  <c r="AP41" i="34"/>
  <c r="AQ41" i="34"/>
  <c r="AR41" i="34"/>
  <c r="AS41" i="34"/>
  <c r="AT41" i="34"/>
  <c r="AU41" i="34"/>
  <c r="AV41" i="34"/>
  <c r="AW41" i="34"/>
  <c r="AX41" i="34"/>
  <c r="AY41" i="34"/>
  <c r="AZ41" i="34"/>
  <c r="BA41" i="34"/>
  <c r="BB41" i="34"/>
  <c r="BC41" i="34"/>
  <c r="BD41" i="34"/>
  <c r="BE41" i="34"/>
  <c r="F30" i="34"/>
  <c r="G30" i="34"/>
  <c r="H30" i="34"/>
  <c r="I30" i="34"/>
  <c r="J30" i="34"/>
  <c r="K30" i="34"/>
  <c r="L30" i="34"/>
  <c r="M30" i="34"/>
  <c r="N30" i="34"/>
  <c r="O30" i="34"/>
  <c r="P30" i="34"/>
  <c r="Q30" i="34"/>
  <c r="R30" i="34"/>
  <c r="S30" i="34"/>
  <c r="T30" i="34"/>
  <c r="U30" i="34"/>
  <c r="V30" i="34"/>
  <c r="W30" i="34"/>
  <c r="X30" i="34"/>
  <c r="Y30" i="34"/>
  <c r="Z30" i="34"/>
  <c r="AA30" i="34"/>
  <c r="AB30" i="34"/>
  <c r="AC30" i="34"/>
  <c r="AD30" i="34"/>
  <c r="AE30" i="34"/>
  <c r="AF30" i="34"/>
  <c r="AG30" i="34"/>
  <c r="AH30" i="34"/>
  <c r="AI30" i="34"/>
  <c r="AJ30" i="34"/>
  <c r="AK30" i="34"/>
  <c r="AL30" i="34"/>
  <c r="AM30" i="34"/>
  <c r="AN30" i="34"/>
  <c r="AO30" i="34"/>
  <c r="AP30" i="34"/>
  <c r="AQ30" i="34"/>
  <c r="AR30" i="34"/>
  <c r="AS30" i="34"/>
  <c r="AT30" i="34"/>
  <c r="AU30" i="34"/>
  <c r="AV30" i="34"/>
  <c r="AW30" i="34"/>
  <c r="AX30" i="34"/>
  <c r="AY30" i="34"/>
  <c r="AZ30" i="34"/>
  <c r="BA30" i="34"/>
  <c r="BB30" i="34"/>
  <c r="BC30" i="34"/>
  <c r="BD30" i="34"/>
  <c r="BE30" i="34"/>
  <c r="F25" i="34"/>
  <c r="G25" i="34"/>
  <c r="H25" i="34"/>
  <c r="I25" i="34"/>
  <c r="J25" i="34"/>
  <c r="K25" i="34"/>
  <c r="L25" i="34"/>
  <c r="M25" i="34"/>
  <c r="N25" i="34"/>
  <c r="O25" i="34"/>
  <c r="P25" i="34"/>
  <c r="Q25" i="34"/>
  <c r="R25" i="34"/>
  <c r="S25" i="34"/>
  <c r="T25" i="34"/>
  <c r="U25" i="34"/>
  <c r="V25" i="34"/>
  <c r="W25" i="34"/>
  <c r="X25" i="34"/>
  <c r="Y25" i="34"/>
  <c r="Z25" i="34"/>
  <c r="AA25" i="34"/>
  <c r="AB25" i="34"/>
  <c r="AC25" i="34"/>
  <c r="AD25" i="34"/>
  <c r="AE25" i="34"/>
  <c r="AF25" i="34"/>
  <c r="AG25" i="34"/>
  <c r="AH25" i="34"/>
  <c r="AI25" i="34"/>
  <c r="AJ25" i="34"/>
  <c r="AK25" i="34"/>
  <c r="AL25" i="34"/>
  <c r="AM25" i="34"/>
  <c r="AN25" i="34"/>
  <c r="AO25" i="34"/>
  <c r="AP25" i="34"/>
  <c r="AQ25" i="34"/>
  <c r="AR25" i="34"/>
  <c r="AS25" i="34"/>
  <c r="AT25" i="34"/>
  <c r="AU25" i="34"/>
  <c r="AV25" i="34"/>
  <c r="AW25" i="34"/>
  <c r="AX25" i="34"/>
  <c r="AY25" i="34"/>
  <c r="AZ25" i="34"/>
  <c r="BA25" i="34"/>
  <c r="BB25" i="34"/>
  <c r="BC25" i="34"/>
  <c r="BD25" i="34"/>
  <c r="BE25" i="34"/>
  <c r="F15" i="34"/>
  <c r="G15" i="34"/>
  <c r="H15" i="34"/>
  <c r="I15" i="34"/>
  <c r="J15" i="34"/>
  <c r="K15" i="34"/>
  <c r="L15" i="34"/>
  <c r="M15" i="34"/>
  <c r="N15" i="34"/>
  <c r="O15" i="34"/>
  <c r="P15" i="34"/>
  <c r="Q15" i="34"/>
  <c r="R15" i="34"/>
  <c r="S15" i="34"/>
  <c r="T15" i="34"/>
  <c r="U15" i="34"/>
  <c r="V15" i="34"/>
  <c r="W15" i="34"/>
  <c r="X15" i="34"/>
  <c r="Y15" i="34"/>
  <c r="Z15" i="34"/>
  <c r="AA15" i="34"/>
  <c r="AB15" i="34"/>
  <c r="AC15" i="34"/>
  <c r="AD15" i="34"/>
  <c r="AE15" i="34"/>
  <c r="AF15" i="34"/>
  <c r="AG15" i="34"/>
  <c r="AH15" i="34"/>
  <c r="AI15" i="34"/>
  <c r="AJ15" i="34"/>
  <c r="AK15" i="34"/>
  <c r="AL15" i="34"/>
  <c r="AM15" i="34"/>
  <c r="AN15" i="34"/>
  <c r="AO15" i="34"/>
  <c r="AP15" i="34"/>
  <c r="AQ15" i="34"/>
  <c r="AR15" i="34"/>
  <c r="AS15" i="34"/>
  <c r="AT15" i="34"/>
  <c r="AU15" i="34"/>
  <c r="AV15" i="34"/>
  <c r="AW15" i="34"/>
  <c r="AX15" i="34"/>
  <c r="AY15" i="34"/>
  <c r="AZ15" i="34"/>
  <c r="BA15" i="34"/>
  <c r="BB15" i="34"/>
  <c r="BC15" i="34"/>
  <c r="BD15" i="34"/>
  <c r="BE15" i="34"/>
  <c r="F5" i="34"/>
  <c r="F4" i="34" s="1"/>
  <c r="G5" i="34"/>
  <c r="G4" i="34" s="1"/>
  <c r="H5" i="34"/>
  <c r="I5" i="34"/>
  <c r="J5" i="34"/>
  <c r="K5" i="34"/>
  <c r="L5" i="34"/>
  <c r="L4" i="34" s="1"/>
  <c r="M5" i="34"/>
  <c r="M4" i="34" s="1"/>
  <c r="N5" i="34"/>
  <c r="O5" i="34"/>
  <c r="P5" i="34"/>
  <c r="Q5" i="34"/>
  <c r="R5" i="34"/>
  <c r="S5" i="34"/>
  <c r="T5" i="34"/>
  <c r="U5" i="34"/>
  <c r="V5" i="34"/>
  <c r="V4" i="34" s="1"/>
  <c r="W5" i="34"/>
  <c r="W4" i="34" s="1"/>
  <c r="X5" i="34"/>
  <c r="Y5" i="34"/>
  <c r="Z5" i="34"/>
  <c r="AA5" i="34"/>
  <c r="AB5" i="34"/>
  <c r="AB4" i="34" s="1"/>
  <c r="AC5" i="34"/>
  <c r="AC4" i="34" s="1"/>
  <c r="AD5" i="34"/>
  <c r="AE5" i="34"/>
  <c r="AF5" i="34"/>
  <c r="AG5" i="34"/>
  <c r="AH5" i="34"/>
  <c r="AI5" i="34"/>
  <c r="AJ5" i="34"/>
  <c r="AK5" i="34"/>
  <c r="AL5" i="34"/>
  <c r="AL4" i="34" s="1"/>
  <c r="AM5" i="34"/>
  <c r="AM4" i="34" s="1"/>
  <c r="AN5" i="34"/>
  <c r="AO5" i="34"/>
  <c r="AP5" i="34"/>
  <c r="AQ5" i="34"/>
  <c r="AR5" i="34"/>
  <c r="AR4" i="34" s="1"/>
  <c r="AS5" i="34"/>
  <c r="AS4" i="34" s="1"/>
  <c r="AT5" i="34"/>
  <c r="AU5" i="34"/>
  <c r="AV5" i="34"/>
  <c r="AW5" i="34"/>
  <c r="AX5" i="34"/>
  <c r="AY5" i="34"/>
  <c r="AZ5" i="34"/>
  <c r="BA5" i="34"/>
  <c r="BB5" i="34"/>
  <c r="BB4" i="34" s="1"/>
  <c r="BC5" i="34"/>
  <c r="BC4" i="34" s="1"/>
  <c r="BD5" i="34"/>
  <c r="BE5" i="34"/>
  <c r="E108" i="34"/>
  <c r="E177" i="34"/>
  <c r="E168" i="34"/>
  <c r="E157" i="34"/>
  <c r="E146" i="34"/>
  <c r="E135" i="34"/>
  <c r="E124" i="34"/>
  <c r="E113" i="34"/>
  <c r="E98" i="34"/>
  <c r="E88" i="34"/>
  <c r="E82" i="34"/>
  <c r="E74" i="34"/>
  <c r="E63" i="34"/>
  <c r="E52" i="34"/>
  <c r="E41" i="34"/>
  <c r="E30" i="34"/>
  <c r="E25" i="34"/>
  <c r="E15" i="34"/>
  <c r="E5" i="34"/>
  <c r="BF64" i="34"/>
  <c r="BG64" i="34"/>
  <c r="BH64" i="34"/>
  <c r="BI64" i="34"/>
  <c r="BI178" i="34"/>
  <c r="BI177" i="34" s="1"/>
  <c r="BH178" i="34"/>
  <c r="BH177" i="34" s="1"/>
  <c r="BG178" i="34"/>
  <c r="BG177" i="34" s="1"/>
  <c r="BF178" i="34"/>
  <c r="BF177" i="34" s="1"/>
  <c r="BI169" i="34"/>
  <c r="BH169" i="34"/>
  <c r="BG169" i="34"/>
  <c r="BF169" i="34"/>
  <c r="BI158" i="34"/>
  <c r="BH158" i="34"/>
  <c r="BG158" i="34"/>
  <c r="BF158" i="34"/>
  <c r="BI147" i="34"/>
  <c r="BH147" i="34"/>
  <c r="BG147" i="34"/>
  <c r="BF147" i="34"/>
  <c r="BI136" i="34"/>
  <c r="BH136" i="34"/>
  <c r="BG136" i="34"/>
  <c r="BF136" i="34"/>
  <c r="BI133" i="34"/>
  <c r="BH133" i="34"/>
  <c r="BG133" i="34"/>
  <c r="BF133" i="34"/>
  <c r="BI132" i="34"/>
  <c r="BH132" i="34"/>
  <c r="BG132" i="34"/>
  <c r="BF132" i="34"/>
  <c r="BI131" i="34"/>
  <c r="BH131" i="34"/>
  <c r="BG131" i="34"/>
  <c r="BF131" i="34"/>
  <c r="BI130" i="34"/>
  <c r="BH130" i="34"/>
  <c r="BG130" i="34"/>
  <c r="BF130" i="34"/>
  <c r="BI129" i="34"/>
  <c r="BH129" i="34"/>
  <c r="BG129" i="34"/>
  <c r="BF129" i="34"/>
  <c r="BI128" i="34"/>
  <c r="BH128" i="34"/>
  <c r="BG128" i="34"/>
  <c r="BF128" i="34"/>
  <c r="BI127" i="34"/>
  <c r="BH127" i="34"/>
  <c r="BG127" i="34"/>
  <c r="BF127" i="34"/>
  <c r="BI126" i="34"/>
  <c r="BH126" i="34"/>
  <c r="BG126" i="34"/>
  <c r="BF126" i="34"/>
  <c r="BI125" i="34"/>
  <c r="BH125" i="34"/>
  <c r="BG125" i="34"/>
  <c r="BF125" i="34"/>
  <c r="BI114" i="34"/>
  <c r="BH114" i="34"/>
  <c r="BG114" i="34"/>
  <c r="BF114" i="34"/>
  <c r="BI111" i="34"/>
  <c r="BH111" i="34"/>
  <c r="BG111" i="34"/>
  <c r="BF111" i="34"/>
  <c r="BI110" i="34"/>
  <c r="BH110" i="34"/>
  <c r="BG110" i="34"/>
  <c r="BF110" i="34"/>
  <c r="BI109" i="34"/>
  <c r="BH109" i="34"/>
  <c r="BH108" i="34" s="1"/>
  <c r="BG109" i="34"/>
  <c r="BF109" i="34"/>
  <c r="BI99" i="34"/>
  <c r="BH99" i="34"/>
  <c r="BG99" i="34"/>
  <c r="BF99" i="34"/>
  <c r="BI89" i="34"/>
  <c r="BH89" i="34"/>
  <c r="BG89" i="34"/>
  <c r="BF89" i="34"/>
  <c r="BI83" i="34"/>
  <c r="BI82" i="34" s="1"/>
  <c r="BH83" i="34"/>
  <c r="BH82" i="34" s="1"/>
  <c r="BG83" i="34"/>
  <c r="BG82" i="34" s="1"/>
  <c r="BF83" i="34"/>
  <c r="BF82" i="34" s="1"/>
  <c r="BI80" i="34"/>
  <c r="BH80" i="34"/>
  <c r="BG80" i="34"/>
  <c r="BF80" i="34"/>
  <c r="BI79" i="34"/>
  <c r="BH79" i="34"/>
  <c r="BG79" i="34"/>
  <c r="BF79" i="34"/>
  <c r="BI78" i="34"/>
  <c r="BH78" i="34"/>
  <c r="BG78" i="34"/>
  <c r="BF78" i="34"/>
  <c r="BI77" i="34"/>
  <c r="BH77" i="34"/>
  <c r="BG77" i="34"/>
  <c r="BF77" i="34"/>
  <c r="BI76" i="34"/>
  <c r="BH76" i="34"/>
  <c r="BG76" i="34"/>
  <c r="BF76" i="34"/>
  <c r="BI75" i="34"/>
  <c r="BH75" i="34"/>
  <c r="BG75" i="34"/>
  <c r="BF75" i="34"/>
  <c r="BF74" i="34" s="1"/>
  <c r="BI53" i="34"/>
  <c r="BH53" i="34"/>
  <c r="BG53" i="34"/>
  <c r="BF53" i="34"/>
  <c r="BI42" i="34"/>
  <c r="BH42" i="34"/>
  <c r="BG42" i="34"/>
  <c r="BF42" i="34"/>
  <c r="BI31" i="34"/>
  <c r="BH31" i="34"/>
  <c r="BG31" i="34"/>
  <c r="BF31" i="34"/>
  <c r="BI26" i="34"/>
  <c r="BH26" i="34"/>
  <c r="BG26" i="34"/>
  <c r="BF26" i="34"/>
  <c r="BI23" i="34"/>
  <c r="BH23" i="34"/>
  <c r="BG23" i="34"/>
  <c r="BF23" i="34"/>
  <c r="BI22" i="34"/>
  <c r="BH22" i="34"/>
  <c r="BG22" i="34"/>
  <c r="BF22" i="34"/>
  <c r="BI21" i="34"/>
  <c r="BH21" i="34"/>
  <c r="BG21" i="34"/>
  <c r="BF21" i="34"/>
  <c r="BI20" i="34"/>
  <c r="BH20" i="34"/>
  <c r="BG20" i="34"/>
  <c r="BF20" i="34"/>
  <c r="BI19" i="34"/>
  <c r="BH19" i="34"/>
  <c r="BG19" i="34"/>
  <c r="BF19" i="34"/>
  <c r="BI18" i="34"/>
  <c r="BH18" i="34"/>
  <c r="BG18" i="34"/>
  <c r="BF18" i="34"/>
  <c r="BI17" i="34"/>
  <c r="BH17" i="34"/>
  <c r="BG17" i="34"/>
  <c r="BF17" i="34"/>
  <c r="BI16" i="34"/>
  <c r="BH16" i="34"/>
  <c r="BG16" i="34"/>
  <c r="BF16" i="34"/>
  <c r="BF15" i="34" s="1"/>
  <c r="BI13" i="34"/>
  <c r="BH13" i="34"/>
  <c r="BG13" i="34"/>
  <c r="BF13" i="34"/>
  <c r="BI12" i="34"/>
  <c r="BH12" i="34"/>
  <c r="BG12" i="34"/>
  <c r="BF12" i="34"/>
  <c r="BI11" i="34"/>
  <c r="BH11" i="34"/>
  <c r="BG11" i="34"/>
  <c r="BF11" i="34"/>
  <c r="BI10" i="34"/>
  <c r="BH10" i="34"/>
  <c r="BG10" i="34"/>
  <c r="BF10" i="34"/>
  <c r="BI9" i="34"/>
  <c r="BH9" i="34"/>
  <c r="BG9" i="34"/>
  <c r="BF9" i="34"/>
  <c r="BI8" i="34"/>
  <c r="BH8" i="34"/>
  <c r="BG8" i="34"/>
  <c r="BF8" i="34"/>
  <c r="BI7" i="34"/>
  <c r="BH7" i="34"/>
  <c r="BG7" i="34"/>
  <c r="BF7" i="34"/>
  <c r="BI6" i="34"/>
  <c r="BH6" i="34"/>
  <c r="BG6" i="34"/>
  <c r="BF6" i="34"/>
  <c r="BF5" i="34" s="1"/>
  <c r="BG5" i="34"/>
  <c r="BE2" i="34"/>
  <c r="BD2" i="34"/>
  <c r="BC2" i="34"/>
  <c r="BB2" i="34"/>
  <c r="BA2" i="34"/>
  <c r="AZ2" i="34"/>
  <c r="AY2" i="34"/>
  <c r="AX2" i="34"/>
  <c r="AW2" i="34"/>
  <c r="AV2" i="34"/>
  <c r="AU2" i="34"/>
  <c r="AT2" i="34"/>
  <c r="AS2" i="34"/>
  <c r="AR2" i="34"/>
  <c r="AQ2" i="34"/>
  <c r="AP2" i="34"/>
  <c r="AO2" i="34"/>
  <c r="AN2" i="34"/>
  <c r="AM2" i="34"/>
  <c r="AL2" i="34"/>
  <c r="AK2" i="34"/>
  <c r="AJ2" i="34"/>
  <c r="AI2" i="34"/>
  <c r="AH2" i="34"/>
  <c r="AG2" i="34"/>
  <c r="AF2" i="34"/>
  <c r="AE2" i="34"/>
  <c r="AD2" i="34"/>
  <c r="AC2" i="34"/>
  <c r="AB2" i="34"/>
  <c r="AA2" i="34"/>
  <c r="Z2" i="34"/>
  <c r="Y2" i="34"/>
  <c r="X2" i="34"/>
  <c r="W2" i="34"/>
  <c r="V2" i="34"/>
  <c r="U2" i="34"/>
  <c r="T2" i="34"/>
  <c r="S2" i="34"/>
  <c r="R2" i="34"/>
  <c r="Q2" i="34"/>
  <c r="P2" i="34"/>
  <c r="O2" i="34"/>
  <c r="N2" i="34"/>
  <c r="M2" i="34"/>
  <c r="L2" i="34"/>
  <c r="K2" i="34"/>
  <c r="J2" i="34"/>
  <c r="I2" i="34"/>
  <c r="H2" i="34"/>
  <c r="G2" i="34"/>
  <c r="F2" i="34"/>
  <c r="E2" i="34"/>
  <c r="BG15" i="34" l="1"/>
  <c r="AQ4" i="34"/>
  <c r="AA4" i="34"/>
  <c r="K4" i="34"/>
  <c r="AJ87" i="34"/>
  <c r="AJ182" i="34" s="1"/>
  <c r="AJ167" i="23" s="1"/>
  <c r="BH5" i="34"/>
  <c r="BH15" i="34"/>
  <c r="BH74" i="34"/>
  <c r="AP4" i="34"/>
  <c r="Z4" i="34"/>
  <c r="J4" i="34"/>
  <c r="J182" i="34" s="1"/>
  <c r="J167" i="23" s="1"/>
  <c r="BI5" i="34"/>
  <c r="BI15" i="34"/>
  <c r="BI74" i="34"/>
  <c r="BE4" i="34"/>
  <c r="AO4" i="34"/>
  <c r="Y4" i="34"/>
  <c r="I4" i="34"/>
  <c r="AX87" i="34"/>
  <c r="AH87" i="34"/>
  <c r="BF124" i="34"/>
  <c r="BD4" i="34"/>
  <c r="BD182" i="34" s="1"/>
  <c r="BD167" i="23" s="1"/>
  <c r="AN4" i="34"/>
  <c r="X4" i="34"/>
  <c r="H4" i="34"/>
  <c r="AW87" i="34"/>
  <c r="AW182" i="34" s="1"/>
  <c r="AW167" i="23" s="1"/>
  <c r="AG87" i="34"/>
  <c r="AG182" i="34" s="1"/>
  <c r="AG167" i="23" s="1"/>
  <c r="AH4" i="34"/>
  <c r="AH182" i="34" s="1"/>
  <c r="AH167" i="23" s="1"/>
  <c r="R4" i="34"/>
  <c r="BA4" i="34"/>
  <c r="T4" i="34"/>
  <c r="AI4" i="34"/>
  <c r="AW4" i="34"/>
  <c r="AG4" i="34"/>
  <c r="Q4" i="34"/>
  <c r="J87" i="34"/>
  <c r="BI124" i="34"/>
  <c r="U4" i="34"/>
  <c r="AZ4" i="34"/>
  <c r="AV4" i="34"/>
  <c r="AF4" i="34"/>
  <c r="P4" i="34"/>
  <c r="S4" i="34"/>
  <c r="AU4" i="34"/>
  <c r="AU182" i="34" s="1"/>
  <c r="AU167" i="23" s="1"/>
  <c r="AE4" i="34"/>
  <c r="BG124" i="34"/>
  <c r="BH124" i="34"/>
  <c r="AK4" i="34"/>
  <c r="N87" i="34"/>
  <c r="AJ4" i="34"/>
  <c r="AY4" i="34"/>
  <c r="AT4" i="34"/>
  <c r="AD4" i="34"/>
  <c r="N4" i="34"/>
  <c r="AM87" i="34"/>
  <c r="BE87" i="34"/>
  <c r="BC87" i="34"/>
  <c r="BC182" i="34" s="1"/>
  <c r="BC167" i="23" s="1"/>
  <c r="AX4" i="34"/>
  <c r="AX182" i="34" s="1"/>
  <c r="AX167" i="23" s="1"/>
  <c r="BB87" i="34"/>
  <c r="BB182" i="34" s="1"/>
  <c r="BB167" i="23" s="1"/>
  <c r="AZ87" i="34"/>
  <c r="AZ182" i="34" s="1"/>
  <c r="AZ167" i="23" s="1"/>
  <c r="AY87" i="34"/>
  <c r="AY182" i="34" s="1"/>
  <c r="AY167" i="23" s="1"/>
  <c r="AV87" i="34"/>
  <c r="AU87" i="34"/>
  <c r="AT87" i="34"/>
  <c r="AT182" i="34" s="1"/>
  <c r="AT167" i="23" s="1"/>
  <c r="AS87" i="34"/>
  <c r="AQ87" i="34"/>
  <c r="AQ182" i="34" s="1"/>
  <c r="AQ167" i="23" s="1"/>
  <c r="AO87" i="34"/>
  <c r="AN87" i="34"/>
  <c r="AD87" i="34"/>
  <c r="BI108" i="34"/>
  <c r="O4" i="34"/>
  <c r="AM182" i="34"/>
  <c r="AM167" i="23" s="1"/>
  <c r="AV182" i="34"/>
  <c r="AV167" i="23" s="1"/>
  <c r="AA87" i="34"/>
  <c r="AA182" i="34" s="1"/>
  <c r="AA167" i="23" s="1"/>
  <c r="O87" i="34"/>
  <c r="AL182" i="34"/>
  <c r="AL167" i="23" s="1"/>
  <c r="E7" i="53"/>
  <c r="AI87" i="34"/>
  <c r="AI182" i="34" s="1"/>
  <c r="AI167" i="23" s="1"/>
  <c r="AR87" i="34"/>
  <c r="AR182" i="34" s="1"/>
  <c r="AR167" i="23" s="1"/>
  <c r="AP87" i="34"/>
  <c r="AS182" i="34"/>
  <c r="AS167" i="23" s="1"/>
  <c r="AF87" i="34"/>
  <c r="AE87" i="34"/>
  <c r="AE182" i="34" s="1"/>
  <c r="AE167" i="23" s="1"/>
  <c r="AC87" i="34"/>
  <c r="AC182" i="34" s="1"/>
  <c r="AC167" i="23" s="1"/>
  <c r="Y87" i="34"/>
  <c r="Y182" i="34" s="1"/>
  <c r="Y167" i="23" s="1"/>
  <c r="X87" i="34"/>
  <c r="X182" i="34" s="1"/>
  <c r="X167" i="23" s="1"/>
  <c r="N182" i="34"/>
  <c r="N167" i="23" s="1"/>
  <c r="T87" i="34"/>
  <c r="R87" i="34"/>
  <c r="R182" i="34" s="1"/>
  <c r="R167" i="23" s="1"/>
  <c r="U87" i="34"/>
  <c r="U182" i="34" s="1"/>
  <c r="AO182" i="34"/>
  <c r="AO167" i="23" s="1"/>
  <c r="AB87" i="34"/>
  <c r="AB182" i="34" s="1"/>
  <c r="AB167" i="23" s="1"/>
  <c r="V87" i="34"/>
  <c r="V182" i="34" s="1"/>
  <c r="V167" i="23" s="1"/>
  <c r="BH52" i="34"/>
  <c r="S87" i="34"/>
  <c r="S182" i="34" s="1"/>
  <c r="S167" i="23" s="1"/>
  <c r="W87" i="34"/>
  <c r="W182" i="34" s="1"/>
  <c r="W167" i="23" s="1"/>
  <c r="BH88" i="34"/>
  <c r="AD182" i="34"/>
  <c r="AD167" i="23" s="1"/>
  <c r="Q87" i="34"/>
  <c r="Q182" i="34" s="1"/>
  <c r="Q167" i="23" s="1"/>
  <c r="AK87" i="34"/>
  <c r="P87" i="34"/>
  <c r="H87" i="34"/>
  <c r="K87" i="34"/>
  <c r="K182" i="34" s="1"/>
  <c r="K167" i="23" s="1"/>
  <c r="G87" i="34"/>
  <c r="G182" i="34" s="1"/>
  <c r="G167" i="23" s="1"/>
  <c r="I87" i="34"/>
  <c r="I182" i="34" s="1"/>
  <c r="I167" i="23" s="1"/>
  <c r="BD87" i="34"/>
  <c r="BI88" i="34"/>
  <c r="L87" i="34"/>
  <c r="F87" i="34"/>
  <c r="F182" i="34" s="1"/>
  <c r="F167" i="23" s="1"/>
  <c r="M87" i="34"/>
  <c r="M182" i="34" s="1"/>
  <c r="M167" i="23" s="1"/>
  <c r="E87" i="34"/>
  <c r="BG74" i="34"/>
  <c r="E4" i="34"/>
  <c r="BH168" i="34"/>
  <c r="BH157" i="34"/>
  <c r="BH146" i="34"/>
  <c r="BH135" i="34"/>
  <c r="Z87" i="34"/>
  <c r="Z182" i="34" s="1"/>
  <c r="Z167" i="23" s="1"/>
  <c r="BH113" i="34"/>
  <c r="BH98" i="34"/>
  <c r="BH63" i="34"/>
  <c r="BH41" i="34"/>
  <c r="BH30" i="34"/>
  <c r="BH25" i="34"/>
  <c r="BI168" i="34"/>
  <c r="BI157" i="34"/>
  <c r="BI146" i="34"/>
  <c r="BI135" i="34"/>
  <c r="BI113" i="34"/>
  <c r="BI98" i="34"/>
  <c r="BA87" i="34"/>
  <c r="BF88" i="34"/>
  <c r="BI63" i="34"/>
  <c r="BI52" i="34"/>
  <c r="BI41" i="34"/>
  <c r="BI30" i="34"/>
  <c r="BI25" i="34"/>
  <c r="BF168" i="34"/>
  <c r="BG168" i="34"/>
  <c r="BF157" i="34"/>
  <c r="BG157" i="34"/>
  <c r="BF146" i="34"/>
  <c r="BG146" i="34"/>
  <c r="BF135" i="34"/>
  <c r="BG135" i="34"/>
  <c r="BF113" i="34"/>
  <c r="BG113" i="34"/>
  <c r="BF108" i="34"/>
  <c r="BG108" i="34"/>
  <c r="BG98" i="34"/>
  <c r="BF98" i="34"/>
  <c r="BG88" i="34"/>
  <c r="BF63" i="34"/>
  <c r="BG63" i="34"/>
  <c r="BG52" i="34"/>
  <c r="BF52" i="34"/>
  <c r="BF41" i="34"/>
  <c r="BG41" i="34"/>
  <c r="BF30" i="34"/>
  <c r="BG30" i="34"/>
  <c r="BF25" i="34"/>
  <c r="BG25" i="34"/>
  <c r="BG2" i="34"/>
  <c r="BH2" i="34"/>
  <c r="BF2" i="34"/>
  <c r="BI2" i="34"/>
  <c r="D17" i="32"/>
  <c r="E17" i="32"/>
  <c r="F17" i="32"/>
  <c r="G17" i="32"/>
  <c r="H17" i="32"/>
  <c r="I17" i="32"/>
  <c r="J17" i="32"/>
  <c r="K17" i="32"/>
  <c r="L17" i="32"/>
  <c r="M17" i="32"/>
  <c r="N17" i="32"/>
  <c r="O17" i="32"/>
  <c r="P17" i="32"/>
  <c r="Q17" i="32"/>
  <c r="R17" i="32"/>
  <c r="S17" i="32"/>
  <c r="T17" i="32"/>
  <c r="U17" i="32"/>
  <c r="V17" i="32"/>
  <c r="W17" i="32"/>
  <c r="X17" i="32"/>
  <c r="Y17" i="32"/>
  <c r="Z17" i="32"/>
  <c r="AA17" i="32"/>
  <c r="AB17" i="32"/>
  <c r="AC17" i="32"/>
  <c r="AD17" i="32"/>
  <c r="AE17" i="32"/>
  <c r="AF17" i="32"/>
  <c r="AG17" i="32"/>
  <c r="AH17" i="32"/>
  <c r="AI17" i="32"/>
  <c r="AJ17" i="32"/>
  <c r="AK17" i="32"/>
  <c r="AL17" i="32"/>
  <c r="AM17" i="32"/>
  <c r="AN17" i="32"/>
  <c r="AO17" i="32"/>
  <c r="AP17" i="32"/>
  <c r="AQ17" i="32"/>
  <c r="AR17" i="32"/>
  <c r="AS17" i="32"/>
  <c r="AT17" i="32"/>
  <c r="AU17" i="32"/>
  <c r="AV17" i="32"/>
  <c r="AW17" i="32"/>
  <c r="AX17" i="32"/>
  <c r="AY17" i="32"/>
  <c r="AZ17" i="32"/>
  <c r="BA17" i="32"/>
  <c r="BB17" i="32"/>
  <c r="BC17" i="32"/>
  <c r="C17" i="32"/>
  <c r="F15" i="32"/>
  <c r="BC5" i="32"/>
  <c r="BB5" i="32"/>
  <c r="BA5" i="32"/>
  <c r="AZ5" i="32"/>
  <c r="AY5" i="32"/>
  <c r="AX5" i="32"/>
  <c r="AW5" i="32"/>
  <c r="AV5" i="32"/>
  <c r="AU5" i="32"/>
  <c r="AT5" i="32"/>
  <c r="AS5" i="32"/>
  <c r="AR5" i="32"/>
  <c r="AQ5"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C5" i="32"/>
  <c r="P182" i="34" l="1"/>
  <c r="P167" i="23" s="1"/>
  <c r="BA182" i="34"/>
  <c r="BA167" i="23" s="1"/>
  <c r="AK182" i="34"/>
  <c r="AK167" i="23" s="1"/>
  <c r="T182" i="34"/>
  <c r="T167" i="23" s="1"/>
  <c r="AF182" i="34"/>
  <c r="AF167" i="23" s="1"/>
  <c r="H182" i="34"/>
  <c r="H167" i="23" s="1"/>
  <c r="BE182" i="34"/>
  <c r="AN182" i="34"/>
  <c r="AN167" i="23" s="1"/>
  <c r="AP182" i="34"/>
  <c r="AP167" i="23" s="1"/>
  <c r="U167" i="23"/>
  <c r="C15" i="44"/>
  <c r="E21" i="46"/>
  <c r="E182" i="34"/>
  <c r="E167" i="23" s="1"/>
  <c r="O182" i="34"/>
  <c r="O167" i="23" s="1"/>
  <c r="C17" i="52"/>
  <c r="BE167" i="23"/>
  <c r="C43" i="32"/>
  <c r="C46" i="32"/>
  <c r="I46" i="32"/>
  <c r="I43" i="32"/>
  <c r="Q43" i="32"/>
  <c r="Q46" i="32"/>
  <c r="W46" i="32"/>
  <c r="W43" i="32"/>
  <c r="AA43" i="32"/>
  <c r="AA46" i="32"/>
  <c r="AI43" i="32"/>
  <c r="AI46" i="32"/>
  <c r="AM46" i="32"/>
  <c r="AM43" i="32"/>
  <c r="AQ46" i="32"/>
  <c r="AQ43" i="32"/>
  <c r="AW43" i="32"/>
  <c r="AW46" i="32"/>
  <c r="AY46" i="32"/>
  <c r="AY43" i="32"/>
  <c r="BA46" i="32"/>
  <c r="BA43" i="32"/>
  <c r="BC43" i="32"/>
  <c r="BC46" i="32"/>
  <c r="E43" i="32"/>
  <c r="E46" i="32"/>
  <c r="G46" i="32"/>
  <c r="G43" i="32"/>
  <c r="K43" i="32"/>
  <c r="K46" i="32"/>
  <c r="M46" i="32"/>
  <c r="M43" i="32"/>
  <c r="O43" i="32"/>
  <c r="O46" i="32"/>
  <c r="S43" i="32"/>
  <c r="S46" i="32"/>
  <c r="U43" i="32"/>
  <c r="U46" i="32"/>
  <c r="Y43" i="32"/>
  <c r="Y46" i="32"/>
  <c r="AC43" i="32"/>
  <c r="AC46" i="32"/>
  <c r="AE43" i="32"/>
  <c r="AE46" i="32"/>
  <c r="AG43" i="32"/>
  <c r="AG46" i="32"/>
  <c r="AK43" i="32"/>
  <c r="AK46" i="32"/>
  <c r="AO43" i="32"/>
  <c r="AO46" i="32"/>
  <c r="AS43" i="32"/>
  <c r="AS46" i="32"/>
  <c r="AU43" i="32"/>
  <c r="AU46" i="32"/>
  <c r="D43" i="32"/>
  <c r="D46" i="32"/>
  <c r="F43" i="32"/>
  <c r="F46" i="32"/>
  <c r="H46" i="32"/>
  <c r="H43" i="32"/>
  <c r="J43" i="32"/>
  <c r="J46" i="32"/>
  <c r="L43" i="32"/>
  <c r="L46" i="32"/>
  <c r="N46" i="32"/>
  <c r="N43" i="32"/>
  <c r="P43" i="32"/>
  <c r="P46" i="32"/>
  <c r="R43" i="32"/>
  <c r="R46" i="32"/>
  <c r="T46" i="32"/>
  <c r="T43" i="32"/>
  <c r="V46" i="32"/>
  <c r="V43" i="32"/>
  <c r="X43" i="32"/>
  <c r="X46" i="32"/>
  <c r="Z46" i="32"/>
  <c r="Z43" i="32"/>
  <c r="AB43" i="32"/>
  <c r="AB46" i="32"/>
  <c r="AD46" i="32"/>
  <c r="AD43" i="32"/>
  <c r="AF43" i="32"/>
  <c r="AF46" i="32"/>
  <c r="AH46" i="32"/>
  <c r="AH43" i="32"/>
  <c r="AJ43" i="32"/>
  <c r="AJ46" i="32"/>
  <c r="AL46" i="32"/>
  <c r="AL43" i="32"/>
  <c r="AN43" i="32"/>
  <c r="AN46" i="32"/>
  <c r="AP46" i="32"/>
  <c r="AP43" i="32"/>
  <c r="AR46" i="32"/>
  <c r="AR43" i="32"/>
  <c r="AT46" i="32"/>
  <c r="AT43" i="32"/>
  <c r="AV43" i="32"/>
  <c r="AV46" i="32"/>
  <c r="AX46" i="32"/>
  <c r="AX43" i="32"/>
  <c r="AZ46" i="32"/>
  <c r="AZ43" i="32"/>
  <c r="BB43" i="32"/>
  <c r="BB46" i="32"/>
  <c r="L182" i="34"/>
  <c r="E185" i="53" s="1"/>
  <c r="E90" i="53"/>
  <c r="BH87" i="34"/>
  <c r="BH4" i="34"/>
  <c r="BI87" i="34"/>
  <c r="BF87" i="34"/>
  <c r="BI4" i="34"/>
  <c r="BF17" i="32"/>
  <c r="BG17" i="32"/>
  <c r="BG87" i="34"/>
  <c r="BF4" i="34"/>
  <c r="BG4" i="34"/>
  <c r="BD17" i="32"/>
  <c r="BE17" i="32"/>
  <c r="BF5" i="32"/>
  <c r="BD5" i="32"/>
  <c r="BG5" i="32"/>
  <c r="BE5" i="32"/>
  <c r="BG182" i="34" l="1"/>
  <c r="BG167" i="23" s="1"/>
  <c r="BI182" i="34"/>
  <c r="BI167" i="23" s="1"/>
  <c r="L167" i="23"/>
  <c r="C43" i="52"/>
  <c r="C46" i="52"/>
  <c r="BE43" i="32"/>
  <c r="BE46" i="32"/>
  <c r="BG43" i="32"/>
  <c r="BG46" i="32"/>
  <c r="BF43" i="32"/>
  <c r="BF46" i="32"/>
  <c r="BD43" i="32"/>
  <c r="BD46" i="32"/>
  <c r="D89" i="27"/>
  <c r="D43" i="27"/>
  <c r="BH182" i="34"/>
  <c r="BF182" i="34"/>
  <c r="BG7" i="24"/>
  <c r="F7" i="31" s="1"/>
  <c r="BG8" i="24"/>
  <c r="F8" i="31" s="1"/>
  <c r="BG9" i="24"/>
  <c r="F9" i="31" s="1"/>
  <c r="BG10" i="24"/>
  <c r="F10" i="31" s="1"/>
  <c r="BG11" i="24"/>
  <c r="F11" i="31" s="1"/>
  <c r="BG12" i="24"/>
  <c r="F12" i="31" s="1"/>
  <c r="BG15" i="24"/>
  <c r="F15" i="31" s="1"/>
  <c r="BG16" i="24"/>
  <c r="F16" i="31" s="1"/>
  <c r="BG17" i="24"/>
  <c r="F17" i="31" s="1"/>
  <c r="BG18" i="24"/>
  <c r="F18" i="31" s="1"/>
  <c r="BG19" i="24"/>
  <c r="F19" i="31" s="1"/>
  <c r="BG20" i="24"/>
  <c r="F20" i="31" s="1"/>
  <c r="BG21" i="24"/>
  <c r="F21" i="31" s="1"/>
  <c r="BG22" i="24"/>
  <c r="F22" i="31" s="1"/>
  <c r="BG25" i="24"/>
  <c r="F25" i="31" s="1"/>
  <c r="BG26" i="24"/>
  <c r="F26" i="31" s="1"/>
  <c r="BG27" i="24"/>
  <c r="F27" i="31" s="1"/>
  <c r="BG28" i="24"/>
  <c r="F28" i="31" s="1"/>
  <c r="BG31" i="24"/>
  <c r="F31" i="31" s="1"/>
  <c r="BG32" i="24"/>
  <c r="F32" i="31" s="1"/>
  <c r="BG33" i="24"/>
  <c r="F33" i="31" s="1"/>
  <c r="BG34" i="24"/>
  <c r="F34" i="31" s="1"/>
  <c r="BG35" i="24"/>
  <c r="F35" i="31" s="1"/>
  <c r="BG36" i="24"/>
  <c r="F36" i="31" s="1"/>
  <c r="BG37" i="24"/>
  <c r="F37" i="31" s="1"/>
  <c r="BG38" i="24"/>
  <c r="F38" i="31" s="1"/>
  <c r="BG41" i="24"/>
  <c r="F41" i="31" s="1"/>
  <c r="BG42" i="24"/>
  <c r="F42" i="31" s="1"/>
  <c r="BG43" i="24"/>
  <c r="F43" i="31" s="1"/>
  <c r="BG44" i="24"/>
  <c r="F44" i="31" s="1"/>
  <c r="BG45" i="24"/>
  <c r="F45" i="31" s="1"/>
  <c r="BG48" i="24"/>
  <c r="F48" i="31" s="1"/>
  <c r="BG49" i="24"/>
  <c r="F49" i="31" s="1"/>
  <c r="BG50" i="24"/>
  <c r="F50" i="31" s="1"/>
  <c r="BG51" i="24"/>
  <c r="F51" i="31" s="1"/>
  <c r="BG54" i="24"/>
  <c r="F54" i="31" s="1"/>
  <c r="BG55" i="24"/>
  <c r="F55" i="31" s="1"/>
  <c r="BG56" i="24"/>
  <c r="F56" i="31" s="1"/>
  <c r="BG57" i="24"/>
  <c r="F57" i="31" s="1"/>
  <c r="BG58" i="24"/>
  <c r="F58" i="31" s="1"/>
  <c r="BG59" i="24"/>
  <c r="F59" i="31" s="1"/>
  <c r="BG62" i="24"/>
  <c r="F62" i="31" s="1"/>
  <c r="BG63" i="24"/>
  <c r="F63" i="31" s="1"/>
  <c r="BG64" i="24"/>
  <c r="F64" i="31" s="1"/>
  <c r="BG65" i="24"/>
  <c r="F65" i="31" s="1"/>
  <c r="BG69" i="24"/>
  <c r="F69" i="31" s="1"/>
  <c r="BG70" i="24"/>
  <c r="F70" i="31" s="1"/>
  <c r="BG71" i="24"/>
  <c r="F71" i="31" s="1"/>
  <c r="BG72" i="24"/>
  <c r="F72" i="31" s="1"/>
  <c r="BG73" i="24"/>
  <c r="F73" i="31" s="1"/>
  <c r="BG74" i="24"/>
  <c r="F74" i="31" s="1"/>
  <c r="BG75" i="24"/>
  <c r="F75" i="31" s="1"/>
  <c r="BG76" i="24"/>
  <c r="F76" i="31" s="1"/>
  <c r="BG77" i="24"/>
  <c r="F77" i="31" s="1"/>
  <c r="BG80" i="24"/>
  <c r="F80" i="31" s="1"/>
  <c r="BG81" i="24"/>
  <c r="F81" i="31" s="1"/>
  <c r="BG86" i="24"/>
  <c r="F84" i="31" s="1"/>
  <c r="BG87" i="24"/>
  <c r="F85" i="31" s="1"/>
  <c r="BG88" i="24"/>
  <c r="F86" i="31" s="1"/>
  <c r="BG89" i="24"/>
  <c r="F87" i="31" s="1"/>
  <c r="BG90" i="24"/>
  <c r="F88" i="31" s="1"/>
  <c r="BG91" i="24"/>
  <c r="F89" i="31" s="1"/>
  <c r="BG92" i="24"/>
  <c r="F90" i="31" s="1"/>
  <c r="BG93" i="24"/>
  <c r="F91" i="31" s="1"/>
  <c r="BG94" i="24"/>
  <c r="F92" i="31" s="1"/>
  <c r="BG97" i="24"/>
  <c r="F95" i="31" s="1"/>
  <c r="BG98" i="24"/>
  <c r="F96" i="31" s="1"/>
  <c r="BG99" i="24"/>
  <c r="F97" i="31" s="1"/>
  <c r="BG100" i="24"/>
  <c r="F98" i="31" s="1"/>
  <c r="BG101" i="24"/>
  <c r="F99" i="31" s="1"/>
  <c r="BG102" i="24"/>
  <c r="F100" i="31" s="1"/>
  <c r="BG103" i="24"/>
  <c r="F101" i="31" s="1"/>
  <c r="BG104" i="24"/>
  <c r="F102" i="31" s="1"/>
  <c r="BG105" i="24"/>
  <c r="F103" i="31" s="1"/>
  <c r="BG108" i="24"/>
  <c r="F106" i="31" s="1"/>
  <c r="BG109" i="24"/>
  <c r="F107" i="31" s="1"/>
  <c r="BG110" i="24"/>
  <c r="F108" i="31" s="1"/>
  <c r="BG111" i="24"/>
  <c r="F109" i="31" s="1"/>
  <c r="BG112" i="24"/>
  <c r="F110" i="31" s="1"/>
  <c r="BG113" i="24"/>
  <c r="F111" i="31" s="1"/>
  <c r="BG114" i="24"/>
  <c r="F112" i="31" s="1"/>
  <c r="BG115" i="24"/>
  <c r="F113" i="31" s="1"/>
  <c r="BG116" i="24"/>
  <c r="F114" i="31" s="1"/>
  <c r="BG117" i="24"/>
  <c r="F115" i="31" s="1"/>
  <c r="BG123" i="24"/>
  <c r="F121" i="31" s="1"/>
  <c r="BG124" i="24"/>
  <c r="F122" i="31" s="1"/>
  <c r="BG125" i="24"/>
  <c r="F123" i="31" s="1"/>
  <c r="BG126" i="24"/>
  <c r="F124" i="31" s="1"/>
  <c r="BG127" i="24"/>
  <c r="F125" i="31" s="1"/>
  <c r="BG128" i="24"/>
  <c r="F126" i="31" s="1"/>
  <c r="BG129" i="24"/>
  <c r="F127" i="31" s="1"/>
  <c r="BG130" i="24"/>
  <c r="F128" i="31" s="1"/>
  <c r="BG133" i="24"/>
  <c r="F131" i="31" s="1"/>
  <c r="BG134" i="24"/>
  <c r="F132" i="31" s="1"/>
  <c r="BG135" i="24"/>
  <c r="F133" i="31" s="1"/>
  <c r="BG136" i="24"/>
  <c r="F134" i="31" s="1"/>
  <c r="BG137" i="24"/>
  <c r="F135" i="31" s="1"/>
  <c r="BG138" i="24"/>
  <c r="F136" i="31" s="1"/>
  <c r="BG139" i="24"/>
  <c r="F137" i="31" s="1"/>
  <c r="BG140" i="24"/>
  <c r="F138" i="31" s="1"/>
  <c r="BG143" i="24"/>
  <c r="F141" i="31" s="1"/>
  <c r="BG144" i="24"/>
  <c r="F142" i="31" s="1"/>
  <c r="BG145" i="24"/>
  <c r="F143" i="31" s="1"/>
  <c r="BG146" i="24"/>
  <c r="F144" i="31" s="1"/>
  <c r="BG147" i="24"/>
  <c r="F145" i="31" s="1"/>
  <c r="BG148" i="24"/>
  <c r="F146" i="31" s="1"/>
  <c r="BG149" i="24"/>
  <c r="F147" i="31" s="1"/>
  <c r="BG150" i="24"/>
  <c r="F148" i="31" s="1"/>
  <c r="BG153" i="24"/>
  <c r="F151" i="31" s="1"/>
  <c r="BG154" i="24"/>
  <c r="F152" i="31" s="1"/>
  <c r="BG155" i="24"/>
  <c r="F153" i="31" s="1"/>
  <c r="BG156" i="24"/>
  <c r="F154" i="31" s="1"/>
  <c r="BG157" i="24"/>
  <c r="BG158" i="24"/>
  <c r="F156" i="31" s="1"/>
  <c r="BG159" i="24"/>
  <c r="F157" i="31" s="1"/>
  <c r="BG160" i="24"/>
  <c r="F158" i="31" s="1"/>
  <c r="BG161" i="24"/>
  <c r="F159" i="31" s="1"/>
  <c r="BG162" i="24"/>
  <c r="F160" i="31" s="1"/>
  <c r="BG165" i="24"/>
  <c r="F163" i="31" s="1"/>
  <c r="BG166" i="24"/>
  <c r="F164" i="31" s="1"/>
  <c r="BG167" i="24"/>
  <c r="F165" i="31" s="1"/>
  <c r="BG168" i="24"/>
  <c r="F166" i="31" s="1"/>
  <c r="BG169" i="24"/>
  <c r="F167" i="31" s="1"/>
  <c r="BG170" i="24"/>
  <c r="F168" i="31" s="1"/>
  <c r="BG173" i="24"/>
  <c r="F171" i="31" s="1"/>
  <c r="BG174" i="24"/>
  <c r="F172" i="31" s="1"/>
  <c r="BG175" i="24"/>
  <c r="F173" i="31" s="1"/>
  <c r="BG176" i="24"/>
  <c r="F174" i="31" s="1"/>
  <c r="BG177" i="24"/>
  <c r="F175" i="31" s="1"/>
  <c r="BG178" i="24"/>
  <c r="F176" i="31" s="1"/>
  <c r="BG179" i="24"/>
  <c r="F177" i="31" s="1"/>
  <c r="BG180" i="24"/>
  <c r="F178" i="31" s="1"/>
  <c r="BG181" i="24"/>
  <c r="F179" i="31" s="1"/>
  <c r="BG184" i="24"/>
  <c r="F182" i="31" s="1"/>
  <c r="BG185" i="24"/>
  <c r="F183" i="31" s="1"/>
  <c r="BG186" i="24"/>
  <c r="F184" i="31" s="1"/>
  <c r="BG187" i="24"/>
  <c r="F185" i="31" s="1"/>
  <c r="BG191" i="24"/>
  <c r="F189" i="31" s="1"/>
  <c r="BG194" i="24"/>
  <c r="F192" i="31" s="1"/>
  <c r="BG195" i="24"/>
  <c r="F193" i="31" s="1"/>
  <c r="BG198" i="24"/>
  <c r="F196" i="31" s="1"/>
  <c r="BG201" i="24"/>
  <c r="F199" i="31" s="1"/>
  <c r="BG204" i="24"/>
  <c r="F202" i="31" s="1"/>
  <c r="BG207" i="24"/>
  <c r="F205" i="31" s="1"/>
  <c r="BG210" i="24"/>
  <c r="F208" i="31" s="1"/>
  <c r="BG213" i="24"/>
  <c r="F211" i="31" s="1"/>
  <c r="F215" i="31"/>
  <c r="F155" i="31"/>
  <c r="BJ216" i="24"/>
  <c r="BJ221" i="24" s="1"/>
  <c r="BJ217" i="24"/>
  <c r="BI216" i="24"/>
  <c r="BI221" i="24" s="1"/>
  <c r="BI217" i="24"/>
  <c r="BH216" i="24"/>
  <c r="BH217" i="24"/>
  <c r="BK217" i="24" s="1"/>
  <c r="BJ213" i="24"/>
  <c r="BI213" i="24"/>
  <c r="BH213" i="24"/>
  <c r="BJ7" i="24"/>
  <c r="BJ8" i="24"/>
  <c r="BJ9" i="24"/>
  <c r="BJ10" i="24"/>
  <c r="BJ11" i="24"/>
  <c r="BJ12" i="24"/>
  <c r="BJ15" i="24"/>
  <c r="BJ16" i="24"/>
  <c r="BJ17" i="24"/>
  <c r="BJ18" i="24"/>
  <c r="BJ19" i="24"/>
  <c r="BJ20" i="24"/>
  <c r="BJ21" i="24"/>
  <c r="BJ22" i="24"/>
  <c r="BJ25" i="24"/>
  <c r="BJ26" i="24"/>
  <c r="BJ27" i="24"/>
  <c r="BJ28" i="24"/>
  <c r="BJ31" i="24"/>
  <c r="BJ32" i="24"/>
  <c r="BJ33" i="24"/>
  <c r="BJ34" i="24"/>
  <c r="BJ35" i="24"/>
  <c r="BJ36" i="24"/>
  <c r="BJ37" i="24"/>
  <c r="BJ38" i="24"/>
  <c r="BJ41" i="24"/>
  <c r="BJ42" i="24"/>
  <c r="BJ43" i="24"/>
  <c r="BJ44" i="24"/>
  <c r="BJ45" i="24"/>
  <c r="BJ48" i="24"/>
  <c r="BJ49" i="24"/>
  <c r="BJ50" i="24"/>
  <c r="BJ51" i="24"/>
  <c r="BJ54" i="24"/>
  <c r="BJ55" i="24"/>
  <c r="BJ56" i="24"/>
  <c r="BJ57" i="24"/>
  <c r="BJ58" i="24"/>
  <c r="BJ59" i="24"/>
  <c r="BJ62" i="24"/>
  <c r="BJ63" i="24"/>
  <c r="BJ64" i="24"/>
  <c r="BJ65" i="24"/>
  <c r="BJ69" i="24"/>
  <c r="BJ70" i="24"/>
  <c r="BJ71" i="24"/>
  <c r="BJ72" i="24"/>
  <c r="BJ73" i="24"/>
  <c r="BJ74" i="24"/>
  <c r="BJ75" i="24"/>
  <c r="BJ76" i="24"/>
  <c r="BJ77" i="24"/>
  <c r="BJ79" i="24"/>
  <c r="BJ80" i="24"/>
  <c r="BJ81" i="24"/>
  <c r="BJ86" i="24"/>
  <c r="BJ87" i="24"/>
  <c r="BJ88" i="24"/>
  <c r="BJ89" i="24"/>
  <c r="BJ90" i="24"/>
  <c r="BJ91" i="24"/>
  <c r="BJ92" i="24"/>
  <c r="BJ93" i="24"/>
  <c r="BJ94" i="24"/>
  <c r="BJ97" i="24"/>
  <c r="BJ98" i="24"/>
  <c r="BJ99" i="24"/>
  <c r="BJ100" i="24"/>
  <c r="BJ101" i="24"/>
  <c r="BJ102" i="24"/>
  <c r="BJ103" i="24"/>
  <c r="BJ104" i="24"/>
  <c r="BJ105" i="24"/>
  <c r="BJ108" i="24"/>
  <c r="BJ109" i="24"/>
  <c r="BJ110" i="24"/>
  <c r="BJ111" i="24"/>
  <c r="BJ112" i="24"/>
  <c r="BJ113" i="24"/>
  <c r="BJ114" i="24"/>
  <c r="BJ115" i="24"/>
  <c r="BJ116" i="24"/>
  <c r="BJ117" i="24"/>
  <c r="BJ123" i="24"/>
  <c r="BJ124" i="24"/>
  <c r="BJ125" i="24"/>
  <c r="BJ126" i="24"/>
  <c r="BJ127" i="24"/>
  <c r="BJ128" i="24"/>
  <c r="BJ129" i="24"/>
  <c r="BJ130" i="24"/>
  <c r="BJ133" i="24"/>
  <c r="BJ134" i="24"/>
  <c r="BJ135" i="24"/>
  <c r="BJ136" i="24"/>
  <c r="BJ137" i="24"/>
  <c r="BJ138" i="24"/>
  <c r="BJ139" i="24"/>
  <c r="BJ140" i="24"/>
  <c r="BJ143" i="24"/>
  <c r="BJ144" i="24"/>
  <c r="BJ145" i="24"/>
  <c r="BJ146" i="24"/>
  <c r="BJ147" i="24"/>
  <c r="BJ148" i="24"/>
  <c r="BJ149" i="24"/>
  <c r="BJ150" i="24"/>
  <c r="BJ153" i="24"/>
  <c r="BJ154" i="24"/>
  <c r="BJ155" i="24"/>
  <c r="BJ156" i="24"/>
  <c r="BJ157" i="24"/>
  <c r="BJ158" i="24"/>
  <c r="BJ159" i="24"/>
  <c r="BJ160" i="24"/>
  <c r="BJ161" i="24"/>
  <c r="BJ162" i="24"/>
  <c r="BJ165" i="24"/>
  <c r="BJ166" i="24"/>
  <c r="BJ167" i="24"/>
  <c r="BJ168" i="24"/>
  <c r="BJ169" i="24"/>
  <c r="BJ170" i="24"/>
  <c r="BJ173" i="24"/>
  <c r="BJ174" i="24"/>
  <c r="BJ175" i="24"/>
  <c r="BJ176" i="24"/>
  <c r="BJ177" i="24"/>
  <c r="BJ178" i="24"/>
  <c r="BJ179" i="24"/>
  <c r="BJ180" i="24"/>
  <c r="BJ181" i="24"/>
  <c r="BJ184" i="24"/>
  <c r="BJ185" i="24"/>
  <c r="BJ186" i="24"/>
  <c r="BJ187" i="24"/>
  <c r="BJ191" i="24"/>
  <c r="BJ194" i="24"/>
  <c r="BJ195" i="24"/>
  <c r="BJ198" i="24"/>
  <c r="BJ201" i="24"/>
  <c r="BJ204" i="24"/>
  <c r="BJ207" i="24"/>
  <c r="BJ210" i="24"/>
  <c r="BI7" i="24"/>
  <c r="BI8" i="24"/>
  <c r="BI9" i="24"/>
  <c r="BI10" i="24"/>
  <c r="BI11" i="24"/>
  <c r="BI12" i="24"/>
  <c r="BI15" i="24"/>
  <c r="BI16" i="24"/>
  <c r="BI17" i="24"/>
  <c r="BI18" i="24"/>
  <c r="BI19" i="24"/>
  <c r="BI20" i="24"/>
  <c r="BI21" i="24"/>
  <c r="BI22" i="24"/>
  <c r="BI25" i="24"/>
  <c r="BI26" i="24"/>
  <c r="BI27" i="24"/>
  <c r="BI28" i="24"/>
  <c r="BI31" i="24"/>
  <c r="BI32" i="24"/>
  <c r="BI33" i="24"/>
  <c r="BI34" i="24"/>
  <c r="BI35" i="24"/>
  <c r="BI36" i="24"/>
  <c r="BI37" i="24"/>
  <c r="BI38" i="24"/>
  <c r="BI41" i="24"/>
  <c r="BI42" i="24"/>
  <c r="BI43" i="24"/>
  <c r="BI44" i="24"/>
  <c r="BI45" i="24"/>
  <c r="BI48" i="24"/>
  <c r="BI49" i="24"/>
  <c r="BI50" i="24"/>
  <c r="BI51" i="24"/>
  <c r="BI54" i="24"/>
  <c r="BI55" i="24"/>
  <c r="BI56" i="24"/>
  <c r="BI57" i="24"/>
  <c r="BI58" i="24"/>
  <c r="BI59" i="24"/>
  <c r="BI62" i="24"/>
  <c r="BI63" i="24"/>
  <c r="BI64" i="24"/>
  <c r="BI65" i="24"/>
  <c r="BI69" i="24"/>
  <c r="BI70" i="24"/>
  <c r="BI71" i="24"/>
  <c r="BI72" i="24"/>
  <c r="BI73" i="24"/>
  <c r="BI74" i="24"/>
  <c r="BI75" i="24"/>
  <c r="BI76" i="24"/>
  <c r="BI77" i="24"/>
  <c r="BI79" i="24"/>
  <c r="BI80" i="24"/>
  <c r="BI81" i="24"/>
  <c r="BI86" i="24"/>
  <c r="BI87" i="24"/>
  <c r="BI88" i="24"/>
  <c r="BI89" i="24"/>
  <c r="BI90" i="24"/>
  <c r="BI91" i="24"/>
  <c r="BI92" i="24"/>
  <c r="BI93" i="24"/>
  <c r="BI94" i="24"/>
  <c r="BI97" i="24"/>
  <c r="BI98" i="24"/>
  <c r="BI99" i="24"/>
  <c r="BI100" i="24"/>
  <c r="BI101" i="24"/>
  <c r="BI102" i="24"/>
  <c r="BI103" i="24"/>
  <c r="BI104" i="24"/>
  <c r="BI105" i="24"/>
  <c r="BI108" i="24"/>
  <c r="BI109" i="24"/>
  <c r="BI110" i="24"/>
  <c r="BI111" i="24"/>
  <c r="BI112" i="24"/>
  <c r="BI113" i="24"/>
  <c r="BI114" i="24"/>
  <c r="BI115" i="24"/>
  <c r="BI116" i="24"/>
  <c r="BI117" i="24"/>
  <c r="BI123" i="24"/>
  <c r="BI124" i="24"/>
  <c r="BI125" i="24"/>
  <c r="BI126" i="24"/>
  <c r="BI127" i="24"/>
  <c r="BI128" i="24"/>
  <c r="BI129" i="24"/>
  <c r="BI130" i="24"/>
  <c r="BI133" i="24"/>
  <c r="BI134" i="24"/>
  <c r="BI135" i="24"/>
  <c r="BI136" i="24"/>
  <c r="BI137" i="24"/>
  <c r="BI138" i="24"/>
  <c r="BI139" i="24"/>
  <c r="BI140" i="24"/>
  <c r="BI143" i="24"/>
  <c r="BI144" i="24"/>
  <c r="BI145" i="24"/>
  <c r="BI146" i="24"/>
  <c r="BI147" i="24"/>
  <c r="BI148" i="24"/>
  <c r="BI149" i="24"/>
  <c r="BI150" i="24"/>
  <c r="BI153" i="24"/>
  <c r="BI154" i="24"/>
  <c r="BI155" i="24"/>
  <c r="BI156" i="24"/>
  <c r="BI157" i="24"/>
  <c r="BI158" i="24"/>
  <c r="BI159" i="24"/>
  <c r="BI160" i="24"/>
  <c r="BI161" i="24"/>
  <c r="BI162" i="24"/>
  <c r="BI165" i="24"/>
  <c r="BI166" i="24"/>
  <c r="BI167" i="24"/>
  <c r="BI168" i="24"/>
  <c r="BI169" i="24"/>
  <c r="BI170" i="24"/>
  <c r="BI173" i="24"/>
  <c r="BI174" i="24"/>
  <c r="BI175" i="24"/>
  <c r="BI176" i="24"/>
  <c r="BI177" i="24"/>
  <c r="BI178" i="24"/>
  <c r="BI179" i="24"/>
  <c r="BI180" i="24"/>
  <c r="BI181" i="24"/>
  <c r="BI184" i="24"/>
  <c r="BI185" i="24"/>
  <c r="BI186" i="24"/>
  <c r="BI187" i="24"/>
  <c r="BI191" i="24"/>
  <c r="BI194" i="24"/>
  <c r="BI195" i="24"/>
  <c r="BI198" i="24"/>
  <c r="BI201" i="24"/>
  <c r="BI204" i="24"/>
  <c r="BI207" i="24"/>
  <c r="BI210" i="24"/>
  <c r="BH7" i="24"/>
  <c r="BH8" i="24"/>
  <c r="BH9" i="24"/>
  <c r="BH10" i="24"/>
  <c r="BH11" i="24"/>
  <c r="BH12" i="24"/>
  <c r="BH15" i="24"/>
  <c r="BH16" i="24"/>
  <c r="BH17" i="24"/>
  <c r="BH18" i="24"/>
  <c r="BH19" i="24"/>
  <c r="BH20" i="24"/>
  <c r="BH21" i="24"/>
  <c r="BH22" i="24"/>
  <c r="BH25" i="24"/>
  <c r="BH26" i="24"/>
  <c r="BH27" i="24"/>
  <c r="BH28" i="24"/>
  <c r="BH31" i="24"/>
  <c r="BH32" i="24"/>
  <c r="BH33" i="24"/>
  <c r="BH34" i="24"/>
  <c r="BH35" i="24"/>
  <c r="BH36" i="24"/>
  <c r="BH37" i="24"/>
  <c r="BH38" i="24"/>
  <c r="BH41" i="24"/>
  <c r="BH42" i="24"/>
  <c r="BH43" i="24"/>
  <c r="BH44" i="24"/>
  <c r="BH45" i="24"/>
  <c r="BH48" i="24"/>
  <c r="BH49" i="24"/>
  <c r="BH50" i="24"/>
  <c r="BH51" i="24"/>
  <c r="BH54" i="24"/>
  <c r="BH55" i="24"/>
  <c r="BH56" i="24"/>
  <c r="BH57" i="24"/>
  <c r="BH58" i="24"/>
  <c r="BH59" i="24"/>
  <c r="BH62" i="24"/>
  <c r="BH63" i="24"/>
  <c r="BH64" i="24"/>
  <c r="BH65" i="24"/>
  <c r="BH69" i="24"/>
  <c r="BH70" i="24"/>
  <c r="BH71" i="24"/>
  <c r="BH72" i="24"/>
  <c r="BH73" i="24"/>
  <c r="BH74" i="24"/>
  <c r="BH75" i="24"/>
  <c r="BH76" i="24"/>
  <c r="BH77" i="24"/>
  <c r="BH80" i="24"/>
  <c r="BH81" i="24"/>
  <c r="BH86" i="24"/>
  <c r="BH87" i="24"/>
  <c r="BH88" i="24"/>
  <c r="BH89" i="24"/>
  <c r="BH90" i="24"/>
  <c r="BH91" i="24"/>
  <c r="BH92" i="24"/>
  <c r="BH93" i="24"/>
  <c r="BH94" i="24"/>
  <c r="BH97" i="24"/>
  <c r="BH98" i="24"/>
  <c r="BH99" i="24"/>
  <c r="BH100" i="24"/>
  <c r="BH101" i="24"/>
  <c r="BH102" i="24"/>
  <c r="BH103" i="24"/>
  <c r="BH104" i="24"/>
  <c r="BH105" i="24"/>
  <c r="BH108" i="24"/>
  <c r="BH109" i="24"/>
  <c r="BH110" i="24"/>
  <c r="BH111" i="24"/>
  <c r="BH112" i="24"/>
  <c r="BH113" i="24"/>
  <c r="BH114" i="24"/>
  <c r="BH115" i="24"/>
  <c r="BH116" i="24"/>
  <c r="BH117" i="24"/>
  <c r="BH123" i="24"/>
  <c r="BH124" i="24"/>
  <c r="BH125" i="24"/>
  <c r="BH126" i="24"/>
  <c r="BH127" i="24"/>
  <c r="BH128" i="24"/>
  <c r="BH129" i="24"/>
  <c r="BH130" i="24"/>
  <c r="BH133" i="24"/>
  <c r="BH134" i="24"/>
  <c r="BH135" i="24"/>
  <c r="BH136" i="24"/>
  <c r="BH137" i="24"/>
  <c r="BH138" i="24"/>
  <c r="BH139" i="24"/>
  <c r="BH140" i="24"/>
  <c r="BH143" i="24"/>
  <c r="BH144" i="24"/>
  <c r="BH145" i="24"/>
  <c r="BH146" i="24"/>
  <c r="BH147" i="24"/>
  <c r="BH148" i="24"/>
  <c r="BH149" i="24"/>
  <c r="BH150" i="24"/>
  <c r="BH153" i="24"/>
  <c r="BH154" i="24"/>
  <c r="BH155" i="24"/>
  <c r="BH156" i="24"/>
  <c r="BH157" i="24"/>
  <c r="BH158" i="24"/>
  <c r="BH159" i="24"/>
  <c r="BH160" i="24"/>
  <c r="BH161" i="24"/>
  <c r="BH162" i="24"/>
  <c r="BH165" i="24"/>
  <c r="BH166" i="24"/>
  <c r="BH167" i="24"/>
  <c r="BH168" i="24"/>
  <c r="BH169" i="24"/>
  <c r="BH170" i="24"/>
  <c r="BH173" i="24"/>
  <c r="BH174" i="24"/>
  <c r="BH175" i="24"/>
  <c r="BH176" i="24"/>
  <c r="BH177" i="24"/>
  <c r="BH178" i="24"/>
  <c r="BH179" i="24"/>
  <c r="BH180" i="24"/>
  <c r="BH181" i="24"/>
  <c r="BH184" i="24"/>
  <c r="BH185" i="24"/>
  <c r="BH186" i="24"/>
  <c r="BH187" i="24"/>
  <c r="BH191" i="24"/>
  <c r="BH194" i="24"/>
  <c r="BH195" i="24"/>
  <c r="BH198" i="24"/>
  <c r="BH201" i="24"/>
  <c r="BH204" i="24"/>
  <c r="BH207" i="24"/>
  <c r="BH210" i="24"/>
  <c r="G215" i="24"/>
  <c r="H215" i="24"/>
  <c r="I215" i="24"/>
  <c r="J215" i="24"/>
  <c r="K215" i="24"/>
  <c r="L215" i="24"/>
  <c r="M215" i="24"/>
  <c r="N215" i="24"/>
  <c r="O215" i="24"/>
  <c r="P215" i="24"/>
  <c r="Q215" i="24"/>
  <c r="R215" i="24"/>
  <c r="S215" i="24"/>
  <c r="T215" i="24"/>
  <c r="U215" i="24"/>
  <c r="V215" i="24"/>
  <c r="W215" i="24"/>
  <c r="X215" i="24"/>
  <c r="Y215" i="24"/>
  <c r="Z215" i="24"/>
  <c r="AA215" i="24"/>
  <c r="AB215" i="24"/>
  <c r="AC215" i="24"/>
  <c r="AD215" i="24"/>
  <c r="AE215" i="24"/>
  <c r="AF215" i="24"/>
  <c r="AG215" i="24"/>
  <c r="AH215" i="24"/>
  <c r="AI215" i="24"/>
  <c r="AJ215" i="24"/>
  <c r="AK215" i="24"/>
  <c r="AL215" i="24"/>
  <c r="AM215" i="24"/>
  <c r="AN215" i="24"/>
  <c r="AO215" i="24"/>
  <c r="AP215" i="24"/>
  <c r="AQ215" i="24"/>
  <c r="AR215" i="24"/>
  <c r="AS215" i="24"/>
  <c r="AT215" i="24"/>
  <c r="AU215" i="24"/>
  <c r="AV215" i="24"/>
  <c r="AW215" i="24"/>
  <c r="AX215" i="24"/>
  <c r="AY215" i="24"/>
  <c r="AZ215" i="24"/>
  <c r="BA215" i="24"/>
  <c r="BB215" i="24"/>
  <c r="BC215" i="24"/>
  <c r="BD215" i="24"/>
  <c r="BE215" i="24"/>
  <c r="BF215" i="24"/>
  <c r="G212" i="24"/>
  <c r="H212" i="24"/>
  <c r="I212" i="24"/>
  <c r="J212" i="24"/>
  <c r="K212" i="24"/>
  <c r="L212" i="24"/>
  <c r="M212" i="24"/>
  <c r="N212" i="24"/>
  <c r="O212" i="24"/>
  <c r="P212" i="24"/>
  <c r="Q212" i="24"/>
  <c r="R212" i="24"/>
  <c r="S212" i="24"/>
  <c r="T212" i="24"/>
  <c r="U212" i="24"/>
  <c r="V212" i="24"/>
  <c r="W212" i="24"/>
  <c r="X212" i="24"/>
  <c r="Y212" i="24"/>
  <c r="Z212" i="24"/>
  <c r="AA212" i="24"/>
  <c r="AB212" i="24"/>
  <c r="AC212" i="24"/>
  <c r="AD212" i="24"/>
  <c r="AE212" i="24"/>
  <c r="AF212" i="24"/>
  <c r="AG212" i="24"/>
  <c r="AH212" i="24"/>
  <c r="AI212" i="24"/>
  <c r="AJ212" i="24"/>
  <c r="AK212" i="24"/>
  <c r="AL212" i="24"/>
  <c r="AM212" i="24"/>
  <c r="AN212" i="24"/>
  <c r="AO212" i="24"/>
  <c r="AP212" i="24"/>
  <c r="AQ212" i="24"/>
  <c r="AR212" i="24"/>
  <c r="AS212" i="24"/>
  <c r="AT212" i="24"/>
  <c r="AU212" i="24"/>
  <c r="AV212" i="24"/>
  <c r="AW212" i="24"/>
  <c r="AX212" i="24"/>
  <c r="AY212" i="24"/>
  <c r="AZ212" i="24"/>
  <c r="BA212" i="24"/>
  <c r="BB212" i="24"/>
  <c r="BC212" i="24"/>
  <c r="BD212" i="24"/>
  <c r="BE212" i="24"/>
  <c r="BF212" i="24"/>
  <c r="G209" i="24"/>
  <c r="H209" i="24"/>
  <c r="I209" i="24"/>
  <c r="J209" i="24"/>
  <c r="K209" i="24"/>
  <c r="L209" i="24"/>
  <c r="M209" i="24"/>
  <c r="N209" i="24"/>
  <c r="O209" i="24"/>
  <c r="P209" i="24"/>
  <c r="Q209" i="24"/>
  <c r="R209" i="24"/>
  <c r="S209" i="24"/>
  <c r="T209" i="24"/>
  <c r="U209" i="24"/>
  <c r="V209" i="24"/>
  <c r="W209" i="24"/>
  <c r="X209" i="24"/>
  <c r="Y209" i="24"/>
  <c r="Z209" i="24"/>
  <c r="AA209" i="24"/>
  <c r="AB209" i="24"/>
  <c r="AC209" i="24"/>
  <c r="AD209" i="24"/>
  <c r="AE209" i="24"/>
  <c r="AF209" i="24"/>
  <c r="AG209" i="24"/>
  <c r="AH209" i="24"/>
  <c r="AI209" i="24"/>
  <c r="AJ209" i="24"/>
  <c r="AK209" i="24"/>
  <c r="AL209" i="24"/>
  <c r="AM209" i="24"/>
  <c r="AN209" i="24"/>
  <c r="AO209" i="24"/>
  <c r="AP209" i="24"/>
  <c r="AQ209" i="24"/>
  <c r="AR209" i="24"/>
  <c r="AS209" i="24"/>
  <c r="AT209" i="24"/>
  <c r="AU209" i="24"/>
  <c r="AV209" i="24"/>
  <c r="AW209" i="24"/>
  <c r="AX209" i="24"/>
  <c r="AY209" i="24"/>
  <c r="AZ209" i="24"/>
  <c r="BA209" i="24"/>
  <c r="BB209" i="24"/>
  <c r="BC209" i="24"/>
  <c r="BD209" i="24"/>
  <c r="BE209" i="24"/>
  <c r="BF209" i="24"/>
  <c r="G206" i="24"/>
  <c r="I206" i="24"/>
  <c r="J206" i="24"/>
  <c r="K206" i="24"/>
  <c r="L206" i="24"/>
  <c r="M206" i="24"/>
  <c r="N206" i="24"/>
  <c r="O206" i="24"/>
  <c r="P206" i="24"/>
  <c r="Q206" i="24"/>
  <c r="R206" i="24"/>
  <c r="S206" i="24"/>
  <c r="T206" i="24"/>
  <c r="U206" i="24"/>
  <c r="V206" i="24"/>
  <c r="W206" i="24"/>
  <c r="X206" i="24"/>
  <c r="Y206" i="24"/>
  <c r="Z206" i="24"/>
  <c r="AA206" i="24"/>
  <c r="AB206" i="24"/>
  <c r="AC206" i="24"/>
  <c r="AD206" i="24"/>
  <c r="AE206" i="24"/>
  <c r="AF206" i="24"/>
  <c r="AG206" i="24"/>
  <c r="AH206" i="24"/>
  <c r="AI206" i="24"/>
  <c r="AJ206" i="24"/>
  <c r="AK206" i="24"/>
  <c r="AL206" i="24"/>
  <c r="AM206" i="24"/>
  <c r="AN206" i="24"/>
  <c r="AO206" i="24"/>
  <c r="AP206" i="24"/>
  <c r="AQ206" i="24"/>
  <c r="AR206" i="24"/>
  <c r="AS206" i="24"/>
  <c r="AT206" i="24"/>
  <c r="AU206" i="24"/>
  <c r="AV206" i="24"/>
  <c r="AW206" i="24"/>
  <c r="AX206" i="24"/>
  <c r="AY206" i="24"/>
  <c r="AZ206" i="24"/>
  <c r="BA206" i="24"/>
  <c r="BB206" i="24"/>
  <c r="BC206" i="24"/>
  <c r="BD206" i="24"/>
  <c r="BE206" i="24"/>
  <c r="BF206" i="24"/>
  <c r="G203" i="24"/>
  <c r="H203" i="24"/>
  <c r="I203" i="24"/>
  <c r="J203" i="24"/>
  <c r="K203" i="24"/>
  <c r="L203" i="24"/>
  <c r="M203" i="24"/>
  <c r="N203" i="24"/>
  <c r="O203" i="24"/>
  <c r="P203" i="24"/>
  <c r="Q203" i="24"/>
  <c r="R203" i="24"/>
  <c r="S203" i="24"/>
  <c r="T203" i="24"/>
  <c r="U203" i="24"/>
  <c r="V203" i="24"/>
  <c r="W203" i="24"/>
  <c r="X203" i="24"/>
  <c r="Y203" i="24"/>
  <c r="Z203" i="24"/>
  <c r="AA203" i="24"/>
  <c r="AB203" i="24"/>
  <c r="AC203" i="24"/>
  <c r="AD203" i="24"/>
  <c r="AE203" i="24"/>
  <c r="AF203" i="24"/>
  <c r="AG203" i="24"/>
  <c r="AH203" i="24"/>
  <c r="AI203" i="24"/>
  <c r="AJ203" i="24"/>
  <c r="AK203" i="24"/>
  <c r="AL203" i="24"/>
  <c r="AM203" i="24"/>
  <c r="AN203" i="24"/>
  <c r="AO203" i="24"/>
  <c r="AP203" i="24"/>
  <c r="AQ203" i="24"/>
  <c r="AR203" i="24"/>
  <c r="AS203" i="24"/>
  <c r="AT203" i="24"/>
  <c r="AU203" i="24"/>
  <c r="AV203" i="24"/>
  <c r="AW203" i="24"/>
  <c r="AX203" i="24"/>
  <c r="AY203" i="24"/>
  <c r="AZ203" i="24"/>
  <c r="BA203" i="24"/>
  <c r="BB203" i="24"/>
  <c r="BC203" i="24"/>
  <c r="BD203" i="24"/>
  <c r="BE203" i="24"/>
  <c r="BF203" i="24"/>
  <c r="G200" i="24"/>
  <c r="H200" i="24"/>
  <c r="I200" i="24"/>
  <c r="J200" i="24"/>
  <c r="K200" i="24"/>
  <c r="L200" i="24"/>
  <c r="M200" i="24"/>
  <c r="N200" i="24"/>
  <c r="O200" i="24"/>
  <c r="P200" i="24"/>
  <c r="Q200" i="24"/>
  <c r="R200" i="24"/>
  <c r="S200" i="24"/>
  <c r="T200" i="24"/>
  <c r="U200" i="24"/>
  <c r="V200" i="24"/>
  <c r="W200" i="24"/>
  <c r="X200" i="24"/>
  <c r="Y200" i="24"/>
  <c r="Z200" i="24"/>
  <c r="AA200" i="24"/>
  <c r="AB200" i="24"/>
  <c r="AC200" i="24"/>
  <c r="AD200" i="24"/>
  <c r="AE200" i="24"/>
  <c r="AF200" i="24"/>
  <c r="AG200" i="24"/>
  <c r="AH200" i="24"/>
  <c r="AI200" i="24"/>
  <c r="AJ200" i="24"/>
  <c r="AK200" i="24"/>
  <c r="AL200" i="24"/>
  <c r="AM200" i="24"/>
  <c r="AN200" i="24"/>
  <c r="AO200" i="24"/>
  <c r="AP200" i="24"/>
  <c r="AQ200" i="24"/>
  <c r="AR200" i="24"/>
  <c r="AS200" i="24"/>
  <c r="AT200" i="24"/>
  <c r="AU200" i="24"/>
  <c r="AV200" i="24"/>
  <c r="AW200" i="24"/>
  <c r="AX200" i="24"/>
  <c r="AY200" i="24"/>
  <c r="AZ200" i="24"/>
  <c r="BA200" i="24"/>
  <c r="BB200" i="24"/>
  <c r="BC200" i="24"/>
  <c r="BD200" i="24"/>
  <c r="BE200" i="24"/>
  <c r="BF200" i="24"/>
  <c r="G197" i="24"/>
  <c r="H197" i="24"/>
  <c r="I197" i="24"/>
  <c r="J197" i="24"/>
  <c r="K197" i="24"/>
  <c r="L197" i="24"/>
  <c r="M197" i="24"/>
  <c r="N197" i="24"/>
  <c r="O197" i="24"/>
  <c r="P197" i="24"/>
  <c r="Q197" i="24"/>
  <c r="R197" i="24"/>
  <c r="S197" i="24"/>
  <c r="T197" i="24"/>
  <c r="U197" i="24"/>
  <c r="V197" i="24"/>
  <c r="W197" i="24"/>
  <c r="X197" i="24"/>
  <c r="Y197" i="24"/>
  <c r="Z197" i="24"/>
  <c r="AA197" i="24"/>
  <c r="AB197" i="24"/>
  <c r="AC197" i="24"/>
  <c r="AD197" i="24"/>
  <c r="AE197" i="24"/>
  <c r="AF197" i="24"/>
  <c r="AG197" i="24"/>
  <c r="AH197" i="24"/>
  <c r="AI197" i="24"/>
  <c r="AJ197" i="24"/>
  <c r="AK197" i="24"/>
  <c r="AL197" i="24"/>
  <c r="AM197" i="24"/>
  <c r="AN197" i="24"/>
  <c r="AO197" i="24"/>
  <c r="AP197" i="24"/>
  <c r="AQ197" i="24"/>
  <c r="AR197" i="24"/>
  <c r="AS197" i="24"/>
  <c r="AT197" i="24"/>
  <c r="AU197" i="24"/>
  <c r="AV197" i="24"/>
  <c r="AW197" i="24"/>
  <c r="AX197" i="24"/>
  <c r="AY197" i="24"/>
  <c r="AZ197" i="24"/>
  <c r="BA197" i="24"/>
  <c r="BB197" i="24"/>
  <c r="BC197" i="24"/>
  <c r="BD197" i="24"/>
  <c r="BE197" i="24"/>
  <c r="BF197" i="24"/>
  <c r="G193" i="24"/>
  <c r="H193" i="24"/>
  <c r="I193" i="24"/>
  <c r="J193" i="24"/>
  <c r="K193" i="24"/>
  <c r="L193" i="24"/>
  <c r="M193" i="24"/>
  <c r="N193" i="24"/>
  <c r="O193" i="24"/>
  <c r="P193" i="24"/>
  <c r="Q193" i="24"/>
  <c r="R193" i="24"/>
  <c r="S193" i="24"/>
  <c r="T193" i="24"/>
  <c r="U193" i="24"/>
  <c r="V193" i="24"/>
  <c r="W193" i="24"/>
  <c r="X193" i="24"/>
  <c r="Y193" i="24"/>
  <c r="Z193" i="24"/>
  <c r="AA193" i="24"/>
  <c r="AB193" i="24"/>
  <c r="AC193" i="24"/>
  <c r="AD193" i="24"/>
  <c r="AE193" i="24"/>
  <c r="AF193" i="24"/>
  <c r="AG193" i="24"/>
  <c r="AH193" i="24"/>
  <c r="AI193" i="24"/>
  <c r="AJ193" i="24"/>
  <c r="AK193" i="24"/>
  <c r="AL193" i="24"/>
  <c r="AM193" i="24"/>
  <c r="AN193" i="24"/>
  <c r="AO193" i="24"/>
  <c r="AP193" i="24"/>
  <c r="AQ193" i="24"/>
  <c r="AR193" i="24"/>
  <c r="AS193" i="24"/>
  <c r="AT193" i="24"/>
  <c r="AU193" i="24"/>
  <c r="AV193" i="24"/>
  <c r="AW193" i="24"/>
  <c r="AX193" i="24"/>
  <c r="AY193" i="24"/>
  <c r="AZ193" i="24"/>
  <c r="BA193" i="24"/>
  <c r="BB193" i="24"/>
  <c r="BC193" i="24"/>
  <c r="BD193" i="24"/>
  <c r="BE193" i="24"/>
  <c r="BF193" i="24"/>
  <c r="G190" i="24"/>
  <c r="H190" i="24"/>
  <c r="I190" i="24"/>
  <c r="J190" i="24"/>
  <c r="K190" i="24"/>
  <c r="L190" i="24"/>
  <c r="M190" i="24"/>
  <c r="N190" i="24"/>
  <c r="O190" i="24"/>
  <c r="P190" i="24"/>
  <c r="Q190" i="24"/>
  <c r="R190" i="24"/>
  <c r="S190" i="24"/>
  <c r="T190" i="24"/>
  <c r="U190" i="24"/>
  <c r="V190" i="24"/>
  <c r="W190" i="24"/>
  <c r="X190" i="24"/>
  <c r="Y190" i="24"/>
  <c r="Z190" i="24"/>
  <c r="AA190" i="24"/>
  <c r="AB190" i="24"/>
  <c r="AC190" i="24"/>
  <c r="AD190" i="24"/>
  <c r="AE190" i="24"/>
  <c r="AF190" i="24"/>
  <c r="AG190" i="24"/>
  <c r="AH190" i="24"/>
  <c r="AI190" i="24"/>
  <c r="AJ190" i="24"/>
  <c r="AK190" i="24"/>
  <c r="AL190" i="24"/>
  <c r="AM190" i="24"/>
  <c r="AN190" i="24"/>
  <c r="AO190" i="24"/>
  <c r="AP190" i="24"/>
  <c r="AQ190" i="24"/>
  <c r="AR190" i="24"/>
  <c r="AS190" i="24"/>
  <c r="AT190" i="24"/>
  <c r="AU190" i="24"/>
  <c r="AV190" i="24"/>
  <c r="AW190" i="24"/>
  <c r="AX190" i="24"/>
  <c r="AY190" i="24"/>
  <c r="AZ190" i="24"/>
  <c r="BA190" i="24"/>
  <c r="BB190" i="24"/>
  <c r="BC190" i="24"/>
  <c r="BD190" i="24"/>
  <c r="BE190" i="24"/>
  <c r="BF190" i="24"/>
  <c r="G183" i="24"/>
  <c r="H183" i="24"/>
  <c r="I183" i="24"/>
  <c r="J183" i="24"/>
  <c r="K183" i="24"/>
  <c r="L183" i="24"/>
  <c r="M183" i="24"/>
  <c r="N183" i="24"/>
  <c r="O183" i="24"/>
  <c r="P183" i="24"/>
  <c r="Q183" i="24"/>
  <c r="R183" i="24"/>
  <c r="S183" i="24"/>
  <c r="T183" i="24"/>
  <c r="U183" i="24"/>
  <c r="V183" i="24"/>
  <c r="W183" i="24"/>
  <c r="X183" i="24"/>
  <c r="Y183" i="24"/>
  <c r="Z183" i="24"/>
  <c r="AA183" i="24"/>
  <c r="AB183" i="24"/>
  <c r="AC183" i="24"/>
  <c r="AD183" i="24"/>
  <c r="AE183" i="24"/>
  <c r="AF183" i="24"/>
  <c r="AG183" i="24"/>
  <c r="AH183" i="24"/>
  <c r="AI183" i="24"/>
  <c r="AJ183" i="24"/>
  <c r="AK183" i="24"/>
  <c r="AL183" i="24"/>
  <c r="AM183" i="24"/>
  <c r="AN183" i="24"/>
  <c r="AO183" i="24"/>
  <c r="AP183" i="24"/>
  <c r="AQ183" i="24"/>
  <c r="AR183" i="24"/>
  <c r="AS183" i="24"/>
  <c r="AT183" i="24"/>
  <c r="AU183" i="24"/>
  <c r="AV183" i="24"/>
  <c r="AW183" i="24"/>
  <c r="AX183" i="24"/>
  <c r="AY183" i="24"/>
  <c r="AZ183" i="24"/>
  <c r="BA183" i="24"/>
  <c r="BB183" i="24"/>
  <c r="BC183" i="24"/>
  <c r="BD183" i="24"/>
  <c r="BE183" i="24"/>
  <c r="BF183" i="24"/>
  <c r="G172" i="24"/>
  <c r="H172" i="24"/>
  <c r="I172" i="24"/>
  <c r="J172" i="24"/>
  <c r="K172" i="24"/>
  <c r="L172" i="24"/>
  <c r="M172" i="24"/>
  <c r="N172" i="24"/>
  <c r="O172" i="24"/>
  <c r="P172" i="24"/>
  <c r="Q172" i="24"/>
  <c r="R172" i="24"/>
  <c r="S172" i="24"/>
  <c r="T172" i="24"/>
  <c r="U172" i="24"/>
  <c r="V172" i="24"/>
  <c r="W172" i="24"/>
  <c r="X172" i="24"/>
  <c r="Y172" i="24"/>
  <c r="Z172" i="24"/>
  <c r="AA172" i="24"/>
  <c r="AB172" i="24"/>
  <c r="AC172" i="24"/>
  <c r="AD172" i="24"/>
  <c r="AE172" i="24"/>
  <c r="AF172" i="24"/>
  <c r="AG172" i="24"/>
  <c r="AH172" i="24"/>
  <c r="AI172" i="24"/>
  <c r="AJ172" i="24"/>
  <c r="AK172" i="24"/>
  <c r="AL172" i="24"/>
  <c r="AM172" i="24"/>
  <c r="AN172" i="24"/>
  <c r="AO172" i="24"/>
  <c r="AP172" i="24"/>
  <c r="AQ172" i="24"/>
  <c r="AR172" i="24"/>
  <c r="AS172" i="24"/>
  <c r="AT172" i="24"/>
  <c r="AU172" i="24"/>
  <c r="AV172" i="24"/>
  <c r="AW172" i="24"/>
  <c r="AX172" i="24"/>
  <c r="AY172" i="24"/>
  <c r="AZ172" i="24"/>
  <c r="BA172" i="24"/>
  <c r="BB172" i="24"/>
  <c r="BC172" i="24"/>
  <c r="BD172" i="24"/>
  <c r="BE172" i="24"/>
  <c r="BF172" i="24"/>
  <c r="G164" i="24"/>
  <c r="H164" i="24"/>
  <c r="J164" i="24"/>
  <c r="K164" i="24"/>
  <c r="L164" i="24"/>
  <c r="M164" i="24"/>
  <c r="N164" i="24"/>
  <c r="O164" i="24"/>
  <c r="P164" i="24"/>
  <c r="Q164" i="24"/>
  <c r="R164" i="24"/>
  <c r="S164" i="24"/>
  <c r="T164" i="24"/>
  <c r="U164" i="24"/>
  <c r="V164" i="24"/>
  <c r="W164" i="24"/>
  <c r="X164" i="24"/>
  <c r="Y164" i="24"/>
  <c r="Z164" i="24"/>
  <c r="AA164" i="24"/>
  <c r="AB164" i="24"/>
  <c r="AC164" i="24"/>
  <c r="AD164" i="24"/>
  <c r="AE164" i="24"/>
  <c r="AF164" i="24"/>
  <c r="AG164" i="24"/>
  <c r="AH164" i="24"/>
  <c r="AI164" i="24"/>
  <c r="AJ164" i="24"/>
  <c r="AK164" i="24"/>
  <c r="AL164" i="24"/>
  <c r="AM164" i="24"/>
  <c r="AN164" i="24"/>
  <c r="AO164" i="24"/>
  <c r="AP164" i="24"/>
  <c r="AQ164" i="24"/>
  <c r="AR164" i="24"/>
  <c r="AS164" i="24"/>
  <c r="AT164" i="24"/>
  <c r="AU164" i="24"/>
  <c r="AV164" i="24"/>
  <c r="AW164" i="24"/>
  <c r="AX164" i="24"/>
  <c r="AY164" i="24"/>
  <c r="AZ164" i="24"/>
  <c r="BA164" i="24"/>
  <c r="BB164" i="24"/>
  <c r="BC164" i="24"/>
  <c r="BD164" i="24"/>
  <c r="BE164" i="24"/>
  <c r="BF164" i="24"/>
  <c r="G152" i="24"/>
  <c r="H152" i="24"/>
  <c r="I152" i="24"/>
  <c r="J152" i="24"/>
  <c r="K152" i="24"/>
  <c r="L152" i="24"/>
  <c r="M152" i="24"/>
  <c r="N152" i="24"/>
  <c r="O152" i="24"/>
  <c r="P152" i="24"/>
  <c r="Q152" i="24"/>
  <c r="R152" i="24"/>
  <c r="S152" i="24"/>
  <c r="T152" i="24"/>
  <c r="U152" i="24"/>
  <c r="V152" i="24"/>
  <c r="W152" i="24"/>
  <c r="X152" i="24"/>
  <c r="Y152" i="24"/>
  <c r="Z152" i="24"/>
  <c r="AA152" i="24"/>
  <c r="AB152" i="24"/>
  <c r="AC152" i="24"/>
  <c r="AD152" i="24"/>
  <c r="AE152" i="24"/>
  <c r="AF152" i="24"/>
  <c r="AG152" i="24"/>
  <c r="AH152" i="24"/>
  <c r="AI152" i="24"/>
  <c r="AJ152" i="24"/>
  <c r="AK152" i="24"/>
  <c r="AL152" i="24"/>
  <c r="AM152" i="24"/>
  <c r="AN152" i="24"/>
  <c r="AO152" i="24"/>
  <c r="AP152" i="24"/>
  <c r="AQ152" i="24"/>
  <c r="AR152" i="24"/>
  <c r="AS152" i="24"/>
  <c r="AT152" i="24"/>
  <c r="AU152" i="24"/>
  <c r="AV152" i="24"/>
  <c r="AW152" i="24"/>
  <c r="AX152" i="24"/>
  <c r="AY152" i="24"/>
  <c r="AZ152" i="24"/>
  <c r="BA152" i="24"/>
  <c r="BB152" i="24"/>
  <c r="BC152" i="24"/>
  <c r="BD152" i="24"/>
  <c r="BE152" i="24"/>
  <c r="BF152" i="24"/>
  <c r="G142" i="24"/>
  <c r="H142" i="24"/>
  <c r="I142" i="24"/>
  <c r="J142" i="24"/>
  <c r="K142" i="24"/>
  <c r="L142" i="24"/>
  <c r="M142" i="24"/>
  <c r="N142" i="24"/>
  <c r="O142" i="24"/>
  <c r="P142" i="24"/>
  <c r="Q142" i="24"/>
  <c r="R142" i="24"/>
  <c r="S142" i="24"/>
  <c r="T142" i="24"/>
  <c r="U142" i="24"/>
  <c r="V142" i="24"/>
  <c r="W142" i="24"/>
  <c r="X142" i="24"/>
  <c r="Y142" i="24"/>
  <c r="Z142" i="24"/>
  <c r="AA142" i="24"/>
  <c r="AB142" i="24"/>
  <c r="AC142" i="24"/>
  <c r="AD142" i="24"/>
  <c r="AE142" i="24"/>
  <c r="AF142" i="24"/>
  <c r="AG142" i="24"/>
  <c r="AH142" i="24"/>
  <c r="AI142" i="24"/>
  <c r="AJ142" i="24"/>
  <c r="AK142" i="24"/>
  <c r="AL142" i="24"/>
  <c r="AM142" i="24"/>
  <c r="AN142" i="24"/>
  <c r="AO142" i="24"/>
  <c r="AP142" i="24"/>
  <c r="AQ142" i="24"/>
  <c r="AR142" i="24"/>
  <c r="AS142" i="24"/>
  <c r="AT142" i="24"/>
  <c r="AU142" i="24"/>
  <c r="AV142" i="24"/>
  <c r="AW142" i="24"/>
  <c r="AX142" i="24"/>
  <c r="AY142" i="24"/>
  <c r="AZ142" i="24"/>
  <c r="BA142" i="24"/>
  <c r="BB142" i="24"/>
  <c r="BC142" i="24"/>
  <c r="BD142" i="24"/>
  <c r="BE142" i="24"/>
  <c r="BF142" i="24"/>
  <c r="G132" i="24"/>
  <c r="H132" i="24"/>
  <c r="I132" i="24"/>
  <c r="J132" i="24"/>
  <c r="K132" i="24"/>
  <c r="L132" i="24"/>
  <c r="M132" i="24"/>
  <c r="N132" i="24"/>
  <c r="O132" i="24"/>
  <c r="P132" i="24"/>
  <c r="Q132" i="24"/>
  <c r="R132" i="24"/>
  <c r="S132" i="24"/>
  <c r="T132" i="24"/>
  <c r="U132" i="24"/>
  <c r="V132" i="24"/>
  <c r="W132" i="24"/>
  <c r="X132" i="24"/>
  <c r="Y132" i="24"/>
  <c r="Z132" i="24"/>
  <c r="AA132" i="24"/>
  <c r="AB132" i="24"/>
  <c r="AC132" i="24"/>
  <c r="AD132" i="24"/>
  <c r="AE132" i="24"/>
  <c r="AF132" i="24"/>
  <c r="AG132" i="24"/>
  <c r="AH132" i="24"/>
  <c r="AI132" i="24"/>
  <c r="AJ132" i="24"/>
  <c r="AK132" i="24"/>
  <c r="AL132" i="24"/>
  <c r="AM132" i="24"/>
  <c r="AN132" i="24"/>
  <c r="AO132" i="24"/>
  <c r="AP132" i="24"/>
  <c r="AQ132" i="24"/>
  <c r="AR132" i="24"/>
  <c r="AS132" i="24"/>
  <c r="AT132" i="24"/>
  <c r="AU132" i="24"/>
  <c r="AV132" i="24"/>
  <c r="AW132" i="24"/>
  <c r="AX132" i="24"/>
  <c r="AY132" i="24"/>
  <c r="AZ132" i="24"/>
  <c r="BA132" i="24"/>
  <c r="BB132" i="24"/>
  <c r="BC132" i="24"/>
  <c r="BD132" i="24"/>
  <c r="BE132" i="24"/>
  <c r="BF132" i="24"/>
  <c r="G122" i="24"/>
  <c r="H122" i="24"/>
  <c r="E20" i="77" s="1"/>
  <c r="I122" i="24"/>
  <c r="F20" i="77" s="1"/>
  <c r="J122" i="24"/>
  <c r="G20" i="77" s="1"/>
  <c r="K122" i="24"/>
  <c r="H20" i="77" s="1"/>
  <c r="L122" i="24"/>
  <c r="I20" i="77" s="1"/>
  <c r="M122" i="24"/>
  <c r="J20" i="77" s="1"/>
  <c r="N122" i="24"/>
  <c r="K20" i="77" s="1"/>
  <c r="O122" i="24"/>
  <c r="L20" i="77" s="1"/>
  <c r="P122" i="24"/>
  <c r="M20" i="77" s="1"/>
  <c r="Q122" i="24"/>
  <c r="N20" i="77" s="1"/>
  <c r="R122" i="24"/>
  <c r="O20" i="77" s="1"/>
  <c r="S122" i="24"/>
  <c r="P20" i="77" s="1"/>
  <c r="T122" i="24"/>
  <c r="Q20" i="77" s="1"/>
  <c r="U122" i="24"/>
  <c r="R20" i="77" s="1"/>
  <c r="V122" i="24"/>
  <c r="S20" i="77" s="1"/>
  <c r="W122" i="24"/>
  <c r="T20" i="77" s="1"/>
  <c r="X122" i="24"/>
  <c r="U20" i="77" s="1"/>
  <c r="Y122" i="24"/>
  <c r="Z122" i="24"/>
  <c r="W20" i="77" s="1"/>
  <c r="AA122" i="24"/>
  <c r="X20" i="77" s="1"/>
  <c r="AB122" i="24"/>
  <c r="Y20" i="77" s="1"/>
  <c r="AC122" i="24"/>
  <c r="Z20" i="77" s="1"/>
  <c r="AD122" i="24"/>
  <c r="AA20" i="77" s="1"/>
  <c r="AE122" i="24"/>
  <c r="AB20" i="77" s="1"/>
  <c r="AF122" i="24"/>
  <c r="AC20" i="77" s="1"/>
  <c r="AG122" i="24"/>
  <c r="AH122" i="24"/>
  <c r="AI122" i="24"/>
  <c r="AJ122" i="24"/>
  <c r="AK122" i="24"/>
  <c r="AL122" i="24"/>
  <c r="AM122" i="24"/>
  <c r="AN122" i="24"/>
  <c r="AO122" i="24"/>
  <c r="AP122" i="24"/>
  <c r="AQ122" i="24"/>
  <c r="AR122" i="24"/>
  <c r="AS122" i="24"/>
  <c r="AT122" i="24"/>
  <c r="AU122" i="24"/>
  <c r="AV122" i="24"/>
  <c r="AW122" i="24"/>
  <c r="AX122" i="24"/>
  <c r="AY122" i="24"/>
  <c r="AZ122" i="24"/>
  <c r="BA122" i="24"/>
  <c r="BB122" i="24"/>
  <c r="BC122" i="24"/>
  <c r="BD122" i="24"/>
  <c r="BE122" i="24"/>
  <c r="BF122" i="24"/>
  <c r="G107" i="24"/>
  <c r="H107" i="24"/>
  <c r="I107" i="24"/>
  <c r="J107" i="24"/>
  <c r="K107" i="24"/>
  <c r="L107" i="24"/>
  <c r="M107" i="24"/>
  <c r="N107" i="24"/>
  <c r="O107" i="24"/>
  <c r="P107" i="24"/>
  <c r="Q107" i="24"/>
  <c r="R107" i="24"/>
  <c r="S107" i="24"/>
  <c r="T107" i="24"/>
  <c r="U107" i="24"/>
  <c r="V107" i="24"/>
  <c r="W107" i="24"/>
  <c r="X107" i="24"/>
  <c r="Y107" i="24"/>
  <c r="Z107" i="24"/>
  <c r="AA107" i="24"/>
  <c r="AB107" i="24"/>
  <c r="AC107" i="24"/>
  <c r="AD107" i="24"/>
  <c r="AE107" i="24"/>
  <c r="AF107" i="24"/>
  <c r="AG107" i="24"/>
  <c r="AH107" i="24"/>
  <c r="AI107" i="24"/>
  <c r="AJ107" i="24"/>
  <c r="AK107" i="24"/>
  <c r="AL107" i="24"/>
  <c r="AM107" i="24"/>
  <c r="AN107" i="24"/>
  <c r="AO107" i="24"/>
  <c r="AP107" i="24"/>
  <c r="AQ107" i="24"/>
  <c r="AR107" i="24"/>
  <c r="AS107" i="24"/>
  <c r="AT107" i="24"/>
  <c r="AU107" i="24"/>
  <c r="AV107" i="24"/>
  <c r="AW107" i="24"/>
  <c r="AX107" i="24"/>
  <c r="AY107" i="24"/>
  <c r="AZ107" i="24"/>
  <c r="BA107" i="24"/>
  <c r="BB107" i="24"/>
  <c r="BC107" i="24"/>
  <c r="BD107" i="24"/>
  <c r="BE107" i="24"/>
  <c r="BF107" i="24"/>
  <c r="G96" i="24"/>
  <c r="H96" i="24"/>
  <c r="I96" i="24"/>
  <c r="J96" i="24"/>
  <c r="K96" i="24"/>
  <c r="L96" i="24"/>
  <c r="M96" i="24"/>
  <c r="N96" i="24"/>
  <c r="O96" i="24"/>
  <c r="P96" i="24"/>
  <c r="Q96" i="24"/>
  <c r="R96" i="24"/>
  <c r="S96" i="24"/>
  <c r="T96" i="24"/>
  <c r="U96" i="24"/>
  <c r="V96" i="24"/>
  <c r="W96" i="24"/>
  <c r="X96" i="24"/>
  <c r="Y96" i="24"/>
  <c r="Z96" i="24"/>
  <c r="AA96" i="24"/>
  <c r="AB96" i="24"/>
  <c r="AC96" i="24"/>
  <c r="AD96" i="24"/>
  <c r="AE96" i="24"/>
  <c r="AF96" i="24"/>
  <c r="AG96" i="24"/>
  <c r="AH96" i="24"/>
  <c r="AI96" i="24"/>
  <c r="AJ96" i="24"/>
  <c r="AK96" i="24"/>
  <c r="AL96" i="24"/>
  <c r="AM96" i="24"/>
  <c r="AN96" i="24"/>
  <c r="AO96" i="24"/>
  <c r="AP96" i="24"/>
  <c r="AQ96" i="24"/>
  <c r="AR96" i="24"/>
  <c r="AS96" i="24"/>
  <c r="AT96" i="24"/>
  <c r="AU96" i="24"/>
  <c r="AV96" i="24"/>
  <c r="AW96" i="24"/>
  <c r="AX96" i="24"/>
  <c r="AY96" i="24"/>
  <c r="AZ96" i="24"/>
  <c r="BA96" i="24"/>
  <c r="BB96" i="24"/>
  <c r="BC96" i="24"/>
  <c r="BD96" i="24"/>
  <c r="BE96" i="24"/>
  <c r="BF96" i="24"/>
  <c r="G85" i="24"/>
  <c r="H85" i="24"/>
  <c r="I85" i="24"/>
  <c r="J85" i="24"/>
  <c r="K85" i="24"/>
  <c r="L85" i="24"/>
  <c r="M85" i="24"/>
  <c r="N85" i="24"/>
  <c r="O85" i="24"/>
  <c r="P85" i="24"/>
  <c r="Q85" i="24"/>
  <c r="R85" i="24"/>
  <c r="S85" i="24"/>
  <c r="T85" i="24"/>
  <c r="U85" i="24"/>
  <c r="V85" i="24"/>
  <c r="W85" i="24"/>
  <c r="X85" i="24"/>
  <c r="Y85" i="24"/>
  <c r="Z85" i="24"/>
  <c r="AA85" i="24"/>
  <c r="AB85" i="24"/>
  <c r="AC85" i="24"/>
  <c r="AD85" i="24"/>
  <c r="AE85" i="24"/>
  <c r="AF85" i="24"/>
  <c r="AG85" i="24"/>
  <c r="AH85" i="24"/>
  <c r="AI85" i="24"/>
  <c r="AJ85" i="24"/>
  <c r="AK85" i="24"/>
  <c r="AL85" i="24"/>
  <c r="AM85" i="24"/>
  <c r="AN85" i="24"/>
  <c r="AO85" i="24"/>
  <c r="AP85" i="24"/>
  <c r="AQ85" i="24"/>
  <c r="AR85" i="24"/>
  <c r="AS85" i="24"/>
  <c r="AT85" i="24"/>
  <c r="AU85" i="24"/>
  <c r="AV85" i="24"/>
  <c r="AW85" i="24"/>
  <c r="AX85" i="24"/>
  <c r="AY85" i="24"/>
  <c r="AZ85" i="24"/>
  <c r="BA85" i="24"/>
  <c r="BB85" i="24"/>
  <c r="BC85" i="24"/>
  <c r="BD85" i="24"/>
  <c r="BE85" i="24"/>
  <c r="BF85" i="24"/>
  <c r="BH79" i="24"/>
  <c r="G68" i="24"/>
  <c r="H68" i="24"/>
  <c r="I68" i="24"/>
  <c r="J68" i="24"/>
  <c r="K68" i="24"/>
  <c r="L68" i="24"/>
  <c r="M68" i="24"/>
  <c r="N68" i="24"/>
  <c r="O68" i="24"/>
  <c r="P68" i="24"/>
  <c r="Q68" i="24"/>
  <c r="R68" i="24"/>
  <c r="S68" i="24"/>
  <c r="T68" i="24"/>
  <c r="U68" i="24"/>
  <c r="V68" i="24"/>
  <c r="W68" i="24"/>
  <c r="X68" i="24"/>
  <c r="Y68" i="24"/>
  <c r="Z68" i="24"/>
  <c r="AA68" i="24"/>
  <c r="AB68" i="24"/>
  <c r="AC68" i="24"/>
  <c r="AD68" i="24"/>
  <c r="AE68" i="24"/>
  <c r="AF68" i="24"/>
  <c r="AG68" i="24"/>
  <c r="AH68" i="24"/>
  <c r="AI68" i="24"/>
  <c r="AJ68" i="24"/>
  <c r="AK68" i="24"/>
  <c r="AL68" i="24"/>
  <c r="AM68" i="24"/>
  <c r="AN68" i="24"/>
  <c r="AO68" i="24"/>
  <c r="AP68" i="24"/>
  <c r="AQ68" i="24"/>
  <c r="AR68" i="24"/>
  <c r="AS68" i="24"/>
  <c r="AT68" i="24"/>
  <c r="AU68" i="24"/>
  <c r="AV68" i="24"/>
  <c r="AW68" i="24"/>
  <c r="AX68" i="24"/>
  <c r="AY68" i="24"/>
  <c r="AZ68" i="24"/>
  <c r="BA68" i="24"/>
  <c r="BB68" i="24"/>
  <c r="BC68" i="24"/>
  <c r="BD68" i="24"/>
  <c r="BE68" i="24"/>
  <c r="BF68" i="24"/>
  <c r="G61" i="24"/>
  <c r="H61" i="24"/>
  <c r="I61" i="24"/>
  <c r="J61" i="24"/>
  <c r="K61" i="24"/>
  <c r="L61" i="24"/>
  <c r="M61" i="24"/>
  <c r="N61" i="24"/>
  <c r="O61" i="24"/>
  <c r="P61" i="24"/>
  <c r="Q61" i="24"/>
  <c r="R61" i="24"/>
  <c r="S61" i="24"/>
  <c r="T61" i="24"/>
  <c r="U61" i="24"/>
  <c r="V61" i="24"/>
  <c r="W61" i="24"/>
  <c r="X61" i="24"/>
  <c r="Y61" i="24"/>
  <c r="Z61" i="24"/>
  <c r="AA61" i="24"/>
  <c r="AB61" i="24"/>
  <c r="AC61" i="24"/>
  <c r="AD61" i="24"/>
  <c r="AE61" i="24"/>
  <c r="AF61" i="24"/>
  <c r="AG61" i="24"/>
  <c r="AH61" i="24"/>
  <c r="AI61" i="24"/>
  <c r="AJ61" i="24"/>
  <c r="AK61" i="24"/>
  <c r="AL61" i="24"/>
  <c r="AM61" i="24"/>
  <c r="AN61" i="24"/>
  <c r="AO61" i="24"/>
  <c r="AP61" i="24"/>
  <c r="AQ61" i="24"/>
  <c r="AR61" i="24"/>
  <c r="AS61" i="24"/>
  <c r="AT61" i="24"/>
  <c r="AU61" i="24"/>
  <c r="AV61" i="24"/>
  <c r="AW61" i="24"/>
  <c r="AX61" i="24"/>
  <c r="AY61" i="24"/>
  <c r="AZ61" i="24"/>
  <c r="BA61" i="24"/>
  <c r="BB61" i="24"/>
  <c r="BC61" i="24"/>
  <c r="BD61" i="24"/>
  <c r="BE61" i="24"/>
  <c r="BF61" i="24"/>
  <c r="G53" i="24"/>
  <c r="H53" i="24"/>
  <c r="I53" i="24"/>
  <c r="J53" i="24"/>
  <c r="K53" i="24"/>
  <c r="L53" i="24"/>
  <c r="M53" i="24"/>
  <c r="N53" i="24"/>
  <c r="O53" i="24"/>
  <c r="P53" i="24"/>
  <c r="Q53" i="24"/>
  <c r="R53" i="24"/>
  <c r="S53" i="24"/>
  <c r="T53" i="24"/>
  <c r="U53" i="24"/>
  <c r="V53" i="24"/>
  <c r="W53" i="24"/>
  <c r="X53" i="24"/>
  <c r="Y53" i="24"/>
  <c r="Z53" i="24"/>
  <c r="AA53" i="24"/>
  <c r="AB53" i="24"/>
  <c r="AC53" i="24"/>
  <c r="AD53" i="24"/>
  <c r="AE53" i="24"/>
  <c r="AF53" i="24"/>
  <c r="AG53" i="24"/>
  <c r="AH53" i="24"/>
  <c r="AI53" i="24"/>
  <c r="AJ53" i="24"/>
  <c r="AK53" i="24"/>
  <c r="AL53" i="24"/>
  <c r="AM53" i="24"/>
  <c r="AN53" i="24"/>
  <c r="AO53" i="24"/>
  <c r="AP53" i="24"/>
  <c r="AQ53" i="24"/>
  <c r="AR53" i="24"/>
  <c r="AS53" i="24"/>
  <c r="AT53" i="24"/>
  <c r="AU53" i="24"/>
  <c r="AV53" i="24"/>
  <c r="AW53" i="24"/>
  <c r="AX53" i="24"/>
  <c r="AY53" i="24"/>
  <c r="AZ53" i="24"/>
  <c r="BA53" i="24"/>
  <c r="BB53" i="24"/>
  <c r="BC53" i="24"/>
  <c r="BD53" i="24"/>
  <c r="BE53" i="24"/>
  <c r="BF53" i="24"/>
  <c r="G47" i="24"/>
  <c r="H47" i="24"/>
  <c r="J47" i="24"/>
  <c r="K47" i="24"/>
  <c r="L47" i="24"/>
  <c r="M47" i="24"/>
  <c r="N47" i="24"/>
  <c r="O47" i="24"/>
  <c r="P47" i="24"/>
  <c r="Q47" i="24"/>
  <c r="R47" i="24"/>
  <c r="S47" i="24"/>
  <c r="T47" i="24"/>
  <c r="U47" i="24"/>
  <c r="V47" i="24"/>
  <c r="W47" i="24"/>
  <c r="X47" i="24"/>
  <c r="Y47" i="24"/>
  <c r="Z47" i="24"/>
  <c r="AA47" i="24"/>
  <c r="AB47" i="24"/>
  <c r="AC47" i="24"/>
  <c r="AD47" i="24"/>
  <c r="AF47" i="24"/>
  <c r="AG47" i="24"/>
  <c r="AH47" i="24"/>
  <c r="AI47" i="24"/>
  <c r="AJ47" i="24"/>
  <c r="AK47" i="24"/>
  <c r="AL47" i="24"/>
  <c r="AM47" i="24"/>
  <c r="AN47" i="24"/>
  <c r="AO47" i="24"/>
  <c r="AP47" i="24"/>
  <c r="AQ47" i="24"/>
  <c r="AR47" i="24"/>
  <c r="AS47" i="24"/>
  <c r="AT47" i="24"/>
  <c r="AU47" i="24"/>
  <c r="AV47" i="24"/>
  <c r="AW47" i="24"/>
  <c r="AX47" i="24"/>
  <c r="AY47" i="24"/>
  <c r="AZ47" i="24"/>
  <c r="BA47" i="24"/>
  <c r="BB47" i="24"/>
  <c r="BC47" i="24"/>
  <c r="BD47" i="24"/>
  <c r="BE47" i="24"/>
  <c r="BF47" i="24"/>
  <c r="G40" i="24"/>
  <c r="I40" i="24"/>
  <c r="J40" i="24"/>
  <c r="K40" i="24"/>
  <c r="L40" i="24"/>
  <c r="M40" i="24"/>
  <c r="N40" i="24"/>
  <c r="O40" i="24"/>
  <c r="P40" i="24"/>
  <c r="Q40" i="24"/>
  <c r="R40" i="24"/>
  <c r="S40" i="24"/>
  <c r="T40" i="24"/>
  <c r="U40" i="24"/>
  <c r="V40" i="24"/>
  <c r="W40" i="24"/>
  <c r="X40" i="24"/>
  <c r="Y40" i="24"/>
  <c r="Z40" i="24"/>
  <c r="AA40" i="24"/>
  <c r="AB40" i="24"/>
  <c r="AC40" i="24"/>
  <c r="AD40" i="24"/>
  <c r="AE40" i="24"/>
  <c r="AF40" i="24"/>
  <c r="AG40" i="24"/>
  <c r="AH40" i="24"/>
  <c r="AI40" i="24"/>
  <c r="AJ40" i="24"/>
  <c r="AK40" i="24"/>
  <c r="AL40" i="24"/>
  <c r="AM40" i="24"/>
  <c r="AN40" i="24"/>
  <c r="AO40" i="24"/>
  <c r="AP40" i="24"/>
  <c r="AQ40" i="24"/>
  <c r="AR40" i="24"/>
  <c r="AS40" i="24"/>
  <c r="AT40" i="24"/>
  <c r="AU40" i="24"/>
  <c r="AV40" i="24"/>
  <c r="AW40" i="24"/>
  <c r="AX40" i="24"/>
  <c r="AY40" i="24"/>
  <c r="AZ40" i="24"/>
  <c r="BA40" i="24"/>
  <c r="BB40" i="24"/>
  <c r="BC40" i="24"/>
  <c r="BD40" i="24"/>
  <c r="BE40" i="24"/>
  <c r="BF40" i="24"/>
  <c r="G30" i="24"/>
  <c r="H30" i="24"/>
  <c r="I30" i="24"/>
  <c r="J30" i="24"/>
  <c r="K30" i="24"/>
  <c r="L30" i="24"/>
  <c r="M30" i="24"/>
  <c r="N30" i="24"/>
  <c r="O30" i="24"/>
  <c r="P30" i="24"/>
  <c r="Q30" i="24"/>
  <c r="R30" i="24"/>
  <c r="S30" i="24"/>
  <c r="T30" i="24"/>
  <c r="U30" i="24"/>
  <c r="V30" i="24"/>
  <c r="W30" i="24"/>
  <c r="X30" i="24"/>
  <c r="Y30" i="24"/>
  <c r="Z30" i="24"/>
  <c r="AA30" i="24"/>
  <c r="AB30" i="24"/>
  <c r="AC30" i="24"/>
  <c r="AD30" i="24"/>
  <c r="AE30" i="24"/>
  <c r="AF30" i="24"/>
  <c r="AG30" i="24"/>
  <c r="AH30" i="24"/>
  <c r="AI30" i="24"/>
  <c r="AJ30" i="24"/>
  <c r="AK30" i="24"/>
  <c r="AL30" i="24"/>
  <c r="AM30" i="24"/>
  <c r="AN30" i="24"/>
  <c r="AO30" i="24"/>
  <c r="AP30" i="24"/>
  <c r="AQ30" i="24"/>
  <c r="AR30" i="24"/>
  <c r="AS30" i="24"/>
  <c r="AT30" i="24"/>
  <c r="AU30" i="24"/>
  <c r="AV30" i="24"/>
  <c r="AW30" i="24"/>
  <c r="AX30" i="24"/>
  <c r="AY30" i="24"/>
  <c r="AZ30" i="24"/>
  <c r="BA30" i="24"/>
  <c r="BB30" i="24"/>
  <c r="BC30" i="24"/>
  <c r="BD30" i="24"/>
  <c r="BE30" i="24"/>
  <c r="BF30" i="24"/>
  <c r="G24" i="24"/>
  <c r="H24" i="24"/>
  <c r="I24" i="24"/>
  <c r="K24" i="24"/>
  <c r="L24" i="24"/>
  <c r="M24" i="24"/>
  <c r="N24" i="24"/>
  <c r="O24" i="24"/>
  <c r="P24" i="24"/>
  <c r="Q24" i="24"/>
  <c r="R24" i="24"/>
  <c r="S24" i="24"/>
  <c r="T24" i="24"/>
  <c r="U24" i="24"/>
  <c r="V24" i="24"/>
  <c r="W24" i="24"/>
  <c r="X24" i="24"/>
  <c r="Y24" i="24"/>
  <c r="Z24" i="24"/>
  <c r="AA24" i="24"/>
  <c r="AB24" i="24"/>
  <c r="AC24" i="24"/>
  <c r="AD24" i="24"/>
  <c r="AE24" i="24"/>
  <c r="AF24" i="24"/>
  <c r="AG24" i="24"/>
  <c r="AH24" i="24"/>
  <c r="AI24" i="24"/>
  <c r="AJ24" i="24"/>
  <c r="AL24" i="24"/>
  <c r="AM24" i="24"/>
  <c r="AN24" i="24"/>
  <c r="AO24" i="24"/>
  <c r="AP24" i="24"/>
  <c r="AQ24" i="24"/>
  <c r="AR24" i="24"/>
  <c r="AS24" i="24"/>
  <c r="AT24" i="24"/>
  <c r="AU24" i="24"/>
  <c r="AV24" i="24"/>
  <c r="AW24" i="24"/>
  <c r="AX24" i="24"/>
  <c r="AY24" i="24"/>
  <c r="AZ24" i="24"/>
  <c r="BA24" i="24"/>
  <c r="BB24" i="24"/>
  <c r="BC24" i="24"/>
  <c r="BD24" i="24"/>
  <c r="BE24" i="24"/>
  <c r="BF24" i="24"/>
  <c r="G14" i="24"/>
  <c r="H14" i="24"/>
  <c r="I14" i="24"/>
  <c r="J14" i="24"/>
  <c r="K14" i="24"/>
  <c r="L14" i="24"/>
  <c r="N14" i="24"/>
  <c r="O14" i="24"/>
  <c r="P14" i="24"/>
  <c r="Q14" i="24"/>
  <c r="R14" i="24"/>
  <c r="S14" i="24"/>
  <c r="T14" i="24"/>
  <c r="U14" i="24"/>
  <c r="V14" i="24"/>
  <c r="W14" i="24"/>
  <c r="X14" i="24"/>
  <c r="Y14" i="24"/>
  <c r="Z14" i="24"/>
  <c r="AA14" i="24"/>
  <c r="AB14" i="24"/>
  <c r="AC14" i="24"/>
  <c r="AD14" i="24"/>
  <c r="AE14" i="24"/>
  <c r="AF14" i="24"/>
  <c r="AG14" i="24"/>
  <c r="AH14" i="24"/>
  <c r="AI14" i="24"/>
  <c r="AJ14" i="24"/>
  <c r="AK14" i="24"/>
  <c r="AL14" i="24"/>
  <c r="AM14" i="24"/>
  <c r="AN14" i="24"/>
  <c r="AO14" i="24"/>
  <c r="AP14" i="24"/>
  <c r="AQ14" i="24"/>
  <c r="AR14" i="24"/>
  <c r="AS14" i="24"/>
  <c r="AT14" i="24"/>
  <c r="AU14" i="24"/>
  <c r="AV14" i="24"/>
  <c r="AW14" i="24"/>
  <c r="AX14" i="24"/>
  <c r="AY14" i="24"/>
  <c r="AZ14" i="24"/>
  <c r="BA14" i="24"/>
  <c r="BB14" i="24"/>
  <c r="BC14" i="24"/>
  <c r="BD14" i="24"/>
  <c r="BE14" i="24"/>
  <c r="BF14"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AH6" i="24"/>
  <c r="AI6" i="24"/>
  <c r="AJ6" i="24"/>
  <c r="AK6" i="24"/>
  <c r="AL6" i="24"/>
  <c r="AM6" i="24"/>
  <c r="AN6" i="24"/>
  <c r="AO6" i="24"/>
  <c r="AP6" i="24"/>
  <c r="AQ6" i="24"/>
  <c r="AR6" i="24"/>
  <c r="AS6" i="24"/>
  <c r="AT6" i="24"/>
  <c r="AU6" i="24"/>
  <c r="AV6" i="24"/>
  <c r="AW6" i="24"/>
  <c r="AX6" i="24"/>
  <c r="AY6" i="24"/>
  <c r="AZ6" i="24"/>
  <c r="BA6" i="24"/>
  <c r="BB6" i="24"/>
  <c r="BC6" i="24"/>
  <c r="BD6" i="24"/>
  <c r="BE6" i="24"/>
  <c r="BF6" i="24"/>
  <c r="F215" i="24"/>
  <c r="F212" i="24"/>
  <c r="F209" i="24"/>
  <c r="F206" i="24"/>
  <c r="F203" i="24"/>
  <c r="F200" i="24"/>
  <c r="F197" i="24"/>
  <c r="F193" i="24"/>
  <c r="F190" i="24"/>
  <c r="F183" i="24"/>
  <c r="F172" i="24"/>
  <c r="F164" i="24"/>
  <c r="F152" i="24"/>
  <c r="F142" i="24"/>
  <c r="F132" i="24"/>
  <c r="F122" i="24"/>
  <c r="F107" i="24"/>
  <c r="F96" i="24"/>
  <c r="F85" i="24"/>
  <c r="F68" i="24"/>
  <c r="F61" i="24"/>
  <c r="F53" i="24"/>
  <c r="F47" i="24"/>
  <c r="F40" i="24"/>
  <c r="F30" i="24"/>
  <c r="F24" i="24"/>
  <c r="F14" i="24"/>
  <c r="F6" i="24"/>
  <c r="K189" i="24" l="1"/>
  <c r="G189" i="24"/>
  <c r="Q189" i="24"/>
  <c r="BH221" i="24"/>
  <c r="BK216" i="24"/>
  <c r="AO189" i="24"/>
  <c r="AE189" i="24"/>
  <c r="AC189" i="24"/>
  <c r="AA189" i="24"/>
  <c r="W189" i="24"/>
  <c r="C24" i="26"/>
  <c r="C48" i="26"/>
  <c r="BB4" i="24"/>
  <c r="I189" i="24"/>
  <c r="BE189" i="24"/>
  <c r="BC189" i="24"/>
  <c r="AA121" i="24"/>
  <c r="G5" i="24"/>
  <c r="BB5" i="24"/>
  <c r="BC4" i="24"/>
  <c r="AA5" i="24"/>
  <c r="X7" i="32" s="1"/>
  <c r="J120" i="24"/>
  <c r="L121" i="24"/>
  <c r="BA189" i="24"/>
  <c r="BA4" i="24"/>
  <c r="AZ120" i="24"/>
  <c r="BD5" i="24"/>
  <c r="AZ5" i="24"/>
  <c r="P5" i="24"/>
  <c r="N5" i="24"/>
  <c r="AA120" i="24"/>
  <c r="M121" i="24"/>
  <c r="AY189" i="24"/>
  <c r="AY4" i="24"/>
  <c r="P4" i="24"/>
  <c r="AY67" i="24"/>
  <c r="P120" i="24"/>
  <c r="G120" i="24"/>
  <c r="N121" i="24"/>
  <c r="K9" i="32" s="1"/>
  <c r="H121" i="24"/>
  <c r="BD4" i="24"/>
  <c r="AZ4" i="24"/>
  <c r="BC67" i="24"/>
  <c r="BA67" i="24"/>
  <c r="BD120" i="24"/>
  <c r="N120" i="24"/>
  <c r="H120" i="24"/>
  <c r="BB121" i="24"/>
  <c r="AY9" i="32" s="1"/>
  <c r="P121" i="24"/>
  <c r="J121" i="24"/>
  <c r="G121" i="24"/>
  <c r="D20" i="77"/>
  <c r="BF189" i="24"/>
  <c r="F192" i="51" s="1"/>
  <c r="BD189" i="24"/>
  <c r="BB189" i="24"/>
  <c r="AZ189" i="24"/>
  <c r="AV189" i="24"/>
  <c r="AL189" i="24"/>
  <c r="AH189" i="24"/>
  <c r="X189" i="24"/>
  <c r="T189" i="24"/>
  <c r="R189" i="24"/>
  <c r="P189" i="24"/>
  <c r="N189" i="24"/>
  <c r="L189" i="24"/>
  <c r="J189" i="24"/>
  <c r="H189" i="24"/>
  <c r="BC5" i="24"/>
  <c r="BA5" i="24"/>
  <c r="AY5" i="24"/>
  <c r="BD67" i="24"/>
  <c r="BB67" i="24"/>
  <c r="AZ67" i="24"/>
  <c r="P67" i="24"/>
  <c r="BB120" i="24"/>
  <c r="BD121" i="24"/>
  <c r="AZ121" i="24"/>
  <c r="AW189" i="24"/>
  <c r="AW120" i="24"/>
  <c r="AW5" i="24"/>
  <c r="AU67" i="24"/>
  <c r="AU121" i="24"/>
  <c r="AU189" i="24"/>
  <c r="AU4" i="24"/>
  <c r="BE121" i="24"/>
  <c r="BC121" i="24"/>
  <c r="BA121" i="24"/>
  <c r="AY121" i="24"/>
  <c r="AV9" i="32" s="1"/>
  <c r="AW4" i="24"/>
  <c r="AU5" i="24"/>
  <c r="C20" i="77"/>
  <c r="C20" i="78" s="1"/>
  <c r="C21" i="78" s="1"/>
  <c r="AD11" i="77"/>
  <c r="AD15" i="77"/>
  <c r="AD13" i="77"/>
  <c r="V20" i="77"/>
  <c r="C15" i="32"/>
  <c r="X9" i="32"/>
  <c r="BC11" i="32"/>
  <c r="BA11" i="32"/>
  <c r="AY11" i="32"/>
  <c r="AW11" i="32"/>
  <c r="AU11" i="32"/>
  <c r="AS11" i="32"/>
  <c r="AQ11" i="32"/>
  <c r="AO11" i="32"/>
  <c r="AM11" i="32"/>
  <c r="AI11" i="32"/>
  <c r="AG11" i="32"/>
  <c r="AE11" i="32"/>
  <c r="AC11" i="32"/>
  <c r="AA11" i="32"/>
  <c r="Y11" i="32"/>
  <c r="W11" i="32"/>
  <c r="U11" i="32"/>
  <c r="S11" i="32"/>
  <c r="Q11" i="32"/>
  <c r="O11" i="32"/>
  <c r="M11" i="32"/>
  <c r="K11" i="32"/>
  <c r="I11" i="32"/>
  <c r="G11" i="32"/>
  <c r="E11" i="32"/>
  <c r="BC13" i="32"/>
  <c r="BA13" i="32"/>
  <c r="AY13" i="32"/>
  <c r="AW13" i="32"/>
  <c r="AU13" i="32"/>
  <c r="AS13" i="32"/>
  <c r="AQ13" i="32"/>
  <c r="AO13" i="32"/>
  <c r="AM13" i="32"/>
  <c r="AI13" i="32"/>
  <c r="AG13" i="32"/>
  <c r="AE13" i="32"/>
  <c r="AC13" i="32"/>
  <c r="AA13" i="32"/>
  <c r="Y13" i="32"/>
  <c r="W13" i="32"/>
  <c r="U13" i="32"/>
  <c r="S13" i="32"/>
  <c r="Q13" i="32"/>
  <c r="O13" i="32"/>
  <c r="M13" i="32"/>
  <c r="K13" i="32"/>
  <c r="I13" i="32"/>
  <c r="G13" i="32"/>
  <c r="E13" i="32"/>
  <c r="BC15" i="32"/>
  <c r="BA15" i="32"/>
  <c r="AY15" i="32"/>
  <c r="AW15" i="32"/>
  <c r="AU15" i="32"/>
  <c r="AS15" i="32"/>
  <c r="AQ15" i="32"/>
  <c r="AO15" i="32"/>
  <c r="AM15" i="32"/>
  <c r="AI15" i="32"/>
  <c r="AG15" i="32"/>
  <c r="AE15" i="32"/>
  <c r="AC15" i="32"/>
  <c r="AA15" i="32"/>
  <c r="Y15" i="32"/>
  <c r="W15" i="32"/>
  <c r="U15" i="32"/>
  <c r="S15" i="32"/>
  <c r="Q15" i="32"/>
  <c r="O15" i="32"/>
  <c r="M15" i="32"/>
  <c r="K15" i="32"/>
  <c r="I15" i="32"/>
  <c r="G15" i="32"/>
  <c r="D15" i="32"/>
  <c r="C11" i="32"/>
  <c r="C13" i="32"/>
  <c r="AY7" i="32"/>
  <c r="D22" i="65"/>
  <c r="BB11" i="32"/>
  <c r="AZ11" i="32"/>
  <c r="AX11" i="32"/>
  <c r="AV11" i="32"/>
  <c r="AT11" i="32"/>
  <c r="AR11" i="32"/>
  <c r="AP11" i="32"/>
  <c r="AN11" i="32"/>
  <c r="AL11" i="32"/>
  <c r="AJ11" i="32"/>
  <c r="AH11" i="32"/>
  <c r="AF11" i="32"/>
  <c r="AD11" i="32"/>
  <c r="AB11" i="32"/>
  <c r="Z11" i="32"/>
  <c r="X11" i="32"/>
  <c r="V11" i="32"/>
  <c r="T11" i="32"/>
  <c r="R11" i="32"/>
  <c r="P11" i="32"/>
  <c r="N11" i="32"/>
  <c r="L11" i="32"/>
  <c r="J11" i="32"/>
  <c r="H11" i="32"/>
  <c r="F11" i="32"/>
  <c r="D11" i="32"/>
  <c r="BB13" i="32"/>
  <c r="AZ13" i="32"/>
  <c r="AX13" i="32"/>
  <c r="AV13" i="32"/>
  <c r="AT13" i="32"/>
  <c r="AR13" i="32"/>
  <c r="AP13" i="32"/>
  <c r="AN13" i="32"/>
  <c r="AL13" i="32"/>
  <c r="AJ13" i="32"/>
  <c r="AH13" i="32"/>
  <c r="AF13" i="32"/>
  <c r="AD13" i="32"/>
  <c r="AB13" i="32"/>
  <c r="Z13" i="32"/>
  <c r="X13" i="32"/>
  <c r="V13" i="32"/>
  <c r="T13" i="32"/>
  <c r="R13" i="32"/>
  <c r="P13" i="32"/>
  <c r="N13" i="32"/>
  <c r="L13" i="32"/>
  <c r="J13" i="32"/>
  <c r="H13" i="32"/>
  <c r="F13" i="32"/>
  <c r="D13" i="32"/>
  <c r="BB15" i="32"/>
  <c r="AZ15" i="32"/>
  <c r="AX15" i="32"/>
  <c r="AV15" i="32"/>
  <c r="AT15" i="32"/>
  <c r="AR15" i="32"/>
  <c r="AP15" i="32"/>
  <c r="AN15" i="32"/>
  <c r="AL15" i="32"/>
  <c r="AJ15" i="32"/>
  <c r="AH15" i="32"/>
  <c r="AF15" i="32"/>
  <c r="AD15" i="32"/>
  <c r="AB15" i="32"/>
  <c r="Z15" i="32"/>
  <c r="X15" i="32"/>
  <c r="V15" i="32"/>
  <c r="T15" i="32"/>
  <c r="R15" i="32"/>
  <c r="P15" i="32"/>
  <c r="N15" i="32"/>
  <c r="L15" i="32"/>
  <c r="J15" i="32"/>
  <c r="H15" i="32"/>
  <c r="E15" i="32"/>
  <c r="AN189" i="24"/>
  <c r="AN121" i="24"/>
  <c r="AK15" i="32"/>
  <c r="AK13" i="32"/>
  <c r="AN120" i="24"/>
  <c r="AK9" i="32"/>
  <c r="AK11" i="32"/>
  <c r="AN67" i="24"/>
  <c r="AN5" i="24"/>
  <c r="AK7" i="32" s="1"/>
  <c r="AN4" i="24"/>
  <c r="AM121" i="24"/>
  <c r="BF167" i="23"/>
  <c r="AW67" i="24"/>
  <c r="AM67" i="24"/>
  <c r="AE67" i="24"/>
  <c r="AC67" i="24"/>
  <c r="U67" i="24"/>
  <c r="S67" i="24"/>
  <c r="O67" i="24"/>
  <c r="K67" i="24"/>
  <c r="G67" i="24"/>
  <c r="BH167" i="23"/>
  <c r="AM189" i="24"/>
  <c r="AM120" i="24"/>
  <c r="AM4" i="24"/>
  <c r="AM5" i="24"/>
  <c r="F189" i="24"/>
  <c r="Q67" i="24"/>
  <c r="AX67" i="24"/>
  <c r="AV67" i="24"/>
  <c r="AT67" i="24"/>
  <c r="AR67" i="24"/>
  <c r="AP67" i="24"/>
  <c r="AH67" i="24"/>
  <c r="AF67" i="24"/>
  <c r="AD67" i="24"/>
  <c r="AB67" i="24"/>
  <c r="Z67" i="24"/>
  <c r="R67" i="24"/>
  <c r="N67" i="24"/>
  <c r="BE120" i="24"/>
  <c r="BC120" i="24"/>
  <c r="BA120" i="24"/>
  <c r="AY120" i="24"/>
  <c r="AU120" i="24"/>
  <c r="AW121" i="24"/>
  <c r="AS121" i="24"/>
  <c r="AQ121" i="24"/>
  <c r="AK121" i="24"/>
  <c r="AI121" i="24"/>
  <c r="AG121" i="24"/>
  <c r="S121" i="24"/>
  <c r="O121" i="24"/>
  <c r="M5" i="24"/>
  <c r="AL121" i="24"/>
  <c r="AJ121" i="24"/>
  <c r="Z121" i="24"/>
  <c r="R121" i="24"/>
  <c r="M189" i="24"/>
  <c r="AT189" i="24"/>
  <c r="AT120" i="24"/>
  <c r="AT121" i="24"/>
  <c r="AT5" i="24"/>
  <c r="AT4" i="24"/>
  <c r="AI189" i="24"/>
  <c r="AI120" i="24"/>
  <c r="AI67" i="24"/>
  <c r="AI5" i="24"/>
  <c r="AI4" i="24"/>
  <c r="AJ189" i="24"/>
  <c r="AJ120" i="24"/>
  <c r="AJ67" i="24"/>
  <c r="AJ5" i="24"/>
  <c r="AJ4" i="24"/>
  <c r="AG189" i="24"/>
  <c r="AG120" i="24"/>
  <c r="AG67" i="24"/>
  <c r="AG5" i="24"/>
  <c r="AG4" i="24"/>
  <c r="AF189" i="24"/>
  <c r="AF120" i="24"/>
  <c r="AF121" i="24"/>
  <c r="AF5" i="24"/>
  <c r="AF4" i="24"/>
  <c r="AD189" i="24"/>
  <c r="AD120" i="24"/>
  <c r="AD121" i="24"/>
  <c r="AD5" i="24"/>
  <c r="AD4" i="24"/>
  <c r="AB189" i="24"/>
  <c r="AB120" i="24"/>
  <c r="AB121" i="24"/>
  <c r="AB5" i="24"/>
  <c r="AB4" i="24"/>
  <c r="Z189" i="24"/>
  <c r="Z120" i="24"/>
  <c r="Z5" i="24"/>
  <c r="Z4" i="24"/>
  <c r="Y189" i="24"/>
  <c r="Y120" i="24"/>
  <c r="Y121" i="24"/>
  <c r="Y67" i="24"/>
  <c r="Y5" i="24"/>
  <c r="Y4" i="24"/>
  <c r="AS189" i="24"/>
  <c r="AS120" i="24"/>
  <c r="AS67" i="24"/>
  <c r="AS5" i="24"/>
  <c r="AS4" i="24"/>
  <c r="AR189" i="24"/>
  <c r="AR120" i="24"/>
  <c r="AR121" i="24"/>
  <c r="AR5" i="24"/>
  <c r="AR4" i="24"/>
  <c r="AQ189" i="24"/>
  <c r="AQ120" i="24"/>
  <c r="AQ67" i="24"/>
  <c r="AQ5" i="24"/>
  <c r="AQ4" i="24"/>
  <c r="AX189" i="24"/>
  <c r="AX120" i="24"/>
  <c r="AX121" i="24"/>
  <c r="AX5" i="24"/>
  <c r="AX4" i="24"/>
  <c r="O189" i="24"/>
  <c r="O120" i="24"/>
  <c r="O5" i="24"/>
  <c r="O4" i="24"/>
  <c r="O225" i="24" s="1"/>
  <c r="U189" i="24"/>
  <c r="U121" i="24"/>
  <c r="U120" i="24"/>
  <c r="U5" i="24"/>
  <c r="U4" i="24"/>
  <c r="U225" i="24" s="1"/>
  <c r="S189" i="24"/>
  <c r="S120" i="24"/>
  <c r="S5" i="24"/>
  <c r="S4" i="24"/>
  <c r="S225" i="24" s="1"/>
  <c r="V189" i="24"/>
  <c r="V120" i="24"/>
  <c r="V121" i="24"/>
  <c r="V67" i="24"/>
  <c r="V5" i="24"/>
  <c r="V4" i="24"/>
  <c r="V225" i="24" s="1"/>
  <c r="M120" i="24"/>
  <c r="AP189" i="24"/>
  <c r="AP120" i="24"/>
  <c r="AP121" i="24"/>
  <c r="AP5" i="24"/>
  <c r="AP4" i="24"/>
  <c r="AK189" i="24"/>
  <c r="BI193" i="24"/>
  <c r="AK120" i="24"/>
  <c r="AK67" i="24"/>
  <c r="AK5" i="24"/>
  <c r="AK4" i="24"/>
  <c r="BI190" i="24"/>
  <c r="AC120" i="24"/>
  <c r="AC121" i="24"/>
  <c r="AC5" i="24"/>
  <c r="AC4" i="24"/>
  <c r="W120" i="24"/>
  <c r="W121" i="24"/>
  <c r="W67" i="24"/>
  <c r="W5" i="24"/>
  <c r="W4" i="24"/>
  <c r="W225" i="24" s="1"/>
  <c r="BI215" i="24"/>
  <c r="BI172" i="24"/>
  <c r="AH120" i="24"/>
  <c r="AH121" i="24"/>
  <c r="BI96" i="24"/>
  <c r="BI47" i="24"/>
  <c r="AH5" i="24"/>
  <c r="BI14" i="24"/>
  <c r="AH4" i="24"/>
  <c r="K120" i="24"/>
  <c r="K121" i="24"/>
  <c r="K5" i="24"/>
  <c r="K4" i="24"/>
  <c r="BF120" i="24"/>
  <c r="BF121" i="24"/>
  <c r="BF67" i="24"/>
  <c r="BF5" i="24"/>
  <c r="BF4" i="24"/>
  <c r="C11" i="52"/>
  <c r="BJ206" i="24"/>
  <c r="AO67" i="24"/>
  <c r="BJ212" i="24"/>
  <c r="AO120" i="24"/>
  <c r="AO121" i="24"/>
  <c r="AO5" i="24"/>
  <c r="AO4" i="24"/>
  <c r="BJ209" i="24"/>
  <c r="AV120" i="24"/>
  <c r="AV121" i="24"/>
  <c r="AV5" i="24"/>
  <c r="AV4" i="24"/>
  <c r="T120" i="24"/>
  <c r="T121" i="24"/>
  <c r="T67" i="24"/>
  <c r="T5" i="24"/>
  <c r="T4" i="24"/>
  <c r="X120" i="24"/>
  <c r="X121" i="24"/>
  <c r="X67" i="24"/>
  <c r="X5" i="24"/>
  <c r="X4" i="24"/>
  <c r="BI212" i="24"/>
  <c r="BI209" i="24"/>
  <c r="BI206" i="24"/>
  <c r="BI200" i="24"/>
  <c r="BI197" i="24"/>
  <c r="BI183" i="24"/>
  <c r="BI152" i="24"/>
  <c r="BI142" i="24"/>
  <c r="AE120" i="24"/>
  <c r="AE121" i="24"/>
  <c r="BI107" i="24"/>
  <c r="BI85" i="24"/>
  <c r="BI68" i="24"/>
  <c r="BI61" i="24"/>
  <c r="BI53" i="24"/>
  <c r="BI40" i="24"/>
  <c r="BI30" i="24"/>
  <c r="BI24" i="24"/>
  <c r="AE5" i="24"/>
  <c r="AE4" i="24"/>
  <c r="BI6" i="24"/>
  <c r="R120" i="24"/>
  <c r="R5" i="24"/>
  <c r="R4" i="24"/>
  <c r="I121" i="24"/>
  <c r="I67" i="24"/>
  <c r="BJ203" i="24"/>
  <c r="BJ200" i="24"/>
  <c r="AL120" i="24"/>
  <c r="BJ107" i="24"/>
  <c r="BJ96" i="24"/>
  <c r="AL67" i="24"/>
  <c r="BJ85" i="24"/>
  <c r="AL5" i="24"/>
  <c r="AL4" i="24"/>
  <c r="Q120" i="24"/>
  <c r="Q121" i="24"/>
  <c r="Q5" i="24"/>
  <c r="Q4" i="24"/>
  <c r="I120" i="24"/>
  <c r="I5" i="24"/>
  <c r="I4" i="24"/>
  <c r="L120" i="24"/>
  <c r="L67" i="24"/>
  <c r="L5" i="24"/>
  <c r="L4" i="24"/>
  <c r="H67" i="24"/>
  <c r="H5" i="24"/>
  <c r="H4" i="24"/>
  <c r="J67" i="24"/>
  <c r="J5" i="24"/>
  <c r="J4" i="24"/>
  <c r="BJ215" i="24"/>
  <c r="BJ197" i="24"/>
  <c r="BJ193" i="24"/>
  <c r="BJ190" i="24"/>
  <c r="BJ183" i="24"/>
  <c r="BJ172" i="24"/>
  <c r="BJ152" i="24"/>
  <c r="BJ142" i="24"/>
  <c r="BE67" i="24"/>
  <c r="BJ68" i="24"/>
  <c r="BJ61" i="24"/>
  <c r="BJ53" i="24"/>
  <c r="BJ47" i="24"/>
  <c r="BJ40" i="24"/>
  <c r="BJ30" i="24"/>
  <c r="BE5" i="24"/>
  <c r="BJ24" i="24"/>
  <c r="BJ14" i="24"/>
  <c r="BE4" i="24"/>
  <c r="BJ6" i="24"/>
  <c r="BH209" i="24"/>
  <c r="M67" i="24"/>
  <c r="M4" i="24"/>
  <c r="BH203" i="24"/>
  <c r="BH197" i="24"/>
  <c r="G4" i="24"/>
  <c r="BH47" i="24"/>
  <c r="BG203" i="24"/>
  <c r="F201" i="31" s="1"/>
  <c r="E6" i="83" s="1"/>
  <c r="N4" i="24"/>
  <c r="BH215" i="24"/>
  <c r="BG209" i="24"/>
  <c r="F207" i="31" s="1"/>
  <c r="E8" i="83" s="1"/>
  <c r="BH172" i="24"/>
  <c r="F120" i="24"/>
  <c r="F121" i="24"/>
  <c r="F67" i="24"/>
  <c r="BH61" i="24"/>
  <c r="BH24" i="24"/>
  <c r="BH14" i="24"/>
  <c r="F4" i="24"/>
  <c r="D67" i="27"/>
  <c r="C36" i="26"/>
  <c r="F214" i="31"/>
  <c r="BG221" i="24"/>
  <c r="BI203" i="24"/>
  <c r="BI164" i="24"/>
  <c r="BI132" i="24"/>
  <c r="BI122" i="24"/>
  <c r="AA4" i="24"/>
  <c r="AA67" i="24"/>
  <c r="C12" i="26"/>
  <c r="D21" i="27"/>
  <c r="BG212" i="24"/>
  <c r="F210" i="31" s="1"/>
  <c r="E9" i="83" s="1"/>
  <c r="BG206" i="24"/>
  <c r="F204" i="31" s="1"/>
  <c r="E7" i="83" s="1"/>
  <c r="BG200" i="24"/>
  <c r="F198" i="31" s="1"/>
  <c r="E5" i="83" s="1"/>
  <c r="BG197" i="24"/>
  <c r="F195" i="31" s="1"/>
  <c r="E4" i="83" s="1"/>
  <c r="BG193" i="24"/>
  <c r="F191" i="31" s="1"/>
  <c r="E3" i="83" s="1"/>
  <c r="BG190" i="24"/>
  <c r="BG183" i="24"/>
  <c r="F181" i="31" s="1"/>
  <c r="BJ164" i="24"/>
  <c r="BG152" i="24"/>
  <c r="F150" i="31" s="1"/>
  <c r="BG142" i="24"/>
  <c r="F140" i="31" s="1"/>
  <c r="BJ132" i="24"/>
  <c r="BJ122" i="24"/>
  <c r="BG107" i="24"/>
  <c r="F105" i="31" s="1"/>
  <c r="BG96" i="24"/>
  <c r="F94" i="31" s="1"/>
  <c r="BG85" i="24"/>
  <c r="F83" i="31" s="1"/>
  <c r="BG68" i="24"/>
  <c r="F68" i="31" s="1"/>
  <c r="BG53" i="24"/>
  <c r="F53" i="31" s="1"/>
  <c r="BG40" i="24"/>
  <c r="F40" i="31" s="1"/>
  <c r="BG30" i="24"/>
  <c r="F30" i="31" s="1"/>
  <c r="BG6" i="24"/>
  <c r="F6" i="31" s="1"/>
  <c r="BG215" i="24"/>
  <c r="F213" i="31" s="1"/>
  <c r="E10" i="83" s="1"/>
  <c r="BH212" i="24"/>
  <c r="BH206" i="24"/>
  <c r="BH200" i="24"/>
  <c r="BH193" i="24"/>
  <c r="BH190" i="24"/>
  <c r="BH183" i="24"/>
  <c r="BG164" i="24"/>
  <c r="F162" i="31" s="1"/>
  <c r="BH164" i="24"/>
  <c r="BH152" i="24"/>
  <c r="BH142" i="24"/>
  <c r="BH132" i="24"/>
  <c r="BG132" i="24"/>
  <c r="F130" i="31" s="1"/>
  <c r="BG122" i="24"/>
  <c r="F120" i="31" s="1"/>
  <c r="BH122" i="24"/>
  <c r="BH107" i="24"/>
  <c r="BH96" i="24"/>
  <c r="BH85" i="24"/>
  <c r="BG79" i="24"/>
  <c r="F79" i="31" s="1"/>
  <c r="BH68" i="24"/>
  <c r="BG61" i="24"/>
  <c r="F61" i="31" s="1"/>
  <c r="BH53" i="24"/>
  <c r="BG47" i="24"/>
  <c r="F47" i="31" s="1"/>
  <c r="BH40" i="24"/>
  <c r="BH30" i="24"/>
  <c r="BG24" i="24"/>
  <c r="F24" i="31" s="1"/>
  <c r="BG14" i="24"/>
  <c r="F14" i="31" s="1"/>
  <c r="BH6" i="24"/>
  <c r="BG172" i="24"/>
  <c r="F170" i="31" s="1"/>
  <c r="F5" i="24"/>
  <c r="D46" i="22"/>
  <c r="E46" i="22"/>
  <c r="F46" i="22"/>
  <c r="G46" i="22"/>
  <c r="H46" i="22"/>
  <c r="I46" i="22"/>
  <c r="J46" i="22"/>
  <c r="K46" i="22"/>
  <c r="L46" i="22"/>
  <c r="M46" i="22"/>
  <c r="N46" i="22"/>
  <c r="O46" i="22"/>
  <c r="P46" i="22"/>
  <c r="Q46" i="22"/>
  <c r="R46" i="22"/>
  <c r="S46" i="22"/>
  <c r="T46" i="22"/>
  <c r="U46" i="22"/>
  <c r="V46" i="22"/>
  <c r="W46" i="22"/>
  <c r="X46" i="22"/>
  <c r="Y46" i="22"/>
  <c r="Z46" i="22"/>
  <c r="AA46" i="22"/>
  <c r="AB46" i="22"/>
  <c r="AC46" i="22"/>
  <c r="AD46" i="22"/>
  <c r="AE46" i="22"/>
  <c r="AF46" i="22"/>
  <c r="AG46" i="22"/>
  <c r="AH46" i="22"/>
  <c r="AI46" i="22"/>
  <c r="AJ46" i="22"/>
  <c r="AK46" i="22"/>
  <c r="AL46" i="22"/>
  <c r="AM46" i="22"/>
  <c r="AN46" i="22"/>
  <c r="AO46" i="22"/>
  <c r="AP46" i="22"/>
  <c r="AQ46" i="22"/>
  <c r="AR46" i="22"/>
  <c r="AS46" i="22"/>
  <c r="AT46" i="22"/>
  <c r="AU46" i="22"/>
  <c r="AV46" i="22"/>
  <c r="AW46" i="22"/>
  <c r="AX46" i="22"/>
  <c r="AY46" i="22"/>
  <c r="AZ46" i="22"/>
  <c r="BA46" i="22"/>
  <c r="BB46" i="22"/>
  <c r="BC46" i="22"/>
  <c r="D45" i="22"/>
  <c r="E45" i="22"/>
  <c r="F45" i="22"/>
  <c r="G45" i="22"/>
  <c r="H45" i="22"/>
  <c r="I45" i="22"/>
  <c r="J45" i="22"/>
  <c r="K45" i="22"/>
  <c r="L45" i="22"/>
  <c r="M45" i="22"/>
  <c r="N45" i="22"/>
  <c r="O45" i="22"/>
  <c r="P45" i="22"/>
  <c r="Q45" i="22"/>
  <c r="R45" i="22"/>
  <c r="S45" i="22"/>
  <c r="T45" i="22"/>
  <c r="U45" i="22"/>
  <c r="V45" i="22"/>
  <c r="W45" i="22"/>
  <c r="X45" i="22"/>
  <c r="Y45" i="22"/>
  <c r="Z45" i="22"/>
  <c r="AA45" i="22"/>
  <c r="AB45" i="22"/>
  <c r="AC45" i="22"/>
  <c r="AD45" i="22"/>
  <c r="AE45" i="22"/>
  <c r="AF45" i="22"/>
  <c r="AG45" i="22"/>
  <c r="AH45" i="22"/>
  <c r="AI45" i="22"/>
  <c r="AJ45" i="22"/>
  <c r="AK45" i="22"/>
  <c r="AL45" i="22"/>
  <c r="AM45" i="22"/>
  <c r="AN45" i="22"/>
  <c r="AO45" i="22"/>
  <c r="AP45" i="22"/>
  <c r="AQ45" i="22"/>
  <c r="AR45" i="22"/>
  <c r="AS45" i="22"/>
  <c r="AT45" i="22"/>
  <c r="AU45" i="22"/>
  <c r="AV45" i="22"/>
  <c r="AW45" i="22"/>
  <c r="AX45" i="22"/>
  <c r="AY45" i="22"/>
  <c r="AZ45" i="22"/>
  <c r="BA45" i="22"/>
  <c r="BB45" i="22"/>
  <c r="BC45" i="22"/>
  <c r="D44" i="22"/>
  <c r="E44" i="22"/>
  <c r="F44" i="22"/>
  <c r="G44" i="22"/>
  <c r="H44" i="22"/>
  <c r="I44" i="22"/>
  <c r="J44" i="22"/>
  <c r="K44" i="22"/>
  <c r="L44" i="22"/>
  <c r="N44" i="22"/>
  <c r="O44" i="22"/>
  <c r="P44" i="22"/>
  <c r="Q44" i="22"/>
  <c r="R44" i="22"/>
  <c r="S44" i="22"/>
  <c r="T44" i="22"/>
  <c r="U44" i="22"/>
  <c r="V44" i="22"/>
  <c r="W44" i="22"/>
  <c r="X44" i="22"/>
  <c r="Y44" i="22"/>
  <c r="Z44" i="22"/>
  <c r="AA44" i="22"/>
  <c r="AB44" i="22"/>
  <c r="AC44" i="22"/>
  <c r="AD44" i="22"/>
  <c r="AE44" i="22"/>
  <c r="AF44" i="22"/>
  <c r="AG44" i="22"/>
  <c r="AH44" i="22"/>
  <c r="AI44" i="22"/>
  <c r="AJ44" i="22"/>
  <c r="AK44" i="22"/>
  <c r="AL44" i="22"/>
  <c r="AM44" i="22"/>
  <c r="AN44" i="22"/>
  <c r="AO44" i="22"/>
  <c r="AP44" i="22"/>
  <c r="AQ44" i="22"/>
  <c r="AR44" i="22"/>
  <c r="AS44" i="22"/>
  <c r="AT44" i="22"/>
  <c r="AU44" i="22"/>
  <c r="AV44" i="22"/>
  <c r="AW44" i="22"/>
  <c r="AX44" i="22"/>
  <c r="AY44" i="22"/>
  <c r="AZ44" i="22"/>
  <c r="BA44" i="22"/>
  <c r="BB44" i="22"/>
  <c r="BC44" i="22"/>
  <c r="C46" i="22"/>
  <c r="C45" i="22"/>
  <c r="C44" i="22"/>
  <c r="BG5" i="22"/>
  <c r="BG6" i="22"/>
  <c r="BG8" i="22"/>
  <c r="BG9" i="22"/>
  <c r="BG10" i="22"/>
  <c r="BG12" i="22"/>
  <c r="BG13" i="22"/>
  <c r="BG14" i="22"/>
  <c r="BG16" i="22"/>
  <c r="BG17" i="22"/>
  <c r="BG18" i="22"/>
  <c r="BG20" i="22"/>
  <c r="BG21" i="22"/>
  <c r="BG22" i="22"/>
  <c r="BG24" i="22"/>
  <c r="BG25" i="22"/>
  <c r="BG26" i="22"/>
  <c r="BG28" i="22"/>
  <c r="BG29" i="22"/>
  <c r="BG30" i="22"/>
  <c r="BG32" i="22"/>
  <c r="BG33" i="22"/>
  <c r="BG34" i="22"/>
  <c r="BG36" i="22"/>
  <c r="BG37" i="22"/>
  <c r="BG38" i="22"/>
  <c r="BG40" i="22"/>
  <c r="BG41" i="22"/>
  <c r="BG42" i="22"/>
  <c r="BF5" i="22"/>
  <c r="BF6" i="22"/>
  <c r="BF8" i="22"/>
  <c r="BF9" i="22"/>
  <c r="BF10" i="22"/>
  <c r="BF12" i="22"/>
  <c r="BF13" i="22"/>
  <c r="BF14" i="22"/>
  <c r="BF16" i="22"/>
  <c r="BF17" i="22"/>
  <c r="BF18" i="22"/>
  <c r="BF20" i="22"/>
  <c r="BF21" i="22"/>
  <c r="BF22" i="22"/>
  <c r="BF24" i="22"/>
  <c r="BF25" i="22"/>
  <c r="BF26" i="22"/>
  <c r="BF28" i="22"/>
  <c r="BF29" i="22"/>
  <c r="BF30" i="22"/>
  <c r="BF32" i="22"/>
  <c r="BF33" i="22"/>
  <c r="BF34" i="22"/>
  <c r="BF36" i="22"/>
  <c r="BF37" i="22"/>
  <c r="BF38" i="22"/>
  <c r="BF40" i="22"/>
  <c r="BF41" i="22"/>
  <c r="BF42" i="22"/>
  <c r="BE5" i="22"/>
  <c r="BE6" i="22"/>
  <c r="BE8" i="22"/>
  <c r="BE9" i="22"/>
  <c r="BE10" i="22"/>
  <c r="BE12" i="22"/>
  <c r="BE13" i="22"/>
  <c r="BE14" i="22"/>
  <c r="BE16" i="22"/>
  <c r="BE17" i="22"/>
  <c r="BE18" i="22"/>
  <c r="BE20" i="22"/>
  <c r="BE21" i="22"/>
  <c r="BE22" i="22"/>
  <c r="BE24" i="22"/>
  <c r="BE25" i="22"/>
  <c r="BE26" i="22"/>
  <c r="BE28" i="22"/>
  <c r="BE29" i="22"/>
  <c r="BE30" i="22"/>
  <c r="BE32" i="22"/>
  <c r="BE33" i="22"/>
  <c r="BE34" i="22"/>
  <c r="BE36" i="22"/>
  <c r="BE37" i="22"/>
  <c r="BE38" i="22"/>
  <c r="BE40" i="22"/>
  <c r="BE41" i="22"/>
  <c r="BE42" i="22"/>
  <c r="BD5" i="22"/>
  <c r="C7" i="30" s="1"/>
  <c r="B2" i="81" s="1"/>
  <c r="BD6" i="22"/>
  <c r="C8" i="30" s="1"/>
  <c r="B14" i="81" s="1"/>
  <c r="BD8" i="22"/>
  <c r="C10" i="30" s="1"/>
  <c r="BD9" i="22"/>
  <c r="C11" i="30" s="1"/>
  <c r="B3" i="81" s="1"/>
  <c r="BD10" i="22"/>
  <c r="C12" i="30" s="1"/>
  <c r="B15" i="81" s="1"/>
  <c r="BD12" i="22"/>
  <c r="C14" i="30" s="1"/>
  <c r="BD13" i="22"/>
  <c r="C15" i="30" s="1"/>
  <c r="B4" i="81" s="1"/>
  <c r="BD14" i="22"/>
  <c r="C16" i="30" s="1"/>
  <c r="B16" i="81" s="1"/>
  <c r="BD16" i="22"/>
  <c r="C18" i="30" s="1"/>
  <c r="BD17" i="22"/>
  <c r="C19" i="30" s="1"/>
  <c r="B5" i="81" s="1"/>
  <c r="BD18" i="22"/>
  <c r="C20" i="30" s="1"/>
  <c r="B17" i="81" s="1"/>
  <c r="BD20" i="22"/>
  <c r="C22" i="30" s="1"/>
  <c r="BD21" i="22"/>
  <c r="C23" i="30" s="1"/>
  <c r="B6" i="81" s="1"/>
  <c r="BD22" i="22"/>
  <c r="C24" i="30" s="1"/>
  <c r="B18" i="81" s="1"/>
  <c r="BD24" i="22"/>
  <c r="C26" i="30" s="1"/>
  <c r="BD25" i="22"/>
  <c r="C27" i="30" s="1"/>
  <c r="B7" i="81" s="1"/>
  <c r="BD26" i="22"/>
  <c r="C28" i="30" s="1"/>
  <c r="B19" i="81" s="1"/>
  <c r="BD28" i="22"/>
  <c r="C30" i="30" s="1"/>
  <c r="BD29" i="22"/>
  <c r="C31" i="30" s="1"/>
  <c r="B8" i="81" s="1"/>
  <c r="BD30" i="22"/>
  <c r="C32" i="30" s="1"/>
  <c r="B20" i="81" s="1"/>
  <c r="BD32" i="22"/>
  <c r="C34" i="30" s="1"/>
  <c r="BD33" i="22"/>
  <c r="C35" i="30" s="1"/>
  <c r="B9" i="81" s="1"/>
  <c r="BD34" i="22"/>
  <c r="C36" i="30" s="1"/>
  <c r="B21" i="81" s="1"/>
  <c r="BD36" i="22"/>
  <c r="C38" i="30" s="1"/>
  <c r="BD37" i="22"/>
  <c r="C39" i="30" s="1"/>
  <c r="B10" i="81" s="1"/>
  <c r="BD38" i="22"/>
  <c r="C40" i="30" s="1"/>
  <c r="B22" i="81" s="1"/>
  <c r="BD40" i="22"/>
  <c r="C42" i="30" s="1"/>
  <c r="BD41" i="22"/>
  <c r="C43" i="30" s="1"/>
  <c r="B11" i="81" s="1"/>
  <c r="BD42" i="22"/>
  <c r="C44" i="30" s="1"/>
  <c r="B23" i="81" s="1"/>
  <c r="BG4" i="22"/>
  <c r="BF4" i="22"/>
  <c r="BE4" i="22"/>
  <c r="BD4" i="22"/>
  <c r="C6" i="30" s="1"/>
  <c r="BI151" i="29"/>
  <c r="BH151" i="29"/>
  <c r="BG151" i="29"/>
  <c r="BF151" i="29"/>
  <c r="BI73" i="29"/>
  <c r="BH73" i="29"/>
  <c r="BG73" i="29"/>
  <c r="BF73" i="29"/>
  <c r="BE2" i="29"/>
  <c r="BD2" i="29"/>
  <c r="BC2" i="29"/>
  <c r="BB2" i="29"/>
  <c r="BA2" i="29"/>
  <c r="AZ2" i="29"/>
  <c r="AY2" i="29"/>
  <c r="AX2" i="29"/>
  <c r="AW2" i="29"/>
  <c r="AV2" i="29"/>
  <c r="AU2" i="29"/>
  <c r="AT2" i="29"/>
  <c r="AS2" i="29"/>
  <c r="AR2" i="29"/>
  <c r="AQ2" i="29"/>
  <c r="AP2" i="29"/>
  <c r="AO2" i="29"/>
  <c r="AN2" i="29"/>
  <c r="AM2" i="29"/>
  <c r="AL2" i="29"/>
  <c r="AK2" i="29"/>
  <c r="AJ2" i="29"/>
  <c r="AI2" i="29"/>
  <c r="AH2" i="29"/>
  <c r="AG2" i="29"/>
  <c r="AF2" i="29"/>
  <c r="AE2" i="29"/>
  <c r="AD2" i="29"/>
  <c r="AC2" i="29"/>
  <c r="AB2" i="29"/>
  <c r="AA2" i="29"/>
  <c r="Z2" i="29"/>
  <c r="Y2" i="29"/>
  <c r="X2" i="29"/>
  <c r="W2" i="29"/>
  <c r="V2" i="29"/>
  <c r="U2" i="29"/>
  <c r="T2" i="29"/>
  <c r="S2" i="29"/>
  <c r="R2" i="29"/>
  <c r="Q2" i="29"/>
  <c r="P2" i="29"/>
  <c r="O2" i="29"/>
  <c r="N2" i="29"/>
  <c r="M2" i="29"/>
  <c r="L2" i="29"/>
  <c r="K2" i="29"/>
  <c r="J2" i="29"/>
  <c r="I2" i="29"/>
  <c r="H2" i="29"/>
  <c r="G2" i="29"/>
  <c r="F2" i="29"/>
  <c r="E2" i="29"/>
  <c r="BB225" i="24" l="1"/>
  <c r="AW225" i="24"/>
  <c r="AL225" i="24"/>
  <c r="X225" i="24"/>
  <c r="Z225" i="24"/>
  <c r="Y225" i="24"/>
  <c r="AH225" i="24"/>
  <c r="R225" i="24"/>
  <c r="I225" i="24"/>
  <c r="M225" i="24"/>
  <c r="J9" i="32"/>
  <c r="K7" i="32"/>
  <c r="K23" i="32" s="1"/>
  <c r="K24" i="32" s="1"/>
  <c r="E11" i="82" s="1"/>
  <c r="G225" i="24"/>
  <c r="J225" i="24"/>
  <c r="D7" i="32"/>
  <c r="T225" i="24"/>
  <c r="AZ7" i="32"/>
  <c r="AL20" i="32"/>
  <c r="B38" i="82" s="1"/>
  <c r="BE225" i="24"/>
  <c r="BC225" i="24"/>
  <c r="X20" i="32"/>
  <c r="AY23" i="32"/>
  <c r="D51" i="82" s="1"/>
  <c r="AW7" i="32"/>
  <c r="M20" i="32"/>
  <c r="B13" i="82" s="1"/>
  <c r="AZ225" i="24"/>
  <c r="P225" i="24"/>
  <c r="AA225" i="24"/>
  <c r="N225" i="24"/>
  <c r="AU225" i="24"/>
  <c r="G9" i="32"/>
  <c r="AR9" i="32"/>
  <c r="BA9" i="32"/>
  <c r="BA7" i="32"/>
  <c r="I9" i="32"/>
  <c r="AZ9" i="32"/>
  <c r="AT7" i="32"/>
  <c r="M7" i="32"/>
  <c r="BA225" i="24"/>
  <c r="BE13" i="32"/>
  <c r="BF13" i="32"/>
  <c r="AY225" i="24"/>
  <c r="AV7" i="32"/>
  <c r="AV23" i="32" s="1"/>
  <c r="BF225" i="24"/>
  <c r="F228" i="51" s="1"/>
  <c r="H225" i="24"/>
  <c r="M9" i="32"/>
  <c r="M23" i="32" s="1"/>
  <c r="AW9" i="32"/>
  <c r="C20" i="32"/>
  <c r="BE15" i="32"/>
  <c r="BF15" i="32"/>
  <c r="AY20" i="32"/>
  <c r="BF11" i="32"/>
  <c r="E9" i="32"/>
  <c r="X23" i="32"/>
  <c r="BD225" i="24"/>
  <c r="BE11" i="32"/>
  <c r="D9" i="32"/>
  <c r="AX9" i="32"/>
  <c r="BB9" i="32"/>
  <c r="AX7" i="32"/>
  <c r="C48" i="50"/>
  <c r="C49" i="50"/>
  <c r="BG13" i="32"/>
  <c r="BG15" i="32"/>
  <c r="AR7" i="32"/>
  <c r="F123" i="51"/>
  <c r="BD15" i="32"/>
  <c r="AD20" i="77"/>
  <c r="BB7" i="32"/>
  <c r="G7" i="32"/>
  <c r="G22" i="65"/>
  <c r="I7" i="32"/>
  <c r="I22" i="65"/>
  <c r="F7" i="32"/>
  <c r="N7" i="32"/>
  <c r="AI7" i="32"/>
  <c r="AB9" i="32"/>
  <c r="Q7" i="32"/>
  <c r="Q9" i="32"/>
  <c r="AS9" i="32"/>
  <c r="AL7" i="32"/>
  <c r="F7" i="51"/>
  <c r="F70" i="51"/>
  <c r="H7" i="32"/>
  <c r="AE9" i="32"/>
  <c r="Z7" i="32"/>
  <c r="AM9" i="32"/>
  <c r="L7" i="32"/>
  <c r="AU7" i="32"/>
  <c r="AO7" i="32"/>
  <c r="V7" i="32"/>
  <c r="V9" i="32"/>
  <c r="W7" i="32"/>
  <c r="Y7" i="32"/>
  <c r="AA9" i="32"/>
  <c r="AC7" i="32"/>
  <c r="AG7" i="32"/>
  <c r="AQ7" i="32"/>
  <c r="W9" i="32"/>
  <c r="AI9" i="32"/>
  <c r="J7" i="32"/>
  <c r="P9" i="32"/>
  <c r="AF9" i="32"/>
  <c r="AN9" i="32"/>
  <c r="AT9" i="32"/>
  <c r="AJ7" i="32"/>
  <c r="D20" i="65"/>
  <c r="F20" i="65"/>
  <c r="H20" i="65"/>
  <c r="J20" i="65"/>
  <c r="L20" i="65"/>
  <c r="N20" i="65"/>
  <c r="J22" i="65"/>
  <c r="C20" i="65"/>
  <c r="E20" i="65"/>
  <c r="G20" i="65"/>
  <c r="I20" i="65"/>
  <c r="K20" i="65"/>
  <c r="M20" i="65"/>
  <c r="O20" i="65"/>
  <c r="K22" i="65"/>
  <c r="M22" i="65"/>
  <c r="C7" i="32"/>
  <c r="C9" i="32"/>
  <c r="E7" i="32"/>
  <c r="E22" i="65"/>
  <c r="N9" i="32"/>
  <c r="N23" i="32" s="1"/>
  <c r="F9" i="32"/>
  <c r="O7" i="32"/>
  <c r="AB7" i="32"/>
  <c r="U7" i="32"/>
  <c r="U9" i="32"/>
  <c r="AS7" i="32"/>
  <c r="AL9" i="32"/>
  <c r="H9" i="32"/>
  <c r="AE7" i="32"/>
  <c r="T7" i="32"/>
  <c r="T9" i="32"/>
  <c r="Z9" i="32"/>
  <c r="AH7" i="32"/>
  <c r="AM7" i="32"/>
  <c r="S7" i="32"/>
  <c r="S9" i="32"/>
  <c r="P7" i="32"/>
  <c r="R7" i="32"/>
  <c r="R9" i="32"/>
  <c r="AU9" i="32"/>
  <c r="AN7" i="32"/>
  <c r="AO9" i="32"/>
  <c r="AP7" i="32"/>
  <c r="Y9" i="32"/>
  <c r="AA7" i="32"/>
  <c r="AC9" i="32"/>
  <c r="AD7" i="32"/>
  <c r="AF7" i="32"/>
  <c r="AF23" i="32" s="1"/>
  <c r="AQ9" i="32"/>
  <c r="AQ23" i="32" s="1"/>
  <c r="O9" i="32"/>
  <c r="O22" i="65"/>
  <c r="AG9" i="32"/>
  <c r="L9" i="32"/>
  <c r="L22" i="65"/>
  <c r="AD9" i="32"/>
  <c r="AH9" i="32"/>
  <c r="AP9" i="32"/>
  <c r="AJ9" i="32"/>
  <c r="C15" i="52"/>
  <c r="C13" i="52"/>
  <c r="D20" i="32"/>
  <c r="F20" i="32"/>
  <c r="H20" i="32"/>
  <c r="J20" i="32"/>
  <c r="L20" i="32"/>
  <c r="N20" i="32"/>
  <c r="P20" i="32"/>
  <c r="R20" i="32"/>
  <c r="T20" i="32"/>
  <c r="V20" i="32"/>
  <c r="Z20" i="32"/>
  <c r="AB20" i="32"/>
  <c r="AD20" i="32"/>
  <c r="AF20" i="32"/>
  <c r="AH20" i="32"/>
  <c r="AJ20" i="32"/>
  <c r="AN20" i="32"/>
  <c r="AP20" i="32"/>
  <c r="AR20" i="32"/>
  <c r="AT20" i="32"/>
  <c r="AV20" i="32"/>
  <c r="AX20" i="32"/>
  <c r="AZ20" i="32"/>
  <c r="BB20" i="32"/>
  <c r="E20" i="32"/>
  <c r="G20" i="32"/>
  <c r="I20" i="32"/>
  <c r="K20" i="32"/>
  <c r="O20" i="32"/>
  <c r="Q20" i="32"/>
  <c r="S20" i="32"/>
  <c r="U20" i="32"/>
  <c r="W20" i="32"/>
  <c r="Y20" i="32"/>
  <c r="AA20" i="32"/>
  <c r="AC20" i="32"/>
  <c r="AE20" i="32"/>
  <c r="AG20" i="32"/>
  <c r="AI20" i="32"/>
  <c r="AM20" i="32"/>
  <c r="AO20" i="32"/>
  <c r="AQ20" i="32"/>
  <c r="AS20" i="32"/>
  <c r="AU20" i="32"/>
  <c r="AW20" i="32"/>
  <c r="BA20" i="32"/>
  <c r="BC20" i="32"/>
  <c r="P15" i="65"/>
  <c r="C15" i="66" s="1"/>
  <c r="BD13" i="32"/>
  <c r="AK20" i="32"/>
  <c r="P13" i="65"/>
  <c r="C13" i="66" s="1"/>
  <c r="BD11" i="32"/>
  <c r="BG11" i="32"/>
  <c r="AK23" i="32"/>
  <c r="AN225" i="24"/>
  <c r="P11" i="65"/>
  <c r="C11" i="66" s="1"/>
  <c r="AM225" i="24"/>
  <c r="BC7" i="32"/>
  <c r="F8" i="51"/>
  <c r="BC9" i="32"/>
  <c r="F124" i="51"/>
  <c r="AT225" i="24"/>
  <c r="AI225" i="24"/>
  <c r="AJ225" i="24"/>
  <c r="AG225" i="24"/>
  <c r="AF225" i="24"/>
  <c r="AD225" i="24"/>
  <c r="AB225" i="24"/>
  <c r="AS225" i="24"/>
  <c r="AR225" i="24"/>
  <c r="AQ225" i="24"/>
  <c r="AX225" i="24"/>
  <c r="BH189" i="24"/>
  <c r="BJ189" i="24"/>
  <c r="AP225" i="24"/>
  <c r="BI189" i="24"/>
  <c r="F188" i="31"/>
  <c r="E2" i="83" s="1"/>
  <c r="BG189" i="24"/>
  <c r="F187" i="31" s="1"/>
  <c r="AK225" i="24"/>
  <c r="BI67" i="24"/>
  <c r="AC225" i="24"/>
  <c r="BI120" i="24"/>
  <c r="K225" i="24"/>
  <c r="BJ67" i="24"/>
  <c r="AO225" i="24"/>
  <c r="BJ120" i="24"/>
  <c r="AV225" i="24"/>
  <c r="BJ121" i="24"/>
  <c r="BI121" i="24"/>
  <c r="AE225" i="24"/>
  <c r="BI5" i="24"/>
  <c r="Q225" i="24"/>
  <c r="BH120" i="24"/>
  <c r="L225" i="24"/>
  <c r="BH67" i="24"/>
  <c r="BJ5" i="24"/>
  <c r="BJ4" i="24"/>
  <c r="BG121" i="24"/>
  <c r="F119" i="31" s="1"/>
  <c r="BH121" i="24"/>
  <c r="BG120" i="24"/>
  <c r="F118" i="31" s="1"/>
  <c r="F225" i="24"/>
  <c r="BG5" i="24"/>
  <c r="F5" i="31" s="1"/>
  <c r="BH4" i="24"/>
  <c r="BH5" i="24"/>
  <c r="BG4" i="24"/>
  <c r="F4" i="31" s="1"/>
  <c r="BI4" i="24"/>
  <c r="BG67" i="24"/>
  <c r="F67" i="31" s="1"/>
  <c r="BF46" i="22"/>
  <c r="BF45" i="22"/>
  <c r="BG46" i="22"/>
  <c r="BG45" i="22"/>
  <c r="BE46" i="22"/>
  <c r="BE45" i="22"/>
  <c r="BD46" i="22"/>
  <c r="C48" i="30" s="1"/>
  <c r="BD45" i="22"/>
  <c r="C47" i="30" s="1"/>
  <c r="BF44" i="22"/>
  <c r="BG44" i="22"/>
  <c r="BE44" i="22"/>
  <c r="BD44" i="22"/>
  <c r="C46" i="30" s="1"/>
  <c r="BH2" i="29"/>
  <c r="BF2" i="29"/>
  <c r="BI2" i="29"/>
  <c r="BG2" i="29"/>
  <c r="BC2" i="22"/>
  <c r="BB2" i="22"/>
  <c r="BA2" i="22"/>
  <c r="AZ2" i="22"/>
  <c r="AY2" i="22"/>
  <c r="AX2" i="22"/>
  <c r="AW2" i="22"/>
  <c r="AV2" i="22"/>
  <c r="AU2" i="22"/>
  <c r="AT2" i="22"/>
  <c r="AS2" i="22"/>
  <c r="AR2" i="22"/>
  <c r="AQ2" i="22"/>
  <c r="AP2" i="22"/>
  <c r="AO2" i="22"/>
  <c r="AN2" i="22"/>
  <c r="AM2" i="22"/>
  <c r="AL2" i="22"/>
  <c r="AK2" i="22"/>
  <c r="AJ2" i="22"/>
  <c r="AI2" i="22"/>
  <c r="AH2" i="22"/>
  <c r="AG2" i="22"/>
  <c r="AF2" i="22"/>
  <c r="AE2" i="22"/>
  <c r="AD2" i="22"/>
  <c r="AC2" i="22"/>
  <c r="AB2" i="22"/>
  <c r="AA2" i="22"/>
  <c r="Z2" i="22"/>
  <c r="Y2" i="22"/>
  <c r="X2" i="22"/>
  <c r="W2" i="22"/>
  <c r="V2" i="22"/>
  <c r="U2" i="22"/>
  <c r="T2" i="22"/>
  <c r="S2" i="22"/>
  <c r="R2" i="22"/>
  <c r="Q2" i="22"/>
  <c r="P2" i="22"/>
  <c r="O2" i="22"/>
  <c r="N2" i="22"/>
  <c r="M2" i="22"/>
  <c r="L2" i="22"/>
  <c r="K2" i="22"/>
  <c r="J2" i="22"/>
  <c r="I2" i="22"/>
  <c r="H2" i="22"/>
  <c r="G2" i="22"/>
  <c r="F2" i="22"/>
  <c r="E2" i="22"/>
  <c r="D2" i="22"/>
  <c r="C2" i="22"/>
  <c r="BB23" i="32" l="1"/>
  <c r="AU23" i="32"/>
  <c r="AR23" i="32"/>
  <c r="D44" i="82" s="1"/>
  <c r="J23" i="32"/>
  <c r="AY24" i="32"/>
  <c r="E51" i="82" s="1"/>
  <c r="AL21" i="32"/>
  <c r="C38" i="82" s="1"/>
  <c r="D11" i="82"/>
  <c r="M21" i="32"/>
  <c r="C13" i="82" s="1"/>
  <c r="BC21" i="32"/>
  <c r="C55" i="82" s="1"/>
  <c r="B55" i="82"/>
  <c r="AW21" i="32"/>
  <c r="C49" i="82" s="1"/>
  <c r="B49" i="82"/>
  <c r="AS21" i="32"/>
  <c r="C45" i="82" s="1"/>
  <c r="B45" i="82"/>
  <c r="AO21" i="32"/>
  <c r="C41" i="82" s="1"/>
  <c r="B41" i="82"/>
  <c r="AI21" i="32"/>
  <c r="C35" i="82" s="1"/>
  <c r="B35" i="82"/>
  <c r="AE21" i="32"/>
  <c r="C31" i="82" s="1"/>
  <c r="B31" i="82"/>
  <c r="AA21" i="32"/>
  <c r="C27" i="82" s="1"/>
  <c r="B27" i="82"/>
  <c r="W21" i="32"/>
  <c r="C23" i="82" s="1"/>
  <c r="B23" i="82"/>
  <c r="S21" i="32"/>
  <c r="C19" i="82" s="1"/>
  <c r="B19" i="82"/>
  <c r="O21" i="32"/>
  <c r="C15" i="82" s="1"/>
  <c r="B15" i="82"/>
  <c r="I21" i="32"/>
  <c r="C9" i="82" s="1"/>
  <c r="B9" i="82"/>
  <c r="E21" i="32"/>
  <c r="C5" i="82" s="1"/>
  <c r="B5" i="82"/>
  <c r="AZ21" i="32"/>
  <c r="C52" i="82" s="1"/>
  <c r="B52" i="82"/>
  <c r="AV21" i="32"/>
  <c r="C48" i="82" s="1"/>
  <c r="B48" i="82"/>
  <c r="AR21" i="32"/>
  <c r="C44" i="82" s="1"/>
  <c r="B44" i="82"/>
  <c r="AN21" i="32"/>
  <c r="C40" i="82" s="1"/>
  <c r="B40" i="82"/>
  <c r="AH21" i="32"/>
  <c r="C34" i="82" s="1"/>
  <c r="B34" i="82"/>
  <c r="AD21" i="32"/>
  <c r="C30" i="82" s="1"/>
  <c r="B30" i="82"/>
  <c r="Z21" i="32"/>
  <c r="C26" i="82" s="1"/>
  <c r="B26" i="82"/>
  <c r="T21" i="32"/>
  <c r="C20" i="82" s="1"/>
  <c r="B20" i="82"/>
  <c r="P21" i="32"/>
  <c r="C16" i="82" s="1"/>
  <c r="B16" i="82"/>
  <c r="L21" i="32"/>
  <c r="C12" i="82" s="1"/>
  <c r="B12" i="82"/>
  <c r="H21" i="32"/>
  <c r="C8" i="82" s="1"/>
  <c r="B8" i="82"/>
  <c r="D21" i="32"/>
  <c r="C4" i="82" s="1"/>
  <c r="B4" i="82"/>
  <c r="AQ24" i="32"/>
  <c r="E43" i="82" s="1"/>
  <c r="D43" i="82"/>
  <c r="AY21" i="32"/>
  <c r="C51" i="82" s="1"/>
  <c r="B51" i="82"/>
  <c r="X21" i="32"/>
  <c r="C24" i="82" s="1"/>
  <c r="B24" i="82"/>
  <c r="D23" i="32"/>
  <c r="AK24" i="32"/>
  <c r="E37" i="82" s="1"/>
  <c r="D37" i="82"/>
  <c r="AK21" i="32"/>
  <c r="C37" i="82" s="1"/>
  <c r="B37" i="82"/>
  <c r="BA21" i="32"/>
  <c r="C53" i="82" s="1"/>
  <c r="B53" i="82"/>
  <c r="AU21" i="32"/>
  <c r="C47" i="82" s="1"/>
  <c r="B47" i="82"/>
  <c r="AQ21" i="32"/>
  <c r="C43" i="82" s="1"/>
  <c r="B43" i="82"/>
  <c r="AM21" i="32"/>
  <c r="C39" i="82" s="1"/>
  <c r="B39" i="82"/>
  <c r="AG21" i="32"/>
  <c r="C33" i="82" s="1"/>
  <c r="B33" i="82"/>
  <c r="AC21" i="32"/>
  <c r="C29" i="82" s="1"/>
  <c r="B29" i="82"/>
  <c r="Y21" i="32"/>
  <c r="C25" i="82" s="1"/>
  <c r="B25" i="82"/>
  <c r="U21" i="32"/>
  <c r="C21" i="82" s="1"/>
  <c r="B21" i="82"/>
  <c r="Q21" i="32"/>
  <c r="C17" i="82" s="1"/>
  <c r="B17" i="82"/>
  <c r="K21" i="32"/>
  <c r="C11" i="82" s="1"/>
  <c r="B11" i="82"/>
  <c r="G21" i="32"/>
  <c r="C7" i="82" s="1"/>
  <c r="B7" i="82"/>
  <c r="BB21" i="32"/>
  <c r="C54" i="82" s="1"/>
  <c r="B54" i="82"/>
  <c r="AX21" i="32"/>
  <c r="C50" i="82" s="1"/>
  <c r="B50" i="82"/>
  <c r="AT21" i="32"/>
  <c r="C46" i="82" s="1"/>
  <c r="B46" i="82"/>
  <c r="AP21" i="32"/>
  <c r="C42" i="82" s="1"/>
  <c r="B42" i="82"/>
  <c r="B36" i="82"/>
  <c r="AF21" i="32"/>
  <c r="C32" i="82" s="1"/>
  <c r="B32" i="82"/>
  <c r="AB21" i="32"/>
  <c r="C28" i="82" s="1"/>
  <c r="B28" i="82"/>
  <c r="V21" i="32"/>
  <c r="C22" i="82" s="1"/>
  <c r="B22" i="82"/>
  <c r="R21" i="32"/>
  <c r="C18" i="82" s="1"/>
  <c r="B18" i="82"/>
  <c r="N21" i="32"/>
  <c r="C14" i="82" s="1"/>
  <c r="B14" i="82"/>
  <c r="J21" i="32"/>
  <c r="C10" i="82" s="1"/>
  <c r="B10" i="82"/>
  <c r="F21" i="32"/>
  <c r="C6" i="82" s="1"/>
  <c r="B6" i="82"/>
  <c r="AF24" i="32"/>
  <c r="E32" i="82" s="1"/>
  <c r="D32" i="82"/>
  <c r="AU24" i="32"/>
  <c r="E47" i="82" s="1"/>
  <c r="D47" i="82"/>
  <c r="N24" i="32"/>
  <c r="E14" i="82" s="1"/>
  <c r="D14" i="82"/>
  <c r="J24" i="32"/>
  <c r="E10" i="82" s="1"/>
  <c r="D10" i="82"/>
  <c r="BB24" i="32"/>
  <c r="E54" i="82" s="1"/>
  <c r="D54" i="82"/>
  <c r="AR24" i="32"/>
  <c r="E44" i="82" s="1"/>
  <c r="X24" i="32"/>
  <c r="E24" i="82" s="1"/>
  <c r="D24" i="82"/>
  <c r="C21" i="32"/>
  <c r="C3" i="82" s="1"/>
  <c r="B3" i="82"/>
  <c r="M24" i="32"/>
  <c r="E13" i="82" s="1"/>
  <c r="D13" i="82"/>
  <c r="AV24" i="32"/>
  <c r="E48" i="82" s="1"/>
  <c r="D48" i="82"/>
  <c r="E23" i="32"/>
  <c r="AT23" i="32"/>
  <c r="AC23" i="32"/>
  <c r="Y23" i="32"/>
  <c r="AO23" i="32"/>
  <c r="Z23" i="32"/>
  <c r="H23" i="32"/>
  <c r="AS23" i="32"/>
  <c r="BA23" i="32"/>
  <c r="AZ23" i="32"/>
  <c r="AW23" i="32"/>
  <c r="I23" i="32"/>
  <c r="G23" i="32"/>
  <c r="C23" i="32"/>
  <c r="AE23" i="32"/>
  <c r="AL23" i="32"/>
  <c r="D38" i="82" s="1"/>
  <c r="AB23" i="32"/>
  <c r="BE9" i="32"/>
  <c r="C47" i="50"/>
  <c r="BF7" i="32"/>
  <c r="AM23" i="32"/>
  <c r="BE20" i="32"/>
  <c r="BE21" i="32" s="1"/>
  <c r="BD7" i="32"/>
  <c r="BE7" i="32"/>
  <c r="AX23" i="32"/>
  <c r="BF9" i="32"/>
  <c r="AA23" i="32"/>
  <c r="BG7" i="32"/>
  <c r="BG9" i="32"/>
  <c r="H22" i="65"/>
  <c r="BF20" i="32"/>
  <c r="BF21" i="32" s="1"/>
  <c r="BD9" i="32"/>
  <c r="C20" i="52"/>
  <c r="AN23" i="32"/>
  <c r="P23" i="32"/>
  <c r="F22" i="65"/>
  <c r="N22" i="65"/>
  <c r="P9" i="65"/>
  <c r="C9" i="66" s="1"/>
  <c r="P7" i="65"/>
  <c r="C7" i="66" s="1"/>
  <c r="AD7" i="77"/>
  <c r="AD9" i="77"/>
  <c r="AJ23" i="32"/>
  <c r="AD23" i="32"/>
  <c r="AP23" i="32"/>
  <c r="R23" i="32"/>
  <c r="S23" i="32"/>
  <c r="AH23" i="32"/>
  <c r="T23" i="32"/>
  <c r="C9" i="52"/>
  <c r="U23" i="32"/>
  <c r="O23" i="32"/>
  <c r="AJ21" i="32"/>
  <c r="C36" i="82" s="1"/>
  <c r="C22" i="65"/>
  <c r="AG23" i="32"/>
  <c r="W23" i="32"/>
  <c r="V23" i="32"/>
  <c r="L23" i="32"/>
  <c r="C7" i="52"/>
  <c r="Q23" i="32"/>
  <c r="AI23" i="32"/>
  <c r="F23" i="32"/>
  <c r="BD20" i="32"/>
  <c r="BD21" i="32" s="1"/>
  <c r="BG20" i="32"/>
  <c r="BG21" i="32" s="1"/>
  <c r="P20" i="65"/>
  <c r="C20" i="66" s="1"/>
  <c r="BC23" i="32"/>
  <c r="BI225" i="24"/>
  <c r="AL24" i="32"/>
  <c r="E38" i="82" s="1"/>
  <c r="C23" i="52"/>
  <c r="BJ225" i="24"/>
  <c r="BH225" i="24"/>
  <c r="BG225" i="24"/>
  <c r="F219" i="31" s="1"/>
  <c r="BD2" i="22"/>
  <c r="BG2" i="22"/>
  <c r="BF2" i="22"/>
  <c r="BE2" i="22"/>
  <c r="C21" i="52" l="1"/>
  <c r="AI24" i="32"/>
  <c r="E35" i="82" s="1"/>
  <c r="D35" i="82"/>
  <c r="V24" i="32"/>
  <c r="E22" i="82" s="1"/>
  <c r="D22" i="82"/>
  <c r="T24" i="32"/>
  <c r="E20" i="82" s="1"/>
  <c r="D20" i="82"/>
  <c r="AP24" i="32"/>
  <c r="E42" i="82" s="1"/>
  <c r="D42" i="82"/>
  <c r="D36" i="82"/>
  <c r="BC24" i="32"/>
  <c r="E55" i="82" s="1"/>
  <c r="D55" i="82"/>
  <c r="F24" i="32"/>
  <c r="E6" i="82" s="1"/>
  <c r="D6" i="82"/>
  <c r="Q24" i="32"/>
  <c r="E17" i="82" s="1"/>
  <c r="D17" i="82"/>
  <c r="L24" i="32"/>
  <c r="E12" i="82" s="1"/>
  <c r="D12" i="82"/>
  <c r="W24" i="32"/>
  <c r="E23" i="82" s="1"/>
  <c r="D23" i="82"/>
  <c r="O24" i="32"/>
  <c r="E15" i="82" s="1"/>
  <c r="D15" i="82"/>
  <c r="AH24" i="32"/>
  <c r="E34" i="82" s="1"/>
  <c r="D34" i="82"/>
  <c r="R24" i="32"/>
  <c r="E18" i="82" s="1"/>
  <c r="D18" i="82"/>
  <c r="AD24" i="32"/>
  <c r="E30" i="82" s="1"/>
  <c r="D30" i="82"/>
  <c r="AN24" i="32"/>
  <c r="E40" i="82" s="1"/>
  <c r="D40" i="82"/>
  <c r="G24" i="32"/>
  <c r="E7" i="82" s="1"/>
  <c r="D7" i="82"/>
  <c r="AW24" i="32"/>
  <c r="E49" i="82" s="1"/>
  <c r="D49" i="82"/>
  <c r="BA24" i="32"/>
  <c r="E53" i="82" s="1"/>
  <c r="D53" i="82"/>
  <c r="H24" i="32"/>
  <c r="E8" i="82" s="1"/>
  <c r="D8" i="82"/>
  <c r="AO24" i="32"/>
  <c r="E41" i="82" s="1"/>
  <c r="D41" i="82"/>
  <c r="AC24" i="32"/>
  <c r="E29" i="82" s="1"/>
  <c r="D29" i="82"/>
  <c r="E24" i="32"/>
  <c r="E5" i="82" s="1"/>
  <c r="D5" i="82"/>
  <c r="AG24" i="32"/>
  <c r="E33" i="82" s="1"/>
  <c r="D33" i="82"/>
  <c r="U24" i="32"/>
  <c r="E21" i="82" s="1"/>
  <c r="D21" i="82"/>
  <c r="S24" i="32"/>
  <c r="E19" i="82" s="1"/>
  <c r="D19" i="82"/>
  <c r="P24" i="32"/>
  <c r="E16" i="82" s="1"/>
  <c r="D16" i="82"/>
  <c r="AA24" i="32"/>
  <c r="E27" i="82" s="1"/>
  <c r="D27" i="82"/>
  <c r="AX24" i="32"/>
  <c r="E50" i="82" s="1"/>
  <c r="D50" i="82"/>
  <c r="AM24" i="32"/>
  <c r="E39" i="82" s="1"/>
  <c r="D39" i="82"/>
  <c r="AB24" i="32"/>
  <c r="E28" i="82" s="1"/>
  <c r="D28" i="82"/>
  <c r="AE24" i="32"/>
  <c r="E31" i="82" s="1"/>
  <c r="D31" i="82"/>
  <c r="C24" i="32"/>
  <c r="E3" i="82" s="1"/>
  <c r="D3" i="82"/>
  <c r="I24" i="32"/>
  <c r="E9" i="82" s="1"/>
  <c r="D9" i="82"/>
  <c r="AZ24" i="32"/>
  <c r="E52" i="82" s="1"/>
  <c r="D52" i="82"/>
  <c r="AS24" i="32"/>
  <c r="E45" i="82" s="1"/>
  <c r="D45" i="82"/>
  <c r="Z24" i="32"/>
  <c r="E26" i="82" s="1"/>
  <c r="D26" i="82"/>
  <c r="Y24" i="32"/>
  <c r="E25" i="82" s="1"/>
  <c r="D25" i="82"/>
  <c r="AT24" i="32"/>
  <c r="E46" i="82" s="1"/>
  <c r="D46" i="82"/>
  <c r="D24" i="32"/>
  <c r="E4" i="82" s="1"/>
  <c r="D4" i="82"/>
  <c r="P22" i="65"/>
  <c r="C22" i="66" s="1"/>
  <c r="BG23" i="32"/>
  <c r="BG24" i="32" s="1"/>
  <c r="BF23" i="32"/>
  <c r="BF24" i="32" s="1"/>
  <c r="BE23" i="32"/>
  <c r="BE24" i="32" s="1"/>
  <c r="BD23" i="32"/>
  <c r="BD24" i="32" s="1"/>
  <c r="AJ24" i="32"/>
  <c r="E36" i="82" s="1"/>
  <c r="BF2" i="24"/>
  <c r="BE2" i="24"/>
  <c r="BD2" i="24"/>
  <c r="BC2" i="24"/>
  <c r="BB2" i="24"/>
  <c r="BA2" i="24"/>
  <c r="AZ2" i="24"/>
  <c r="AY2" i="24"/>
  <c r="AX2" i="24"/>
  <c r="AW2" i="24"/>
  <c r="AV2" i="24"/>
  <c r="AU2" i="24"/>
  <c r="AT2" i="24"/>
  <c r="AS2" i="24"/>
  <c r="AR2" i="24"/>
  <c r="AQ2" i="24"/>
  <c r="AP2" i="24"/>
  <c r="AO2" i="24"/>
  <c r="AN2" i="24"/>
  <c r="AM2" i="24"/>
  <c r="AL2" i="24"/>
  <c r="AK2" i="24"/>
  <c r="AJ2" i="24"/>
  <c r="AI2" i="24"/>
  <c r="AH2" i="24"/>
  <c r="AG2" i="24"/>
  <c r="AF2" i="24"/>
  <c r="AE2" i="24"/>
  <c r="AD2" i="24"/>
  <c r="AC2" i="24"/>
  <c r="AB2" i="24"/>
  <c r="AA2" i="24"/>
  <c r="Z2" i="24"/>
  <c r="Y2" i="24"/>
  <c r="X2" i="24"/>
  <c r="W2" i="24"/>
  <c r="V2" i="24"/>
  <c r="U2" i="24"/>
  <c r="T2" i="24"/>
  <c r="S2" i="24"/>
  <c r="R2" i="24"/>
  <c r="Q2" i="24"/>
  <c r="P2" i="24"/>
  <c r="O2" i="24"/>
  <c r="N2" i="24"/>
  <c r="M2" i="24"/>
  <c r="L2" i="24"/>
  <c r="K2" i="24"/>
  <c r="J2" i="24"/>
  <c r="I2" i="24"/>
  <c r="H2" i="24"/>
  <c r="G2" i="24"/>
  <c r="F2" i="24"/>
  <c r="C24" i="52" l="1"/>
  <c r="BG2" i="24"/>
  <c r="F2" i="31" s="1"/>
  <c r="BJ2" i="24"/>
  <c r="BI2" i="24"/>
  <c r="BH2" i="24"/>
  <c r="BI6" i="23"/>
  <c r="BE2" i="23"/>
  <c r="BD2" i="23"/>
  <c r="BC2" i="23"/>
  <c r="BB2" i="23"/>
  <c r="BA2" i="23"/>
  <c r="AZ2" i="23"/>
  <c r="AY2" i="23"/>
  <c r="AX2" i="23"/>
  <c r="AW2" i="23"/>
  <c r="AV2" i="23"/>
  <c r="AU2" i="23"/>
  <c r="AT2" i="23"/>
  <c r="AS2" i="23"/>
  <c r="AR2" i="23"/>
  <c r="AQ2" i="23"/>
  <c r="AP2" i="23"/>
  <c r="AO2" i="23"/>
  <c r="AN2" i="23"/>
  <c r="AM2" i="23"/>
  <c r="AL2" i="23"/>
  <c r="AK2" i="23"/>
  <c r="AJ2" i="23"/>
  <c r="AI2" i="23"/>
  <c r="AH2" i="23"/>
  <c r="AG2" i="23"/>
  <c r="AF2" i="23"/>
  <c r="AE2" i="23"/>
  <c r="AD2" i="23"/>
  <c r="AC2" i="23"/>
  <c r="AB2" i="23"/>
  <c r="AA2" i="23"/>
  <c r="Z2" i="23"/>
  <c r="Y2" i="23"/>
  <c r="X2" i="23"/>
  <c r="W2" i="23"/>
  <c r="V2" i="23"/>
  <c r="U2" i="23"/>
  <c r="T2" i="23"/>
  <c r="S2" i="23"/>
  <c r="R2" i="23"/>
  <c r="Q2" i="23"/>
  <c r="P2" i="23"/>
  <c r="O2" i="23"/>
  <c r="O6" i="29" s="1"/>
  <c r="N2" i="23"/>
  <c r="M2" i="23"/>
  <c r="L2" i="23"/>
  <c r="K2" i="23"/>
  <c r="J2" i="23"/>
  <c r="I2" i="23"/>
  <c r="H2" i="23"/>
  <c r="G2" i="23"/>
  <c r="F2" i="23"/>
  <c r="E2" i="23"/>
  <c r="D84" i="27"/>
  <c r="C47" i="26"/>
  <c r="D62" i="27"/>
  <c r="C35" i="26"/>
  <c r="D38" i="27"/>
  <c r="C23" i="26"/>
  <c r="C11" i="26"/>
  <c r="BI58" i="23"/>
  <c r="BI59" i="23"/>
  <c r="BI60" i="23"/>
  <c r="BI61" i="23"/>
  <c r="BI62" i="23"/>
  <c r="BI66" i="23"/>
  <c r="BI67" i="23"/>
  <c r="BI68" i="23"/>
  <c r="BI69" i="23"/>
  <c r="BI70" i="23"/>
  <c r="BI71" i="23"/>
  <c r="BI72" i="23"/>
  <c r="BI78" i="23"/>
  <c r="BI79" i="23"/>
  <c r="BI80" i="23"/>
  <c r="BI84" i="23"/>
  <c r="BI85" i="23"/>
  <c r="BI86" i="23"/>
  <c r="BI90" i="23"/>
  <c r="BI91" i="23"/>
  <c r="BI92" i="23"/>
  <c r="BI93" i="23"/>
  <c r="BI94" i="23"/>
  <c r="BI95" i="23"/>
  <c r="BI96" i="23"/>
  <c r="BI97" i="23"/>
  <c r="BI101" i="23"/>
  <c r="BI102" i="23"/>
  <c r="BI103" i="23"/>
  <c r="BI107" i="23"/>
  <c r="BI108" i="23"/>
  <c r="BI109" i="23"/>
  <c r="BI110" i="23"/>
  <c r="BI111" i="23"/>
  <c r="BI112" i="23"/>
  <c r="BI113" i="23"/>
  <c r="BI114" i="23"/>
  <c r="BI115" i="23"/>
  <c r="BI119" i="23"/>
  <c r="BI123" i="23"/>
  <c r="BI124" i="23"/>
  <c r="BI125" i="23"/>
  <c r="BI126" i="23"/>
  <c r="BI133" i="23"/>
  <c r="BI134" i="23"/>
  <c r="BI135" i="23"/>
  <c r="BI136" i="23"/>
  <c r="BI137" i="23"/>
  <c r="BI138" i="23"/>
  <c r="BI142" i="23"/>
  <c r="BI143" i="23"/>
  <c r="BI144" i="23"/>
  <c r="BI145" i="23"/>
  <c r="BI146" i="23"/>
  <c r="BI147" i="23"/>
  <c r="BI148" i="23"/>
  <c r="BI155" i="23"/>
  <c r="BI154" i="23"/>
  <c r="BI141" i="23"/>
  <c r="BI132" i="23"/>
  <c r="BI129" i="23"/>
  <c r="BI122" i="23"/>
  <c r="BI118" i="23"/>
  <c r="BI106" i="23"/>
  <c r="BI100" i="23"/>
  <c r="BI89" i="23"/>
  <c r="BI83" i="23"/>
  <c r="BI77" i="23"/>
  <c r="BI65" i="23"/>
  <c r="BI57" i="23"/>
  <c r="BI54" i="23"/>
  <c r="BI41" i="23"/>
  <c r="BI33" i="23"/>
  <c r="BI34" i="23"/>
  <c r="BI35" i="23"/>
  <c r="BI36" i="23"/>
  <c r="BI37" i="23"/>
  <c r="BI29" i="23"/>
  <c r="BI17" i="23"/>
  <c r="BI18" i="23"/>
  <c r="BI19" i="23"/>
  <c r="BI20" i="23"/>
  <c r="BI21" i="23"/>
  <c r="BI22" i="23"/>
  <c r="BI23" i="23"/>
  <c r="BI24" i="23"/>
  <c r="BI25" i="23"/>
  <c r="BI45" i="23"/>
  <c r="BI46" i="23"/>
  <c r="BI47" i="23"/>
  <c r="BI48" i="23"/>
  <c r="BI49" i="23"/>
  <c r="BI50" i="23"/>
  <c r="BI51" i="23"/>
  <c r="BI44" i="23"/>
  <c r="BI40" i="23"/>
  <c r="BI32" i="23"/>
  <c r="BI28" i="23"/>
  <c r="BI16" i="23"/>
  <c r="BH17" i="23"/>
  <c r="BH18" i="23"/>
  <c r="BH19" i="23"/>
  <c r="BH20" i="23"/>
  <c r="BH21" i="23"/>
  <c r="BH22" i="23"/>
  <c r="BH23" i="23"/>
  <c r="BH24" i="23"/>
  <c r="BH25" i="23"/>
  <c r="BH29" i="23"/>
  <c r="BH33" i="23"/>
  <c r="BH34" i="23"/>
  <c r="BH35" i="23"/>
  <c r="BH36" i="23"/>
  <c r="BH37" i="23"/>
  <c r="BH41" i="23"/>
  <c r="BH45" i="23"/>
  <c r="BH46" i="23"/>
  <c r="BH47" i="23"/>
  <c r="BH48" i="23"/>
  <c r="BH49" i="23"/>
  <c r="BH50" i="23"/>
  <c r="BH51" i="23"/>
  <c r="BH58" i="23"/>
  <c r="BH59" i="23"/>
  <c r="BH60" i="23"/>
  <c r="BH61" i="23"/>
  <c r="BH62" i="23"/>
  <c r="BH66" i="23"/>
  <c r="BH67" i="23"/>
  <c r="BH68" i="23"/>
  <c r="BH69" i="23"/>
  <c r="BH70" i="23"/>
  <c r="BH71" i="23"/>
  <c r="BH72" i="23"/>
  <c r="BH78" i="23"/>
  <c r="BH79" i="23"/>
  <c r="BH80" i="23"/>
  <c r="BH84" i="23"/>
  <c r="BH85" i="23"/>
  <c r="BH86" i="23"/>
  <c r="BH90" i="23"/>
  <c r="BH91" i="23"/>
  <c r="BH92" i="23"/>
  <c r="BH93" i="23"/>
  <c r="BH94" i="23"/>
  <c r="BH95" i="23"/>
  <c r="BH96" i="23"/>
  <c r="BH97" i="23"/>
  <c r="BH101" i="23"/>
  <c r="BH102" i="23"/>
  <c r="BH103" i="23"/>
  <c r="BH107" i="23"/>
  <c r="BH108" i="23"/>
  <c r="BH109" i="23"/>
  <c r="BH110" i="23"/>
  <c r="BH111" i="23"/>
  <c r="BH112" i="23"/>
  <c r="BH113" i="23"/>
  <c r="BH114" i="23"/>
  <c r="BH115" i="23"/>
  <c r="BH119" i="23"/>
  <c r="BG119" i="23"/>
  <c r="BH123" i="23"/>
  <c r="BH124" i="23"/>
  <c r="BH125" i="23"/>
  <c r="BH126" i="23"/>
  <c r="BH133" i="23"/>
  <c r="BH134" i="23"/>
  <c r="BH135" i="23"/>
  <c r="BH136" i="23"/>
  <c r="BH137" i="23"/>
  <c r="BH138" i="23"/>
  <c r="BH142" i="23"/>
  <c r="BH143" i="23"/>
  <c r="BH144" i="23"/>
  <c r="BH145" i="23"/>
  <c r="BH146" i="23"/>
  <c r="BH147" i="23"/>
  <c r="BH148" i="23"/>
  <c r="BH155" i="23"/>
  <c r="BH154" i="23"/>
  <c r="BH141" i="23"/>
  <c r="BH132" i="23"/>
  <c r="BH129" i="23"/>
  <c r="BH122" i="23"/>
  <c r="BH118" i="23"/>
  <c r="BH106" i="23"/>
  <c r="BH100" i="23"/>
  <c r="BH89" i="23"/>
  <c r="BH83" i="23"/>
  <c r="BH77" i="23"/>
  <c r="BH65" i="23"/>
  <c r="BH57" i="23"/>
  <c r="BH54" i="23"/>
  <c r="BH44" i="23"/>
  <c r="BH40" i="23"/>
  <c r="BH32" i="23"/>
  <c r="BH28" i="23"/>
  <c r="BH16" i="23"/>
  <c r="BG155" i="23"/>
  <c r="BG142" i="23"/>
  <c r="BG143" i="23"/>
  <c r="BG144" i="23"/>
  <c r="BG145" i="23"/>
  <c r="BG146" i="23"/>
  <c r="BG147" i="23"/>
  <c r="BG148" i="23"/>
  <c r="BG133" i="23"/>
  <c r="BG134" i="23"/>
  <c r="BG135" i="23"/>
  <c r="BG136" i="23"/>
  <c r="BG137" i="23"/>
  <c r="BG138" i="23"/>
  <c r="BG123" i="23"/>
  <c r="BG124" i="23"/>
  <c r="BG125" i="23"/>
  <c r="BG126" i="23"/>
  <c r="BG154" i="23"/>
  <c r="BG141" i="23"/>
  <c r="BG132" i="23"/>
  <c r="BG129" i="23"/>
  <c r="BG122" i="23"/>
  <c r="BG118" i="23"/>
  <c r="BG107" i="23"/>
  <c r="BG108" i="23"/>
  <c r="BG109" i="23"/>
  <c r="BG110" i="23"/>
  <c r="BG111" i="23"/>
  <c r="BG112" i="23"/>
  <c r="BG113" i="23"/>
  <c r="BG114" i="23"/>
  <c r="BG115" i="23"/>
  <c r="BG106" i="23"/>
  <c r="BG103" i="23"/>
  <c r="BG101" i="23"/>
  <c r="BG102" i="23"/>
  <c r="BG100" i="23"/>
  <c r="BG90" i="23"/>
  <c r="BG91" i="23"/>
  <c r="BG92" i="23"/>
  <c r="BG93" i="23"/>
  <c r="BG94" i="23"/>
  <c r="BG95" i="23"/>
  <c r="BG96" i="23"/>
  <c r="BG97" i="23"/>
  <c r="BG89" i="23"/>
  <c r="BG84" i="23"/>
  <c r="BG85" i="23"/>
  <c r="BG86" i="23"/>
  <c r="BG83" i="23"/>
  <c r="BG78" i="23"/>
  <c r="BG79" i="23"/>
  <c r="BG80" i="23"/>
  <c r="BG77" i="23"/>
  <c r="BG66" i="23"/>
  <c r="BG67" i="23"/>
  <c r="BG68" i="23"/>
  <c r="BG69" i="23"/>
  <c r="BG70" i="23"/>
  <c r="BG71" i="23"/>
  <c r="BG72" i="23"/>
  <c r="BG65" i="23"/>
  <c r="BG58" i="23"/>
  <c r="BG59" i="23"/>
  <c r="BG60" i="23"/>
  <c r="BG61" i="23"/>
  <c r="BG62" i="23"/>
  <c r="BG57" i="23"/>
  <c r="BG54" i="23"/>
  <c r="BG45" i="23"/>
  <c r="BG46" i="23"/>
  <c r="BG47" i="23"/>
  <c r="BG48" i="23"/>
  <c r="BG49" i="23"/>
  <c r="BG50" i="23"/>
  <c r="BG51" i="23"/>
  <c r="BG44" i="23"/>
  <c r="BG41" i="23"/>
  <c r="BG40" i="23"/>
  <c r="BG33" i="23"/>
  <c r="BG34" i="23"/>
  <c r="BG35" i="23"/>
  <c r="BG36" i="23"/>
  <c r="BG37" i="23"/>
  <c r="BG32" i="23"/>
  <c r="BG29" i="23"/>
  <c r="BG28" i="23"/>
  <c r="BG17" i="23"/>
  <c r="BG18" i="23"/>
  <c r="BG19" i="23"/>
  <c r="BG20" i="23"/>
  <c r="BG21" i="23"/>
  <c r="BG22" i="23"/>
  <c r="BG23" i="23"/>
  <c r="BG24" i="23"/>
  <c r="BG25" i="23"/>
  <c r="BG16" i="23"/>
  <c r="D35" i="27" l="1"/>
  <c r="C22" i="26"/>
  <c r="C19" i="26"/>
  <c r="D39" i="27"/>
  <c r="C33" i="26"/>
  <c r="C34" i="26"/>
  <c r="D59" i="27"/>
  <c r="D81" i="27"/>
  <c r="C45" i="26"/>
  <c r="D83" i="27"/>
  <c r="D36" i="27"/>
  <c r="D34" i="27"/>
  <c r="D37" i="27"/>
  <c r="C21" i="26"/>
  <c r="C31" i="26"/>
  <c r="D63" i="27"/>
  <c r="D61" i="27"/>
  <c r="D60" i="27"/>
  <c r="D58" i="27"/>
  <c r="D82" i="27"/>
  <c r="D80" i="27"/>
  <c r="C43" i="26"/>
  <c r="D85" i="27"/>
  <c r="C46" i="26"/>
  <c r="C32" i="26"/>
  <c r="BI220" i="24"/>
  <c r="BI223" i="24" s="1"/>
  <c r="C44" i="26"/>
  <c r="BJ220" i="24"/>
  <c r="BJ223" i="24" s="1"/>
  <c r="C20" i="26"/>
  <c r="BH220" i="24"/>
  <c r="BH223" i="24" s="1"/>
  <c r="F165" i="29"/>
  <c r="F166" i="29"/>
  <c r="F164" i="29"/>
  <c r="F167" i="29"/>
  <c r="F168" i="29"/>
  <c r="F171" i="29"/>
  <c r="F169" i="29"/>
  <c r="F170" i="29"/>
  <c r="F173" i="29"/>
  <c r="F174" i="29"/>
  <c r="F172" i="29"/>
  <c r="F175" i="29"/>
  <c r="F176" i="29"/>
  <c r="H165" i="29"/>
  <c r="H166" i="29"/>
  <c r="H167" i="29"/>
  <c r="H168" i="29"/>
  <c r="H171" i="29"/>
  <c r="H164" i="29"/>
  <c r="H169" i="29"/>
  <c r="H170" i="29"/>
  <c r="H173" i="29"/>
  <c r="H174" i="29"/>
  <c r="H172" i="29"/>
  <c r="H175" i="29"/>
  <c r="H176" i="29"/>
  <c r="J165" i="29"/>
  <c r="J166" i="29"/>
  <c r="J164" i="29"/>
  <c r="J167" i="29"/>
  <c r="J168" i="29"/>
  <c r="J171" i="29"/>
  <c r="J169" i="29"/>
  <c r="J170" i="29"/>
  <c r="J173" i="29"/>
  <c r="J174" i="29"/>
  <c r="J172" i="29"/>
  <c r="J175" i="29"/>
  <c r="J176" i="29"/>
  <c r="L165" i="29"/>
  <c r="L166" i="29"/>
  <c r="L167" i="29"/>
  <c r="L168" i="29"/>
  <c r="L171" i="29"/>
  <c r="L164" i="29"/>
  <c r="L173" i="29"/>
  <c r="L174" i="29"/>
  <c r="L169" i="29"/>
  <c r="L170" i="29"/>
  <c r="L172" i="29"/>
  <c r="L175" i="29"/>
  <c r="L176" i="29"/>
  <c r="N165" i="29"/>
  <c r="N166" i="29"/>
  <c r="N164" i="29"/>
  <c r="N167" i="29"/>
  <c r="N168" i="29"/>
  <c r="N171" i="29"/>
  <c r="N169" i="29"/>
  <c r="N170" i="29"/>
  <c r="N173" i="29"/>
  <c r="N174" i="29"/>
  <c r="N172" i="29"/>
  <c r="N175" i="29"/>
  <c r="N176" i="29"/>
  <c r="P165" i="29"/>
  <c r="P166" i="29"/>
  <c r="P167" i="29"/>
  <c r="P168" i="29"/>
  <c r="P171" i="29"/>
  <c r="P169" i="29"/>
  <c r="P170" i="29"/>
  <c r="P173" i="29"/>
  <c r="P174" i="29"/>
  <c r="P164" i="29"/>
  <c r="P172" i="29"/>
  <c r="P175" i="29"/>
  <c r="P176" i="29"/>
  <c r="R165" i="29"/>
  <c r="R166" i="29"/>
  <c r="R164" i="29"/>
  <c r="R167" i="29"/>
  <c r="R168" i="29"/>
  <c r="R171" i="29"/>
  <c r="R169" i="29"/>
  <c r="R170" i="29"/>
  <c r="R173" i="29"/>
  <c r="R174" i="29"/>
  <c r="R172" i="29"/>
  <c r="R175" i="29"/>
  <c r="R176" i="29"/>
  <c r="T165" i="29"/>
  <c r="T166" i="29"/>
  <c r="T167" i="29"/>
  <c r="T168" i="29"/>
  <c r="T171" i="29"/>
  <c r="T164" i="29"/>
  <c r="T173" i="29"/>
  <c r="T174" i="29"/>
  <c r="T169" i="29"/>
  <c r="T170" i="29"/>
  <c r="T172" i="29"/>
  <c r="T175" i="29"/>
  <c r="T176" i="29"/>
  <c r="V165" i="29"/>
  <c r="V166" i="29"/>
  <c r="V164" i="29"/>
  <c r="V167" i="29"/>
  <c r="V168" i="29"/>
  <c r="V171" i="29"/>
  <c r="V169" i="29"/>
  <c r="V170" i="29"/>
  <c r="V173" i="29"/>
  <c r="V174" i="29"/>
  <c r="V172" i="29"/>
  <c r="V175" i="29"/>
  <c r="V176" i="29"/>
  <c r="X165" i="29"/>
  <c r="X166" i="29"/>
  <c r="X167" i="29"/>
  <c r="X168" i="29"/>
  <c r="X171" i="29"/>
  <c r="X164" i="29"/>
  <c r="X169" i="29"/>
  <c r="X170" i="29"/>
  <c r="X173" i="29"/>
  <c r="X174" i="29"/>
  <c r="X172" i="29"/>
  <c r="X175" i="29"/>
  <c r="X176" i="29"/>
  <c r="Z165" i="29"/>
  <c r="Z166" i="29"/>
  <c r="Z164" i="29"/>
  <c r="Z167" i="29"/>
  <c r="Z168" i="29"/>
  <c r="Z171" i="29"/>
  <c r="Z169" i="29"/>
  <c r="Z170" i="29"/>
  <c r="Z173" i="29"/>
  <c r="Z174" i="29"/>
  <c r="Z172" i="29"/>
  <c r="Z175" i="29"/>
  <c r="Z176" i="29"/>
  <c r="AB165" i="29"/>
  <c r="AB166" i="29"/>
  <c r="AB167" i="29"/>
  <c r="AB168" i="29"/>
  <c r="AB171" i="29"/>
  <c r="AB164" i="29"/>
  <c r="AB173" i="29"/>
  <c r="AB174" i="29"/>
  <c r="AB169" i="29"/>
  <c r="AB170" i="29"/>
  <c r="AB172" i="29"/>
  <c r="AB175" i="29"/>
  <c r="AB176" i="29"/>
  <c r="AD165" i="29"/>
  <c r="AD166" i="29"/>
  <c r="AD164" i="29"/>
  <c r="AD167" i="29"/>
  <c r="AD168" i="29"/>
  <c r="AD171" i="29"/>
  <c r="AD169" i="29"/>
  <c r="AD170" i="29"/>
  <c r="AD173" i="29"/>
  <c r="AD174" i="29"/>
  <c r="AD172" i="29"/>
  <c r="AD175" i="29"/>
  <c r="AD176" i="29"/>
  <c r="AF165" i="29"/>
  <c r="AF166" i="29"/>
  <c r="AF167" i="29"/>
  <c r="AF168" i="29"/>
  <c r="AF171" i="29"/>
  <c r="AF169" i="29"/>
  <c r="AF170" i="29"/>
  <c r="AF173" i="29"/>
  <c r="AF174" i="29"/>
  <c r="AF164" i="29"/>
  <c r="AF172" i="29"/>
  <c r="AF175" i="29"/>
  <c r="AF176" i="29"/>
  <c r="AH165" i="29"/>
  <c r="AH166" i="29"/>
  <c r="AH164" i="29"/>
  <c r="AH167" i="29"/>
  <c r="AH168" i="29"/>
  <c r="AH169" i="29"/>
  <c r="AH170" i="29"/>
  <c r="AH173" i="29"/>
  <c r="AH174" i="29"/>
  <c r="AH171" i="29"/>
  <c r="AH172" i="29"/>
  <c r="AH175" i="29"/>
  <c r="AH176" i="29"/>
  <c r="AJ165" i="29"/>
  <c r="AJ166" i="29"/>
  <c r="AJ167" i="29"/>
  <c r="AJ168" i="29"/>
  <c r="AJ164" i="29"/>
  <c r="AJ173" i="29"/>
  <c r="AJ174" i="29"/>
  <c r="AJ169" i="29"/>
  <c r="AJ170" i="29"/>
  <c r="AJ171" i="29"/>
  <c r="AJ172" i="29"/>
  <c r="AJ175" i="29"/>
  <c r="AJ176" i="29"/>
  <c r="AL165" i="29"/>
  <c r="AL166" i="29"/>
  <c r="AL164" i="29"/>
  <c r="AL167" i="29"/>
  <c r="AL168" i="29"/>
  <c r="AL169" i="29"/>
  <c r="AL170" i="29"/>
  <c r="AL173" i="29"/>
  <c r="AL174" i="29"/>
  <c r="AL171" i="29"/>
  <c r="AL172" i="29"/>
  <c r="AL175" i="29"/>
  <c r="AL176" i="29"/>
  <c r="AN165" i="29"/>
  <c r="AN166" i="29"/>
  <c r="AN167" i="29"/>
  <c r="AN168" i="29"/>
  <c r="AN164" i="29"/>
  <c r="AN169" i="29"/>
  <c r="AN170" i="29"/>
  <c r="AN173" i="29"/>
  <c r="AN174" i="29"/>
  <c r="AN171" i="29"/>
  <c r="AN172" i="29"/>
  <c r="AN175" i="29"/>
  <c r="AN176" i="29"/>
  <c r="AP165" i="29"/>
  <c r="AP166" i="29"/>
  <c r="AP164" i="29"/>
  <c r="AP167" i="29"/>
  <c r="AP168" i="29"/>
  <c r="AP169" i="29"/>
  <c r="AP170" i="29"/>
  <c r="AP173" i="29"/>
  <c r="AP174" i="29"/>
  <c r="AP171" i="29"/>
  <c r="AP172" i="29"/>
  <c r="AP175" i="29"/>
  <c r="AP176" i="29"/>
  <c r="AR165" i="29"/>
  <c r="AR166" i="29"/>
  <c r="AR167" i="29"/>
  <c r="AR168" i="29"/>
  <c r="AR164" i="29"/>
  <c r="AR173" i="29"/>
  <c r="AR174" i="29"/>
  <c r="AR169" i="29"/>
  <c r="AR170" i="29"/>
  <c r="AR171" i="29"/>
  <c r="AR172" i="29"/>
  <c r="AR175" i="29"/>
  <c r="AR176" i="29"/>
  <c r="AT165" i="29"/>
  <c r="AT166" i="29"/>
  <c r="AT164" i="29"/>
  <c r="AT167" i="29"/>
  <c r="AT168" i="29"/>
  <c r="AT169" i="29"/>
  <c r="AT170" i="29"/>
  <c r="AT173" i="29"/>
  <c r="AT174" i="29"/>
  <c r="AT171" i="29"/>
  <c r="AT172" i="29"/>
  <c r="AT175" i="29"/>
  <c r="AT176" i="29"/>
  <c r="AV165" i="29"/>
  <c r="AV166" i="29"/>
  <c r="AV167" i="29"/>
  <c r="AV168" i="29"/>
  <c r="AV169" i="29"/>
  <c r="AV170" i="29"/>
  <c r="AV173" i="29"/>
  <c r="AV174" i="29"/>
  <c r="AV164" i="29"/>
  <c r="AV171" i="29"/>
  <c r="AV172" i="29"/>
  <c r="AV175" i="29"/>
  <c r="AV176" i="29"/>
  <c r="AX165" i="29"/>
  <c r="AX166" i="29"/>
  <c r="AX164" i="29"/>
  <c r="AX167" i="29"/>
  <c r="AX168" i="29"/>
  <c r="AX169" i="29"/>
  <c r="AX170" i="29"/>
  <c r="AX173" i="29"/>
  <c r="AX174" i="29"/>
  <c r="AX171" i="29"/>
  <c r="AX172" i="29"/>
  <c r="AX175" i="29"/>
  <c r="AX176" i="29"/>
  <c r="AZ165" i="29"/>
  <c r="AZ166" i="29"/>
  <c r="AZ167" i="29"/>
  <c r="AZ168" i="29"/>
  <c r="AZ164" i="29"/>
  <c r="AZ173" i="29"/>
  <c r="AZ174" i="29"/>
  <c r="AZ169" i="29"/>
  <c r="AZ170" i="29"/>
  <c r="AZ171" i="29"/>
  <c r="AZ172" i="29"/>
  <c r="AZ175" i="29"/>
  <c r="AZ176" i="29"/>
  <c r="BB165" i="29"/>
  <c r="BB166" i="29"/>
  <c r="BB164" i="29"/>
  <c r="BB167" i="29"/>
  <c r="BB168" i="29"/>
  <c r="BB169" i="29"/>
  <c r="BB170" i="29"/>
  <c r="BB173" i="29"/>
  <c r="BB174" i="29"/>
  <c r="BB171" i="29"/>
  <c r="BB172" i="29"/>
  <c r="BB175" i="29"/>
  <c r="BB176" i="29"/>
  <c r="BD165" i="29"/>
  <c r="BD166" i="29"/>
  <c r="BD167" i="29"/>
  <c r="BD168" i="29"/>
  <c r="BD164" i="29"/>
  <c r="BD169" i="29"/>
  <c r="BD170" i="29"/>
  <c r="BD173" i="29"/>
  <c r="BD174" i="29"/>
  <c r="BD171" i="29"/>
  <c r="BD172" i="29"/>
  <c r="BD175" i="29"/>
  <c r="BD176" i="29"/>
  <c r="E164" i="29"/>
  <c r="E165" i="29"/>
  <c r="E166" i="29"/>
  <c r="E169" i="29"/>
  <c r="E170" i="29"/>
  <c r="E171" i="29"/>
  <c r="E172" i="29"/>
  <c r="E175" i="29"/>
  <c r="E176" i="29"/>
  <c r="E167" i="29"/>
  <c r="E168" i="29"/>
  <c r="E173" i="29"/>
  <c r="E174" i="29"/>
  <c r="G164" i="29"/>
  <c r="G169" i="29"/>
  <c r="G170" i="29"/>
  <c r="G167" i="29"/>
  <c r="G168" i="29"/>
  <c r="G166" i="29"/>
  <c r="G171" i="29"/>
  <c r="G172" i="29"/>
  <c r="G175" i="29"/>
  <c r="G176" i="29"/>
  <c r="G165" i="29"/>
  <c r="G173" i="29"/>
  <c r="G174" i="29"/>
  <c r="I164" i="29"/>
  <c r="I165" i="29"/>
  <c r="I166" i="29"/>
  <c r="I169" i="29"/>
  <c r="I170" i="29"/>
  <c r="I171" i="29"/>
  <c r="I167" i="29"/>
  <c r="I168" i="29"/>
  <c r="I172" i="29"/>
  <c r="I175" i="29"/>
  <c r="I176" i="29"/>
  <c r="I173" i="29"/>
  <c r="I174" i="29"/>
  <c r="K164" i="29"/>
  <c r="K169" i="29"/>
  <c r="K170" i="29"/>
  <c r="K165" i="29"/>
  <c r="K166" i="29"/>
  <c r="K167" i="29"/>
  <c r="K168" i="29"/>
  <c r="K172" i="29"/>
  <c r="K175" i="29"/>
  <c r="K176" i="29"/>
  <c r="K171" i="29"/>
  <c r="K173" i="29"/>
  <c r="K174" i="29"/>
  <c r="M164" i="29"/>
  <c r="M165" i="29"/>
  <c r="M166" i="29"/>
  <c r="M169" i="29"/>
  <c r="M170" i="29"/>
  <c r="M171" i="29"/>
  <c r="M172" i="29"/>
  <c r="M175" i="29"/>
  <c r="M176" i="29"/>
  <c r="M167" i="29"/>
  <c r="M168" i="29"/>
  <c r="M173" i="29"/>
  <c r="M174" i="29"/>
  <c r="O164" i="29"/>
  <c r="O169" i="29"/>
  <c r="O170" i="29"/>
  <c r="O167" i="29"/>
  <c r="O168" i="29"/>
  <c r="O165" i="29"/>
  <c r="O171" i="29"/>
  <c r="O172" i="29"/>
  <c r="O175" i="29"/>
  <c r="O176" i="29"/>
  <c r="O166" i="29"/>
  <c r="O173" i="29"/>
  <c r="O174" i="29"/>
  <c r="Q164" i="29"/>
  <c r="Q165" i="29"/>
  <c r="Q166" i="29"/>
  <c r="Q169" i="29"/>
  <c r="Q170" i="29"/>
  <c r="Q171" i="29"/>
  <c r="Q167" i="29"/>
  <c r="Q168" i="29"/>
  <c r="Q172" i="29"/>
  <c r="Q175" i="29"/>
  <c r="Q176" i="29"/>
  <c r="Q173" i="29"/>
  <c r="Q174" i="29"/>
  <c r="S164" i="29"/>
  <c r="S169" i="29"/>
  <c r="S170" i="29"/>
  <c r="S165" i="29"/>
  <c r="S166" i="29"/>
  <c r="S167" i="29"/>
  <c r="S168" i="29"/>
  <c r="S172" i="29"/>
  <c r="S175" i="29"/>
  <c r="S176" i="29"/>
  <c r="S171" i="29"/>
  <c r="S173" i="29"/>
  <c r="S174" i="29"/>
  <c r="U164" i="29"/>
  <c r="U165" i="29"/>
  <c r="U166" i="29"/>
  <c r="U169" i="29"/>
  <c r="U170" i="29"/>
  <c r="U171" i="29"/>
  <c r="U172" i="29"/>
  <c r="U175" i="29"/>
  <c r="U176" i="29"/>
  <c r="U167" i="29"/>
  <c r="U168" i="29"/>
  <c r="U173" i="29"/>
  <c r="U174" i="29"/>
  <c r="W164" i="29"/>
  <c r="W169" i="29"/>
  <c r="W170" i="29"/>
  <c r="W167" i="29"/>
  <c r="W168" i="29"/>
  <c r="W166" i="29"/>
  <c r="W171" i="29"/>
  <c r="W172" i="29"/>
  <c r="W175" i="29"/>
  <c r="W176" i="29"/>
  <c r="W165" i="29"/>
  <c r="W173" i="29"/>
  <c r="W174" i="29"/>
  <c r="Y164" i="29"/>
  <c r="Y165" i="29"/>
  <c r="Y166" i="29"/>
  <c r="Y169" i="29"/>
  <c r="Y170" i="29"/>
  <c r="Y171" i="29"/>
  <c r="Y167" i="29"/>
  <c r="Y168" i="29"/>
  <c r="Y172" i="29"/>
  <c r="Y175" i="29"/>
  <c r="Y176" i="29"/>
  <c r="Y173" i="29"/>
  <c r="Y174" i="29"/>
  <c r="AA164" i="29"/>
  <c r="AA169" i="29"/>
  <c r="AA170" i="29"/>
  <c r="AA165" i="29"/>
  <c r="AA166" i="29"/>
  <c r="AA167" i="29"/>
  <c r="AA168" i="29"/>
  <c r="AA172" i="29"/>
  <c r="AA175" i="29"/>
  <c r="AA176" i="29"/>
  <c r="AA171" i="29"/>
  <c r="AA173" i="29"/>
  <c r="AA174" i="29"/>
  <c r="AC164" i="29"/>
  <c r="AC165" i="29"/>
  <c r="AC166" i="29"/>
  <c r="AC169" i="29"/>
  <c r="AC170" i="29"/>
  <c r="AC171" i="29"/>
  <c r="AC172" i="29"/>
  <c r="AC175" i="29"/>
  <c r="AC176" i="29"/>
  <c r="AC167" i="29"/>
  <c r="AC168" i="29"/>
  <c r="AC173" i="29"/>
  <c r="AC174" i="29"/>
  <c r="AE164" i="29"/>
  <c r="AE169" i="29"/>
  <c r="AE170" i="29"/>
  <c r="AE167" i="29"/>
  <c r="AE168" i="29"/>
  <c r="AE165" i="29"/>
  <c r="AE171" i="29"/>
  <c r="AE172" i="29"/>
  <c r="AE175" i="29"/>
  <c r="AE176" i="29"/>
  <c r="AE166" i="29"/>
  <c r="AE173" i="29"/>
  <c r="AE174" i="29"/>
  <c r="AG164" i="29"/>
  <c r="AG165" i="29"/>
  <c r="AG166" i="29"/>
  <c r="AG169" i="29"/>
  <c r="AG170" i="29"/>
  <c r="AG171" i="29"/>
  <c r="AG167" i="29"/>
  <c r="AG168" i="29"/>
  <c r="AG172" i="29"/>
  <c r="AG175" i="29"/>
  <c r="AG176" i="29"/>
  <c r="AG173" i="29"/>
  <c r="AG174" i="29"/>
  <c r="AI164" i="29"/>
  <c r="AI169" i="29"/>
  <c r="AI170" i="29"/>
  <c r="AI165" i="29"/>
  <c r="AI166" i="29"/>
  <c r="AI167" i="29"/>
  <c r="AI168" i="29"/>
  <c r="AI171" i="29"/>
  <c r="AI172" i="29"/>
  <c r="AI175" i="29"/>
  <c r="AI176" i="29"/>
  <c r="AI173" i="29"/>
  <c r="AI174" i="29"/>
  <c r="AK164" i="29"/>
  <c r="AK165" i="29"/>
  <c r="AK166" i="29"/>
  <c r="AK169" i="29"/>
  <c r="AK170" i="29"/>
  <c r="AK171" i="29"/>
  <c r="AK172" i="29"/>
  <c r="AK175" i="29"/>
  <c r="AK176" i="29"/>
  <c r="AK167" i="29"/>
  <c r="AK168" i="29"/>
  <c r="AK173" i="29"/>
  <c r="AK174" i="29"/>
  <c r="AM164" i="29"/>
  <c r="AM169" i="29"/>
  <c r="AM170" i="29"/>
  <c r="AM167" i="29"/>
  <c r="AM168" i="29"/>
  <c r="AM166" i="29"/>
  <c r="AM171" i="29"/>
  <c r="AM172" i="29"/>
  <c r="AM175" i="29"/>
  <c r="AM176" i="29"/>
  <c r="AM165" i="29"/>
  <c r="AM173" i="29"/>
  <c r="AM174" i="29"/>
  <c r="AO164" i="29"/>
  <c r="AO165" i="29"/>
  <c r="AO166" i="29"/>
  <c r="AO169" i="29"/>
  <c r="AO170" i="29"/>
  <c r="AO167" i="29"/>
  <c r="AO168" i="29"/>
  <c r="AO171" i="29"/>
  <c r="AO172" i="29"/>
  <c r="AO175" i="29"/>
  <c r="AO176" i="29"/>
  <c r="AO173" i="29"/>
  <c r="AO174" i="29"/>
  <c r="AQ164" i="29"/>
  <c r="AQ169" i="29"/>
  <c r="AQ170" i="29"/>
  <c r="AQ165" i="29"/>
  <c r="AQ166" i="29"/>
  <c r="AQ167" i="29"/>
  <c r="AQ168" i="29"/>
  <c r="AQ171" i="29"/>
  <c r="AQ172" i="29"/>
  <c r="AQ175" i="29"/>
  <c r="AQ176" i="29"/>
  <c r="AQ173" i="29"/>
  <c r="AQ174" i="29"/>
  <c r="AS164" i="29"/>
  <c r="AS165" i="29"/>
  <c r="AS166" i="29"/>
  <c r="AS169" i="29"/>
  <c r="AS170" i="29"/>
  <c r="AS171" i="29"/>
  <c r="AS172" i="29"/>
  <c r="AS175" i="29"/>
  <c r="AS176" i="29"/>
  <c r="AS167" i="29"/>
  <c r="AS168" i="29"/>
  <c r="AS173" i="29"/>
  <c r="AS174" i="29"/>
  <c r="AU164" i="29"/>
  <c r="AU169" i="29"/>
  <c r="AU170" i="29"/>
  <c r="AU167" i="29"/>
  <c r="AU168" i="29"/>
  <c r="AU165" i="29"/>
  <c r="AU171" i="29"/>
  <c r="AU172" i="29"/>
  <c r="AU175" i="29"/>
  <c r="AU176" i="29"/>
  <c r="AU166" i="29"/>
  <c r="AU173" i="29"/>
  <c r="AU174" i="29"/>
  <c r="AW164" i="29"/>
  <c r="AW165" i="29"/>
  <c r="AW166" i="29"/>
  <c r="AW169" i="29"/>
  <c r="AW170" i="29"/>
  <c r="AW167" i="29"/>
  <c r="AW168" i="29"/>
  <c r="AW171" i="29"/>
  <c r="AW172" i="29"/>
  <c r="AW175" i="29"/>
  <c r="AW176" i="29"/>
  <c r="AW173" i="29"/>
  <c r="AW174" i="29"/>
  <c r="AY164" i="29"/>
  <c r="AY169" i="29"/>
  <c r="AY170" i="29"/>
  <c r="AY165" i="29"/>
  <c r="AY166" i="29"/>
  <c r="AY167" i="29"/>
  <c r="AY168" i="29"/>
  <c r="AY171" i="29"/>
  <c r="AY172" i="29"/>
  <c r="AY175" i="29"/>
  <c r="AY176" i="29"/>
  <c r="AY173" i="29"/>
  <c r="AY174" i="29"/>
  <c r="BA164" i="29"/>
  <c r="BA165" i="29"/>
  <c r="BA166" i="29"/>
  <c r="BA169" i="29"/>
  <c r="BA170" i="29"/>
  <c r="BA171" i="29"/>
  <c r="BA172" i="29"/>
  <c r="BA175" i="29"/>
  <c r="BA176" i="29"/>
  <c r="BA167" i="29"/>
  <c r="BA168" i="29"/>
  <c r="BA173" i="29"/>
  <c r="BA174" i="29"/>
  <c r="BC164" i="29"/>
  <c r="BC169" i="29"/>
  <c r="BC170" i="29"/>
  <c r="BC167" i="29"/>
  <c r="BC168" i="29"/>
  <c r="BC166" i="29"/>
  <c r="BC171" i="29"/>
  <c r="BC172" i="29"/>
  <c r="BC175" i="29"/>
  <c r="BC176" i="29"/>
  <c r="BC165" i="29"/>
  <c r="BC173" i="29"/>
  <c r="BC174" i="29"/>
  <c r="BE164" i="29"/>
  <c r="BE165" i="29"/>
  <c r="BE166" i="29"/>
  <c r="BE169" i="29"/>
  <c r="BE170" i="29"/>
  <c r="BE167" i="29"/>
  <c r="BE168" i="29"/>
  <c r="BE171" i="29"/>
  <c r="BE172" i="29"/>
  <c r="BE175" i="29"/>
  <c r="BE176" i="29"/>
  <c r="BE173" i="29"/>
  <c r="BE174" i="29"/>
  <c r="E11" i="40"/>
  <c r="E10" i="39"/>
  <c r="E10" i="38"/>
  <c r="E17" i="38" s="1"/>
  <c r="E10" i="37"/>
  <c r="E10" i="36"/>
  <c r="E10" i="35"/>
  <c r="G11" i="40"/>
  <c r="G10" i="39"/>
  <c r="G10" i="38"/>
  <c r="G17" i="38" s="1"/>
  <c r="G19" i="38" s="1"/>
  <c r="G37" i="40" s="1"/>
  <c r="G10" i="37"/>
  <c r="G10" i="36"/>
  <c r="G10" i="35"/>
  <c r="I11" i="40"/>
  <c r="I10" i="39"/>
  <c r="I10" i="38"/>
  <c r="I17" i="38" s="1"/>
  <c r="I19" i="38" s="1"/>
  <c r="I37" i="40" s="1"/>
  <c r="I10" i="37"/>
  <c r="I10" i="36"/>
  <c r="I10" i="35"/>
  <c r="K11" i="40"/>
  <c r="K10" i="39"/>
  <c r="K10" i="38"/>
  <c r="K17" i="38" s="1"/>
  <c r="K19" i="38" s="1"/>
  <c r="K37" i="40" s="1"/>
  <c r="K10" i="37"/>
  <c r="K10" i="36"/>
  <c r="K10" i="35"/>
  <c r="M11" i="40"/>
  <c r="M10" i="39"/>
  <c r="M10" i="38"/>
  <c r="M17" i="38" s="1"/>
  <c r="M19" i="38" s="1"/>
  <c r="M37" i="40" s="1"/>
  <c r="M10" i="37"/>
  <c r="M10" i="36"/>
  <c r="M10" i="35"/>
  <c r="O11" i="40"/>
  <c r="O10" i="39"/>
  <c r="O10" i="38"/>
  <c r="O17" i="38" s="1"/>
  <c r="O19" i="38" s="1"/>
  <c r="O37" i="40" s="1"/>
  <c r="O10" i="37"/>
  <c r="O10" i="36"/>
  <c r="O10" i="35"/>
  <c r="Q11" i="40"/>
  <c r="Q10" i="39"/>
  <c r="Q10" i="38"/>
  <c r="Q17" i="38" s="1"/>
  <c r="Q19" i="38" s="1"/>
  <c r="Q37" i="40" s="1"/>
  <c r="Q10" i="37"/>
  <c r="Q10" i="36"/>
  <c r="Q10" i="35"/>
  <c r="S11" i="40"/>
  <c r="S10" i="39"/>
  <c r="S10" i="38"/>
  <c r="S17" i="38" s="1"/>
  <c r="S19" i="38" s="1"/>
  <c r="S37" i="40" s="1"/>
  <c r="S10" i="37"/>
  <c r="S10" i="36"/>
  <c r="S10" i="35"/>
  <c r="U11" i="40"/>
  <c r="U10" i="39"/>
  <c r="U10" i="38"/>
  <c r="U17" i="38" s="1"/>
  <c r="U19" i="38" s="1"/>
  <c r="U37" i="40" s="1"/>
  <c r="U10" i="37"/>
  <c r="U10" i="36"/>
  <c r="U10" i="35"/>
  <c r="W11" i="40"/>
  <c r="W10" i="39"/>
  <c r="W10" i="38"/>
  <c r="W17" i="38" s="1"/>
  <c r="W19" i="38" s="1"/>
  <c r="W37" i="40" s="1"/>
  <c r="W10" i="37"/>
  <c r="W10" i="36"/>
  <c r="W10" i="35"/>
  <c r="Y11" i="40"/>
  <c r="Y10" i="39"/>
  <c r="Y10" i="38"/>
  <c r="Y17" i="38" s="1"/>
  <c r="Y19" i="38" s="1"/>
  <c r="Y37" i="40" s="1"/>
  <c r="Y10" i="37"/>
  <c r="Y10" i="36"/>
  <c r="Y10" i="35"/>
  <c r="AA11" i="40"/>
  <c r="AA10" i="39"/>
  <c r="AA10" i="38"/>
  <c r="AA17" i="38" s="1"/>
  <c r="AA19" i="38" s="1"/>
  <c r="AA37" i="40" s="1"/>
  <c r="AA10" i="37"/>
  <c r="AA10" i="36"/>
  <c r="AA10" i="35"/>
  <c r="AC11" i="40"/>
  <c r="AC10" i="39"/>
  <c r="AC10" i="38"/>
  <c r="AC17" i="38" s="1"/>
  <c r="AC19" i="38" s="1"/>
  <c r="AC37" i="40" s="1"/>
  <c r="AC10" i="37"/>
  <c r="AC10" i="36"/>
  <c r="AC10" i="35"/>
  <c r="AE11" i="40"/>
  <c r="AE10" i="39"/>
  <c r="AE10" i="38"/>
  <c r="AE17" i="38" s="1"/>
  <c r="AE19" i="38" s="1"/>
  <c r="AE37" i="40" s="1"/>
  <c r="AE10" i="37"/>
  <c r="AE10" i="36"/>
  <c r="AE10" i="35"/>
  <c r="AG11" i="40"/>
  <c r="AG10" i="39"/>
  <c r="AG10" i="38"/>
  <c r="AG17" i="38" s="1"/>
  <c r="AG19" i="38" s="1"/>
  <c r="AG37" i="40" s="1"/>
  <c r="AG10" i="37"/>
  <c r="AG10" i="36"/>
  <c r="AG10" i="35"/>
  <c r="AI11" i="40"/>
  <c r="AI10" i="39"/>
  <c r="AI10" i="38"/>
  <c r="AI17" i="38" s="1"/>
  <c r="AI19" i="38" s="1"/>
  <c r="AI37" i="40" s="1"/>
  <c r="AI10" i="37"/>
  <c r="AI10" i="36"/>
  <c r="AI10" i="35"/>
  <c r="AK11" i="40"/>
  <c r="AK10" i="39"/>
  <c r="AK10" i="38"/>
  <c r="AK17" i="38" s="1"/>
  <c r="AK10" i="37"/>
  <c r="AK10" i="36"/>
  <c r="AK10" i="35"/>
  <c r="AM11" i="40"/>
  <c r="AM10" i="39"/>
  <c r="AM10" i="38"/>
  <c r="AM17" i="38" s="1"/>
  <c r="AM19" i="38" s="1"/>
  <c r="AM37" i="40" s="1"/>
  <c r="AM10" i="37"/>
  <c r="AM10" i="36"/>
  <c r="AM10" i="35"/>
  <c r="AO11" i="40"/>
  <c r="AO10" i="39"/>
  <c r="AO10" i="38"/>
  <c r="AO17" i="38" s="1"/>
  <c r="AO19" i="38" s="1"/>
  <c r="AO37" i="40" s="1"/>
  <c r="AO10" i="37"/>
  <c r="AO10" i="36"/>
  <c r="AO10" i="35"/>
  <c r="AQ11" i="40"/>
  <c r="AQ10" i="39"/>
  <c r="AQ10" i="38"/>
  <c r="AQ17" i="38" s="1"/>
  <c r="AQ19" i="38" s="1"/>
  <c r="AQ37" i="40" s="1"/>
  <c r="AQ10" i="37"/>
  <c r="AQ10" i="36"/>
  <c r="AQ10" i="35"/>
  <c r="AS11" i="40"/>
  <c r="AS10" i="39"/>
  <c r="AS10" i="38"/>
  <c r="AS17" i="38" s="1"/>
  <c r="AS19" i="38" s="1"/>
  <c r="AS37" i="40" s="1"/>
  <c r="AS10" i="37"/>
  <c r="AS10" i="36"/>
  <c r="AS10" i="35"/>
  <c r="AU11" i="40"/>
  <c r="AU10" i="39"/>
  <c r="AU10" i="38"/>
  <c r="AU17" i="38" s="1"/>
  <c r="AU19" i="38" s="1"/>
  <c r="AU37" i="40" s="1"/>
  <c r="AU10" i="37"/>
  <c r="AU10" i="36"/>
  <c r="AU10" i="35"/>
  <c r="AW11" i="40"/>
  <c r="AW10" i="39"/>
  <c r="AW10" i="38"/>
  <c r="AW17" i="38" s="1"/>
  <c r="AW19" i="38" s="1"/>
  <c r="AW37" i="40" s="1"/>
  <c r="AW10" i="37"/>
  <c r="AW10" i="36"/>
  <c r="AW10" i="35"/>
  <c r="AY11" i="40"/>
  <c r="AY10" i="39"/>
  <c r="AY10" i="38"/>
  <c r="AY17" i="38" s="1"/>
  <c r="AY19" i="38" s="1"/>
  <c r="AY37" i="40" s="1"/>
  <c r="AY10" i="37"/>
  <c r="AY10" i="36"/>
  <c r="AY10" i="35"/>
  <c r="BA11" i="40"/>
  <c r="BA10" i="39"/>
  <c r="BA10" i="38"/>
  <c r="BA17" i="38" s="1"/>
  <c r="BA19" i="38" s="1"/>
  <c r="BA37" i="40" s="1"/>
  <c r="BA10" i="37"/>
  <c r="BA10" i="36"/>
  <c r="BA10" i="35"/>
  <c r="BC11" i="40"/>
  <c r="BC10" i="39"/>
  <c r="BC10" i="38"/>
  <c r="BC17" i="38" s="1"/>
  <c r="BC19" i="38" s="1"/>
  <c r="BC37" i="40" s="1"/>
  <c r="BC10" i="37"/>
  <c r="BC10" i="36"/>
  <c r="BC10" i="35"/>
  <c r="BE11" i="40"/>
  <c r="BE10" i="39"/>
  <c r="BE10" i="38"/>
  <c r="BE17" i="38" s="1"/>
  <c r="BE19" i="38" s="1"/>
  <c r="BE37" i="40" s="1"/>
  <c r="BE10" i="37"/>
  <c r="BE10" i="36"/>
  <c r="BE10" i="35"/>
  <c r="F11" i="40"/>
  <c r="F10" i="39"/>
  <c r="F10" i="38"/>
  <c r="F17" i="38" s="1"/>
  <c r="F19" i="38" s="1"/>
  <c r="F37" i="40" s="1"/>
  <c r="F10" i="37"/>
  <c r="F10" i="36"/>
  <c r="F10" i="35"/>
  <c r="H11" i="40"/>
  <c r="H10" i="39"/>
  <c r="H10" i="38"/>
  <c r="H17" i="38" s="1"/>
  <c r="H19" i="38" s="1"/>
  <c r="H37" i="40" s="1"/>
  <c r="H10" i="37"/>
  <c r="H10" i="36"/>
  <c r="H10" i="35"/>
  <c r="J10" i="37"/>
  <c r="J10" i="36"/>
  <c r="J11" i="40"/>
  <c r="J10" i="39"/>
  <c r="J10" i="38"/>
  <c r="J17" i="38" s="1"/>
  <c r="J19" i="38" s="1"/>
  <c r="J37" i="40" s="1"/>
  <c r="J10" i="35"/>
  <c r="L11" i="40"/>
  <c r="L10" i="39"/>
  <c r="L10" i="38"/>
  <c r="L17" i="38" s="1"/>
  <c r="L19" i="38" s="1"/>
  <c r="L37" i="40" s="1"/>
  <c r="L10" i="37"/>
  <c r="L10" i="36"/>
  <c r="L10" i="35"/>
  <c r="N11" i="40"/>
  <c r="N10" i="39"/>
  <c r="N10" i="38"/>
  <c r="N17" i="38" s="1"/>
  <c r="N19" i="38" s="1"/>
  <c r="N37" i="40" s="1"/>
  <c r="N10" i="37"/>
  <c r="N10" i="36"/>
  <c r="N10" i="35"/>
  <c r="P11" i="40"/>
  <c r="P10" i="39"/>
  <c r="P10" i="38"/>
  <c r="P17" i="38" s="1"/>
  <c r="P19" i="38" s="1"/>
  <c r="P37" i="40" s="1"/>
  <c r="P10" i="37"/>
  <c r="P10" i="36"/>
  <c r="P10" i="35"/>
  <c r="R10" i="37"/>
  <c r="R10" i="36"/>
  <c r="R11" i="40"/>
  <c r="R10" i="39"/>
  <c r="R10" i="38"/>
  <c r="R17" i="38" s="1"/>
  <c r="R19" i="38" s="1"/>
  <c r="R37" i="40" s="1"/>
  <c r="R10" i="35"/>
  <c r="T11" i="40"/>
  <c r="T10" i="39"/>
  <c r="T10" i="38"/>
  <c r="T17" i="38" s="1"/>
  <c r="T19" i="38" s="1"/>
  <c r="T37" i="40" s="1"/>
  <c r="T10" i="37"/>
  <c r="T10" i="36"/>
  <c r="T10" i="35"/>
  <c r="V11" i="40"/>
  <c r="V10" i="39"/>
  <c r="V10" i="38"/>
  <c r="V17" i="38" s="1"/>
  <c r="V19" i="38" s="1"/>
  <c r="V37" i="40" s="1"/>
  <c r="V10" i="37"/>
  <c r="V10" i="36"/>
  <c r="V10" i="35"/>
  <c r="X11" i="40"/>
  <c r="X10" i="39"/>
  <c r="X10" i="38"/>
  <c r="X17" i="38" s="1"/>
  <c r="X10" i="37"/>
  <c r="X10" i="36"/>
  <c r="X10" i="35"/>
  <c r="Z10" i="37"/>
  <c r="Z10" i="36"/>
  <c r="Z11" i="40"/>
  <c r="Z10" i="39"/>
  <c r="Z10" i="38"/>
  <c r="Z17" i="38" s="1"/>
  <c r="Z19" i="38" s="1"/>
  <c r="Z37" i="40" s="1"/>
  <c r="Z10" i="35"/>
  <c r="AB11" i="40"/>
  <c r="AB10" i="39"/>
  <c r="AB10" i="38"/>
  <c r="AB17" i="38" s="1"/>
  <c r="AB19" i="38" s="1"/>
  <c r="AB37" i="40" s="1"/>
  <c r="AB10" i="37"/>
  <c r="AB10" i="36"/>
  <c r="AB10" i="35"/>
  <c r="AD11" i="40"/>
  <c r="AD10" i="39"/>
  <c r="AD10" i="38"/>
  <c r="AD17" i="38" s="1"/>
  <c r="AD19" i="38" s="1"/>
  <c r="AD37" i="40" s="1"/>
  <c r="AD10" i="37"/>
  <c r="AD10" i="36"/>
  <c r="AD10" i="35"/>
  <c r="AF11" i="40"/>
  <c r="AF10" i="39"/>
  <c r="AF10" i="38"/>
  <c r="AF17" i="38" s="1"/>
  <c r="AF19" i="38" s="1"/>
  <c r="AF37" i="40" s="1"/>
  <c r="AF10" i="37"/>
  <c r="AF10" i="36"/>
  <c r="AF10" i="35"/>
  <c r="AH10" i="37"/>
  <c r="AH10" i="36"/>
  <c r="AH11" i="40"/>
  <c r="AH10" i="39"/>
  <c r="AH10" i="38"/>
  <c r="AH17" i="38" s="1"/>
  <c r="AH19" i="38" s="1"/>
  <c r="AH37" i="40" s="1"/>
  <c r="AH10" i="35"/>
  <c r="AJ11" i="40"/>
  <c r="AJ10" i="39"/>
  <c r="AJ10" i="38"/>
  <c r="AJ17" i="38" s="1"/>
  <c r="AJ19" i="38" s="1"/>
  <c r="AJ37" i="40" s="1"/>
  <c r="AJ10" i="37"/>
  <c r="AJ10" i="36"/>
  <c r="AJ10" i="35"/>
  <c r="AL11" i="40"/>
  <c r="AL10" i="39"/>
  <c r="AL10" i="38"/>
  <c r="AL17" i="38" s="1"/>
  <c r="AL19" i="38" s="1"/>
  <c r="AL37" i="40" s="1"/>
  <c r="AL10" i="37"/>
  <c r="AL10" i="36"/>
  <c r="AL10" i="35"/>
  <c r="AN11" i="40"/>
  <c r="AN10" i="39"/>
  <c r="AN10" i="38"/>
  <c r="AN17" i="38" s="1"/>
  <c r="AN19" i="38" s="1"/>
  <c r="AN37" i="40" s="1"/>
  <c r="AN10" i="37"/>
  <c r="AN10" i="36"/>
  <c r="AN10" i="35"/>
  <c r="AP10" i="37"/>
  <c r="AP11" i="40"/>
  <c r="AP10" i="39"/>
  <c r="AP10" i="38"/>
  <c r="AP17" i="38" s="1"/>
  <c r="AP19" i="38" s="1"/>
  <c r="AP37" i="40" s="1"/>
  <c r="AP10" i="36"/>
  <c r="AP10" i="35"/>
  <c r="AR11" i="40"/>
  <c r="AR10" i="39"/>
  <c r="AR10" i="38"/>
  <c r="AR17" i="38" s="1"/>
  <c r="AR19" i="38" s="1"/>
  <c r="AR37" i="40" s="1"/>
  <c r="AR10" i="37"/>
  <c r="AR10" i="36"/>
  <c r="AR10" i="35"/>
  <c r="AT11" i="40"/>
  <c r="AT10" i="39"/>
  <c r="AT10" i="38"/>
  <c r="AT17" i="38" s="1"/>
  <c r="AT19" i="38" s="1"/>
  <c r="AT37" i="40" s="1"/>
  <c r="AT10" i="37"/>
  <c r="AT10" i="36"/>
  <c r="AT10" i="35"/>
  <c r="AV11" i="40"/>
  <c r="AV10" i="39"/>
  <c r="AV10" i="38"/>
  <c r="AV17" i="38" s="1"/>
  <c r="AV19" i="38" s="1"/>
  <c r="AV37" i="40" s="1"/>
  <c r="AV10" i="37"/>
  <c r="AV10" i="36"/>
  <c r="AV10" i="35"/>
  <c r="AX10" i="37"/>
  <c r="AX11" i="40"/>
  <c r="AX10" i="39"/>
  <c r="AX10" i="38"/>
  <c r="AX17" i="38" s="1"/>
  <c r="AX19" i="38" s="1"/>
  <c r="AX37" i="40" s="1"/>
  <c r="AX10" i="36"/>
  <c r="AX10" i="35"/>
  <c r="AZ11" i="40"/>
  <c r="AZ10" i="39"/>
  <c r="AZ10" i="38"/>
  <c r="AZ17" i="38" s="1"/>
  <c r="AZ19" i="38" s="1"/>
  <c r="AZ37" i="40" s="1"/>
  <c r="AZ10" i="37"/>
  <c r="AZ10" i="36"/>
  <c r="AZ10" i="35"/>
  <c r="BB11" i="40"/>
  <c r="BB10" i="39"/>
  <c r="BB10" i="38"/>
  <c r="BB17" i="38" s="1"/>
  <c r="BB19" i="38" s="1"/>
  <c r="BB37" i="40" s="1"/>
  <c r="BB10" i="37"/>
  <c r="BB10" i="36"/>
  <c r="BB10" i="35"/>
  <c r="BD11" i="40"/>
  <c r="BD10" i="39"/>
  <c r="BD10" i="38"/>
  <c r="BD17" i="38" s="1"/>
  <c r="BD19" i="38" s="1"/>
  <c r="BD37" i="40" s="1"/>
  <c r="BD10" i="37"/>
  <c r="BD10" i="36"/>
  <c r="BD10" i="35"/>
  <c r="E155" i="29"/>
  <c r="E147" i="29"/>
  <c r="E145" i="29"/>
  <c r="E143" i="29"/>
  <c r="E141" i="29"/>
  <c r="E137" i="29"/>
  <c r="E134" i="29"/>
  <c r="E132" i="29"/>
  <c r="E126" i="29"/>
  <c r="E124" i="29"/>
  <c r="E154" i="29"/>
  <c r="E148" i="29"/>
  <c r="E144" i="29"/>
  <c r="E138" i="29"/>
  <c r="E135" i="29"/>
  <c r="E129" i="29"/>
  <c r="E122" i="29"/>
  <c r="E118" i="29"/>
  <c r="E114" i="29"/>
  <c r="E112" i="29"/>
  <c r="E110" i="29"/>
  <c r="E108" i="29"/>
  <c r="E106" i="29"/>
  <c r="E102" i="29"/>
  <c r="E100" i="29"/>
  <c r="E96" i="29"/>
  <c r="E94" i="29"/>
  <c r="E92" i="29"/>
  <c r="E90" i="29"/>
  <c r="E86" i="29"/>
  <c r="E84" i="29"/>
  <c r="E80" i="29"/>
  <c r="E78" i="29"/>
  <c r="E72" i="29"/>
  <c r="E70" i="29"/>
  <c r="E142" i="29"/>
  <c r="E125" i="29"/>
  <c r="E119" i="29"/>
  <c r="E113" i="29"/>
  <c r="E109" i="29"/>
  <c r="E103" i="29"/>
  <c r="E97" i="29"/>
  <c r="E93" i="29"/>
  <c r="E89" i="29"/>
  <c r="E83" i="29"/>
  <c r="E77" i="29"/>
  <c r="E69" i="29"/>
  <c r="E67" i="29"/>
  <c r="E65" i="29"/>
  <c r="E61" i="29"/>
  <c r="E59" i="29"/>
  <c r="E57" i="29"/>
  <c r="E51" i="29"/>
  <c r="E49" i="29"/>
  <c r="E47" i="29"/>
  <c r="E45" i="29"/>
  <c r="E41" i="29"/>
  <c r="E37" i="29"/>
  <c r="E35" i="29"/>
  <c r="E33" i="29"/>
  <c r="E29" i="29"/>
  <c r="E25" i="29"/>
  <c r="E23" i="29"/>
  <c r="E21" i="29"/>
  <c r="E19" i="29"/>
  <c r="E17" i="29"/>
  <c r="E13" i="29"/>
  <c r="E11" i="29"/>
  <c r="E9" i="29"/>
  <c r="E7" i="29"/>
  <c r="E146" i="29"/>
  <c r="E136" i="29"/>
  <c r="E133" i="29"/>
  <c r="E123" i="29"/>
  <c r="E115" i="29"/>
  <c r="E111" i="29"/>
  <c r="E107" i="29"/>
  <c r="E95" i="29"/>
  <c r="E85" i="29"/>
  <c r="E71" i="29"/>
  <c r="E66" i="29"/>
  <c r="E60" i="29"/>
  <c r="E54" i="29"/>
  <c r="E48" i="29"/>
  <c r="E44" i="29"/>
  <c r="E36" i="29"/>
  <c r="E32" i="29"/>
  <c r="E24" i="29"/>
  <c r="E20" i="29"/>
  <c r="E16" i="29"/>
  <c r="E10" i="29"/>
  <c r="E6" i="29"/>
  <c r="E101" i="29"/>
  <c r="E91" i="29"/>
  <c r="E79" i="29"/>
  <c r="E68" i="29"/>
  <c r="E62" i="29"/>
  <c r="E58" i="29"/>
  <c r="E50" i="29"/>
  <c r="E46" i="29"/>
  <c r="E40" i="29"/>
  <c r="E34" i="29"/>
  <c r="E28" i="29"/>
  <c r="E22" i="29"/>
  <c r="E18" i="29"/>
  <c r="E12" i="29"/>
  <c r="E8" i="29"/>
  <c r="G154" i="29"/>
  <c r="G146" i="29"/>
  <c r="G144" i="29"/>
  <c r="G142" i="29"/>
  <c r="G138" i="29"/>
  <c r="G136" i="29"/>
  <c r="G133" i="29"/>
  <c r="G129" i="29"/>
  <c r="G125" i="29"/>
  <c r="G123" i="29"/>
  <c r="G155" i="29"/>
  <c r="G145" i="29"/>
  <c r="G141" i="29"/>
  <c r="G135" i="29"/>
  <c r="G132" i="29"/>
  <c r="G124" i="29"/>
  <c r="G119" i="29"/>
  <c r="G115" i="29"/>
  <c r="G113" i="29"/>
  <c r="G111" i="29"/>
  <c r="G109" i="29"/>
  <c r="G107" i="29"/>
  <c r="G103" i="29"/>
  <c r="G101" i="29"/>
  <c r="G97" i="29"/>
  <c r="G95" i="29"/>
  <c r="G93" i="29"/>
  <c r="G91" i="29"/>
  <c r="G89" i="29"/>
  <c r="G85" i="29"/>
  <c r="G83" i="29"/>
  <c r="G79" i="29"/>
  <c r="G77" i="29"/>
  <c r="G71" i="29"/>
  <c r="G69" i="29"/>
  <c r="G148" i="29"/>
  <c r="G143" i="29"/>
  <c r="G126" i="29"/>
  <c r="G122" i="29"/>
  <c r="G114" i="29"/>
  <c r="G110" i="29"/>
  <c r="G106" i="29"/>
  <c r="G100" i="29"/>
  <c r="G94" i="29"/>
  <c r="G90" i="29"/>
  <c r="G84" i="29"/>
  <c r="G78" i="29"/>
  <c r="G70" i="29"/>
  <c r="G66" i="29"/>
  <c r="G62" i="29"/>
  <c r="G60" i="29"/>
  <c r="G58" i="29"/>
  <c r="G54" i="29"/>
  <c r="G50" i="29"/>
  <c r="G48" i="29"/>
  <c r="G46" i="29"/>
  <c r="G44" i="29"/>
  <c r="G40" i="29"/>
  <c r="G36" i="29"/>
  <c r="G34" i="29"/>
  <c r="G32" i="29"/>
  <c r="G28" i="29"/>
  <c r="G24" i="29"/>
  <c r="G22" i="29"/>
  <c r="G20" i="29"/>
  <c r="G18" i="29"/>
  <c r="G16" i="29"/>
  <c r="G12" i="29"/>
  <c r="G10" i="29"/>
  <c r="G8" i="29"/>
  <c r="G6" i="29"/>
  <c r="G147" i="29"/>
  <c r="G137" i="29"/>
  <c r="G134" i="29"/>
  <c r="G118" i="29"/>
  <c r="G112" i="29"/>
  <c r="G108" i="29"/>
  <c r="G96" i="29"/>
  <c r="G86" i="29"/>
  <c r="G72" i="29"/>
  <c r="G67" i="29"/>
  <c r="G61" i="29"/>
  <c r="G57" i="29"/>
  <c r="G49" i="29"/>
  <c r="G45" i="29"/>
  <c r="G37" i="29"/>
  <c r="G33" i="29"/>
  <c r="G25" i="29"/>
  <c r="G21" i="29"/>
  <c r="G17" i="29"/>
  <c r="G11" i="29"/>
  <c r="G7" i="29"/>
  <c r="G102" i="29"/>
  <c r="G92" i="29"/>
  <c r="G80" i="29"/>
  <c r="G68" i="29"/>
  <c r="G65" i="29"/>
  <c r="G59" i="29"/>
  <c r="G51" i="29"/>
  <c r="G47" i="29"/>
  <c r="G41" i="29"/>
  <c r="G35" i="29"/>
  <c r="G29" i="29"/>
  <c r="G23" i="29"/>
  <c r="G19" i="29"/>
  <c r="G13" i="29"/>
  <c r="G9" i="29"/>
  <c r="I154" i="29"/>
  <c r="I155" i="29"/>
  <c r="I148" i="29"/>
  <c r="I146" i="29"/>
  <c r="I144" i="29"/>
  <c r="I142" i="29"/>
  <c r="I138" i="29"/>
  <c r="I136" i="29"/>
  <c r="I133" i="29"/>
  <c r="I129" i="29"/>
  <c r="I128" i="29" s="1"/>
  <c r="I125" i="29"/>
  <c r="I123" i="29"/>
  <c r="I147" i="29"/>
  <c r="I143" i="29"/>
  <c r="I137" i="29"/>
  <c r="I134" i="29"/>
  <c r="I126" i="29"/>
  <c r="I119" i="29"/>
  <c r="I115" i="29"/>
  <c r="I113" i="29"/>
  <c r="I111" i="29"/>
  <c r="I109" i="29"/>
  <c r="I107" i="29"/>
  <c r="I103" i="29"/>
  <c r="I101" i="29"/>
  <c r="I97" i="29"/>
  <c r="I95" i="29"/>
  <c r="I93" i="29"/>
  <c r="I91" i="29"/>
  <c r="I89" i="29"/>
  <c r="I85" i="29"/>
  <c r="I83" i="29"/>
  <c r="I79" i="29"/>
  <c r="I77" i="29"/>
  <c r="I71" i="29"/>
  <c r="I69" i="29"/>
  <c r="I145" i="29"/>
  <c r="I135" i="29"/>
  <c r="I132" i="29"/>
  <c r="I118" i="29"/>
  <c r="I112" i="29"/>
  <c r="I108" i="29"/>
  <c r="I102" i="29"/>
  <c r="I96" i="29"/>
  <c r="I92" i="29"/>
  <c r="I86" i="29"/>
  <c r="I80" i="29"/>
  <c r="I72" i="29"/>
  <c r="I68" i="29"/>
  <c r="I66" i="29"/>
  <c r="I62" i="29"/>
  <c r="I60" i="29"/>
  <c r="I58" i="29"/>
  <c r="I54" i="29"/>
  <c r="I53" i="29" s="1"/>
  <c r="I50" i="29"/>
  <c r="I48" i="29"/>
  <c r="I46" i="29"/>
  <c r="I44" i="29"/>
  <c r="I40" i="29"/>
  <c r="I36" i="29"/>
  <c r="I34" i="29"/>
  <c r="I32" i="29"/>
  <c r="I28" i="29"/>
  <c r="I24" i="29"/>
  <c r="I22" i="29"/>
  <c r="I20" i="29"/>
  <c r="I18" i="29"/>
  <c r="I16" i="29"/>
  <c r="I12" i="29"/>
  <c r="I10" i="29"/>
  <c r="I8" i="29"/>
  <c r="I6" i="29"/>
  <c r="I141" i="29"/>
  <c r="I124" i="29"/>
  <c r="I122" i="29"/>
  <c r="I114" i="29"/>
  <c r="I110" i="29"/>
  <c r="I106" i="29"/>
  <c r="I100" i="29"/>
  <c r="I90" i="29"/>
  <c r="I78" i="29"/>
  <c r="I65" i="29"/>
  <c r="I59" i="29"/>
  <c r="I51" i="29"/>
  <c r="I47" i="29"/>
  <c r="I41" i="29"/>
  <c r="I35" i="29"/>
  <c r="I29" i="29"/>
  <c r="I23" i="29"/>
  <c r="I19" i="29"/>
  <c r="I13" i="29"/>
  <c r="I9" i="29"/>
  <c r="I94" i="29"/>
  <c r="I84" i="29"/>
  <c r="I70" i="29"/>
  <c r="I67" i="29"/>
  <c r="I61" i="29"/>
  <c r="I57" i="29"/>
  <c r="I49" i="29"/>
  <c r="I45" i="29"/>
  <c r="I37" i="29"/>
  <c r="I33" i="29"/>
  <c r="I25" i="29"/>
  <c r="I21" i="29"/>
  <c r="I17" i="29"/>
  <c r="I11" i="29"/>
  <c r="I7" i="29"/>
  <c r="K154" i="29"/>
  <c r="K146" i="29"/>
  <c r="K144" i="29"/>
  <c r="K142" i="29"/>
  <c r="K138" i="29"/>
  <c r="K136" i="29"/>
  <c r="K133" i="29"/>
  <c r="K129" i="29"/>
  <c r="K128" i="29" s="1"/>
  <c r="K125" i="29"/>
  <c r="K123" i="29"/>
  <c r="K148" i="29"/>
  <c r="K145" i="29"/>
  <c r="K141" i="29"/>
  <c r="K135" i="29"/>
  <c r="K132" i="29"/>
  <c r="K124" i="29"/>
  <c r="K119" i="29"/>
  <c r="K115" i="29"/>
  <c r="K113" i="29"/>
  <c r="K111" i="29"/>
  <c r="K109" i="29"/>
  <c r="K107" i="29"/>
  <c r="K103" i="29"/>
  <c r="K101" i="29"/>
  <c r="K97" i="29"/>
  <c r="K95" i="29"/>
  <c r="K93" i="29"/>
  <c r="K91" i="29"/>
  <c r="K89" i="29"/>
  <c r="K85" i="29"/>
  <c r="K83" i="29"/>
  <c r="K79" i="29"/>
  <c r="K77" i="29"/>
  <c r="K71" i="29"/>
  <c r="K69" i="29"/>
  <c r="K155" i="29"/>
  <c r="K147" i="29"/>
  <c r="K137" i="29"/>
  <c r="K134" i="29"/>
  <c r="K122" i="29"/>
  <c r="K114" i="29"/>
  <c r="K110" i="29"/>
  <c r="K106" i="29"/>
  <c r="K100" i="29"/>
  <c r="K94" i="29"/>
  <c r="K90" i="29"/>
  <c r="K84" i="29"/>
  <c r="K78" i="29"/>
  <c r="K70" i="29"/>
  <c r="K66" i="29"/>
  <c r="K62" i="29"/>
  <c r="K60" i="29"/>
  <c r="K58" i="29"/>
  <c r="K54" i="29"/>
  <c r="K53" i="29" s="1"/>
  <c r="K50" i="29"/>
  <c r="K48" i="29"/>
  <c r="K46" i="29"/>
  <c r="K44" i="29"/>
  <c r="K40" i="29"/>
  <c r="K36" i="29"/>
  <c r="K34" i="29"/>
  <c r="K32" i="29"/>
  <c r="K28" i="29"/>
  <c r="K24" i="29"/>
  <c r="K22" i="29"/>
  <c r="K20" i="29"/>
  <c r="K18" i="29"/>
  <c r="K16" i="29"/>
  <c r="K12" i="29"/>
  <c r="K10" i="29"/>
  <c r="K8" i="29"/>
  <c r="K6" i="29"/>
  <c r="K143" i="29"/>
  <c r="K126" i="29"/>
  <c r="K118" i="29"/>
  <c r="K112" i="29"/>
  <c r="K108" i="29"/>
  <c r="K102" i="29"/>
  <c r="K92" i="29"/>
  <c r="K80" i="29"/>
  <c r="K68" i="29"/>
  <c r="K67" i="29"/>
  <c r="K61" i="29"/>
  <c r="K57" i="29"/>
  <c r="K49" i="29"/>
  <c r="K45" i="29"/>
  <c r="K37" i="29"/>
  <c r="K33" i="29"/>
  <c r="K25" i="29"/>
  <c r="K21" i="29"/>
  <c r="K17" i="29"/>
  <c r="K11" i="29"/>
  <c r="K7" i="29"/>
  <c r="K96" i="29"/>
  <c r="K86" i="29"/>
  <c r="K72" i="29"/>
  <c r="K65" i="29"/>
  <c r="K59" i="29"/>
  <c r="K51" i="29"/>
  <c r="K47" i="29"/>
  <c r="K41" i="29"/>
  <c r="K35" i="29"/>
  <c r="K29" i="29"/>
  <c r="K23" i="29"/>
  <c r="K19" i="29"/>
  <c r="K13" i="29"/>
  <c r="K9" i="29"/>
  <c r="M154" i="29"/>
  <c r="M155" i="29"/>
  <c r="M148" i="29"/>
  <c r="M146" i="29"/>
  <c r="M144" i="29"/>
  <c r="M142" i="29"/>
  <c r="M138" i="29"/>
  <c r="M136" i="29"/>
  <c r="M133" i="29"/>
  <c r="M129" i="29"/>
  <c r="M128" i="29" s="1"/>
  <c r="M125" i="29"/>
  <c r="M123" i="29"/>
  <c r="M147" i="29"/>
  <c r="M143" i="29"/>
  <c r="M137" i="29"/>
  <c r="M134" i="29"/>
  <c r="M126" i="29"/>
  <c r="M119" i="29"/>
  <c r="M115" i="29"/>
  <c r="M113" i="29"/>
  <c r="M111" i="29"/>
  <c r="M109" i="29"/>
  <c r="M107" i="29"/>
  <c r="M103" i="29"/>
  <c r="M101" i="29"/>
  <c r="M97" i="29"/>
  <c r="M95" i="29"/>
  <c r="M93" i="29"/>
  <c r="M91" i="29"/>
  <c r="M89" i="29"/>
  <c r="M85" i="29"/>
  <c r="M83" i="29"/>
  <c r="M79" i="29"/>
  <c r="M77" i="29"/>
  <c r="M71" i="29"/>
  <c r="M69" i="29"/>
  <c r="M141" i="29"/>
  <c r="M124" i="29"/>
  <c r="M118" i="29"/>
  <c r="M112" i="29"/>
  <c r="M108" i="29"/>
  <c r="M102" i="29"/>
  <c r="M96" i="29"/>
  <c r="M92" i="29"/>
  <c r="M86" i="29"/>
  <c r="M80" i="29"/>
  <c r="M72" i="29"/>
  <c r="M68" i="29"/>
  <c r="M66" i="29"/>
  <c r="M62" i="29"/>
  <c r="M60" i="29"/>
  <c r="M58" i="29"/>
  <c r="M54" i="29"/>
  <c r="M53" i="29" s="1"/>
  <c r="M50" i="29"/>
  <c r="M48" i="29"/>
  <c r="M46" i="29"/>
  <c r="M44" i="29"/>
  <c r="M40" i="29"/>
  <c r="M36" i="29"/>
  <c r="M34" i="29"/>
  <c r="M32" i="29"/>
  <c r="M28" i="29"/>
  <c r="M24" i="29"/>
  <c r="M22" i="29"/>
  <c r="M20" i="29"/>
  <c r="M18" i="29"/>
  <c r="M16" i="29"/>
  <c r="M12" i="29"/>
  <c r="M10" i="29"/>
  <c r="M8" i="29"/>
  <c r="M6" i="29"/>
  <c r="M145" i="29"/>
  <c r="M135" i="29"/>
  <c r="M132" i="29"/>
  <c r="M122" i="29"/>
  <c r="M114" i="29"/>
  <c r="M110" i="29"/>
  <c r="M106" i="29"/>
  <c r="M94" i="29"/>
  <c r="M84" i="29"/>
  <c r="M70" i="29"/>
  <c r="M65" i="29"/>
  <c r="M59" i="29"/>
  <c r="M51" i="29"/>
  <c r="M47" i="29"/>
  <c r="M41" i="29"/>
  <c r="M35" i="29"/>
  <c r="M29" i="29"/>
  <c r="M23" i="29"/>
  <c r="M19" i="29"/>
  <c r="M13" i="29"/>
  <c r="M9" i="29"/>
  <c r="M100" i="29"/>
  <c r="M90" i="29"/>
  <c r="M78" i="29"/>
  <c r="M67" i="29"/>
  <c r="M61" i="29"/>
  <c r="M57" i="29"/>
  <c r="M49" i="29"/>
  <c r="M45" i="29"/>
  <c r="M37" i="29"/>
  <c r="M33" i="29"/>
  <c r="M25" i="29"/>
  <c r="M21" i="29"/>
  <c r="M17" i="29"/>
  <c r="M11" i="29"/>
  <c r="M7" i="29"/>
  <c r="O154" i="29"/>
  <c r="O146" i="29"/>
  <c r="O144" i="29"/>
  <c r="O142" i="29"/>
  <c r="O138" i="29"/>
  <c r="O136" i="29"/>
  <c r="O133" i="29"/>
  <c r="O129" i="29"/>
  <c r="O128" i="29" s="1"/>
  <c r="O125" i="29"/>
  <c r="O123" i="29"/>
  <c r="O155" i="29"/>
  <c r="O153" i="29" s="1"/>
  <c r="C14" i="79" s="1"/>
  <c r="O145" i="29"/>
  <c r="O141" i="29"/>
  <c r="O135" i="29"/>
  <c r="O132" i="29"/>
  <c r="O124" i="29"/>
  <c r="O119" i="29"/>
  <c r="O115" i="29"/>
  <c r="O113" i="29"/>
  <c r="O111" i="29"/>
  <c r="O109" i="29"/>
  <c r="O107" i="29"/>
  <c r="O103" i="29"/>
  <c r="O101" i="29"/>
  <c r="O97" i="29"/>
  <c r="O95" i="29"/>
  <c r="O93" i="29"/>
  <c r="O91" i="29"/>
  <c r="O89" i="29"/>
  <c r="O85" i="29"/>
  <c r="O83" i="29"/>
  <c r="O79" i="29"/>
  <c r="O77" i="29"/>
  <c r="O71" i="29"/>
  <c r="O69" i="29"/>
  <c r="O143" i="29"/>
  <c r="O126" i="29"/>
  <c r="O122" i="29"/>
  <c r="O114" i="29"/>
  <c r="O110" i="29"/>
  <c r="O106" i="29"/>
  <c r="O100" i="29"/>
  <c r="O94" i="29"/>
  <c r="O90" i="29"/>
  <c r="O84" i="29"/>
  <c r="O78" i="29"/>
  <c r="O70" i="29"/>
  <c r="O66" i="29"/>
  <c r="O62" i="29"/>
  <c r="O60" i="29"/>
  <c r="O58" i="29"/>
  <c r="O54" i="29"/>
  <c r="O53" i="29" s="1"/>
  <c r="O50" i="29"/>
  <c r="O48" i="29"/>
  <c r="O46" i="29"/>
  <c r="O44" i="29"/>
  <c r="O40" i="29"/>
  <c r="O36" i="29"/>
  <c r="O34" i="29"/>
  <c r="O32" i="29"/>
  <c r="O28" i="29"/>
  <c r="O24" i="29"/>
  <c r="O22" i="29"/>
  <c r="O20" i="29"/>
  <c r="O18" i="29"/>
  <c r="O16" i="29"/>
  <c r="O12" i="29"/>
  <c r="O10" i="29"/>
  <c r="O8" i="29"/>
  <c r="O148" i="29"/>
  <c r="O147" i="29"/>
  <c r="O137" i="29"/>
  <c r="O134" i="29"/>
  <c r="O118" i="29"/>
  <c r="O112" i="29"/>
  <c r="O108" i="29"/>
  <c r="O96" i="29"/>
  <c r="O86" i="29"/>
  <c r="O72" i="29"/>
  <c r="O67" i="29"/>
  <c r="O61" i="29"/>
  <c r="O57" i="29"/>
  <c r="O49" i="29"/>
  <c r="O45" i="29"/>
  <c r="O37" i="29"/>
  <c r="O33" i="29"/>
  <c r="O25" i="29"/>
  <c r="O21" i="29"/>
  <c r="O17" i="29"/>
  <c r="O11" i="29"/>
  <c r="O7" i="29"/>
  <c r="O102" i="29"/>
  <c r="O92" i="29"/>
  <c r="O80" i="29"/>
  <c r="O68" i="29"/>
  <c r="O65" i="29"/>
  <c r="O59" i="29"/>
  <c r="O51" i="29"/>
  <c r="O47" i="29"/>
  <c r="O41" i="29"/>
  <c r="O35" i="29"/>
  <c r="O29" i="29"/>
  <c r="O23" i="29"/>
  <c r="O19" i="29"/>
  <c r="O13" i="29"/>
  <c r="O9" i="29"/>
  <c r="Q154" i="29"/>
  <c r="Q155" i="29"/>
  <c r="Q148" i="29"/>
  <c r="Q146" i="29"/>
  <c r="Q144" i="29"/>
  <c r="Q142" i="29"/>
  <c r="Q138" i="29"/>
  <c r="Q136" i="29"/>
  <c r="Q133" i="29"/>
  <c r="Q129" i="29"/>
  <c r="Q128" i="29" s="1"/>
  <c r="Q125" i="29"/>
  <c r="Q123" i="29"/>
  <c r="Q147" i="29"/>
  <c r="Q143" i="29"/>
  <c r="Q137" i="29"/>
  <c r="Q134" i="29"/>
  <c r="Q126" i="29"/>
  <c r="Q119" i="29"/>
  <c r="Q115" i="29"/>
  <c r="Q113" i="29"/>
  <c r="Q111" i="29"/>
  <c r="Q109" i="29"/>
  <c r="Q107" i="29"/>
  <c r="Q103" i="29"/>
  <c r="Q101" i="29"/>
  <c r="Q97" i="29"/>
  <c r="Q95" i="29"/>
  <c r="Q93" i="29"/>
  <c r="Q91" i="29"/>
  <c r="Q89" i="29"/>
  <c r="Q85" i="29"/>
  <c r="Q83" i="29"/>
  <c r="Q79" i="29"/>
  <c r="Q77" i="29"/>
  <c r="Q71" i="29"/>
  <c r="Q69" i="29"/>
  <c r="Q145" i="29"/>
  <c r="Q135" i="29"/>
  <c r="Q132" i="29"/>
  <c r="Q118" i="29"/>
  <c r="Q112" i="29"/>
  <c r="Q108" i="29"/>
  <c r="Q102" i="29"/>
  <c r="Q96" i="29"/>
  <c r="Q92" i="29"/>
  <c r="Q86" i="29"/>
  <c r="Q80" i="29"/>
  <c r="Q72" i="29"/>
  <c r="Q68" i="29"/>
  <c r="Q66" i="29"/>
  <c r="Q62" i="29"/>
  <c r="Q60" i="29"/>
  <c r="Q58" i="29"/>
  <c r="Q54" i="29"/>
  <c r="Q53" i="29" s="1"/>
  <c r="Q50" i="29"/>
  <c r="Q48" i="29"/>
  <c r="Q46" i="29"/>
  <c r="Q44" i="29"/>
  <c r="Q40" i="29"/>
  <c r="Q36" i="29"/>
  <c r="Q34" i="29"/>
  <c r="Q32" i="29"/>
  <c r="Q28" i="29"/>
  <c r="Q24" i="29"/>
  <c r="Q22" i="29"/>
  <c r="Q20" i="29"/>
  <c r="Q18" i="29"/>
  <c r="Q16" i="29"/>
  <c r="Q12" i="29"/>
  <c r="Q10" i="29"/>
  <c r="Q8" i="29"/>
  <c r="Q6" i="29"/>
  <c r="Q141" i="29"/>
  <c r="Q124" i="29"/>
  <c r="Q122" i="29"/>
  <c r="Q114" i="29"/>
  <c r="Q110" i="29"/>
  <c r="Q106" i="29"/>
  <c r="Q100" i="29"/>
  <c r="Q90" i="29"/>
  <c r="Q78" i="29"/>
  <c r="Q65" i="29"/>
  <c r="Q59" i="29"/>
  <c r="Q51" i="29"/>
  <c r="Q47" i="29"/>
  <c r="Q41" i="29"/>
  <c r="Q35" i="29"/>
  <c r="Q29" i="29"/>
  <c r="Q23" i="29"/>
  <c r="Q19" i="29"/>
  <c r="Q13" i="29"/>
  <c r="Q9" i="29"/>
  <c r="Q94" i="29"/>
  <c r="Q84" i="29"/>
  <c r="Q70" i="29"/>
  <c r="Q67" i="29"/>
  <c r="Q61" i="29"/>
  <c r="Q57" i="29"/>
  <c r="Q49" i="29"/>
  <c r="Q45" i="29"/>
  <c r="Q37" i="29"/>
  <c r="Q33" i="29"/>
  <c r="Q25" i="29"/>
  <c r="Q21" i="29"/>
  <c r="Q17" i="29"/>
  <c r="Q11" i="29"/>
  <c r="Q7" i="29"/>
  <c r="S154" i="29"/>
  <c r="S146" i="29"/>
  <c r="S144" i="29"/>
  <c r="S142" i="29"/>
  <c r="S138" i="29"/>
  <c r="S136" i="29"/>
  <c r="S133" i="29"/>
  <c r="S129" i="29"/>
  <c r="S128" i="29" s="1"/>
  <c r="S125" i="29"/>
  <c r="S123" i="29"/>
  <c r="S148" i="29"/>
  <c r="S145" i="29"/>
  <c r="S141" i="29"/>
  <c r="S135" i="29"/>
  <c r="S132" i="29"/>
  <c r="S124" i="29"/>
  <c r="S119" i="29"/>
  <c r="S115" i="29"/>
  <c r="S113" i="29"/>
  <c r="S111" i="29"/>
  <c r="S109" i="29"/>
  <c r="S107" i="29"/>
  <c r="S103" i="29"/>
  <c r="S101" i="29"/>
  <c r="S97" i="29"/>
  <c r="S95" i="29"/>
  <c r="S93" i="29"/>
  <c r="S91" i="29"/>
  <c r="S89" i="29"/>
  <c r="S85" i="29"/>
  <c r="S83" i="29"/>
  <c r="S79" i="29"/>
  <c r="S77" i="29"/>
  <c r="S71" i="29"/>
  <c r="S69" i="29"/>
  <c r="S147" i="29"/>
  <c r="S137" i="29"/>
  <c r="S134" i="29"/>
  <c r="S122" i="29"/>
  <c r="S114" i="29"/>
  <c r="S110" i="29"/>
  <c r="S106" i="29"/>
  <c r="S100" i="29"/>
  <c r="S94" i="29"/>
  <c r="S90" i="29"/>
  <c r="S84" i="29"/>
  <c r="S78" i="29"/>
  <c r="S70" i="29"/>
  <c r="S66" i="29"/>
  <c r="S62" i="29"/>
  <c r="S60" i="29"/>
  <c r="S58" i="29"/>
  <c r="S54" i="29"/>
  <c r="S53" i="29" s="1"/>
  <c r="S50" i="29"/>
  <c r="S48" i="29"/>
  <c r="S46" i="29"/>
  <c r="S44" i="29"/>
  <c r="S40" i="29"/>
  <c r="S36" i="29"/>
  <c r="S34" i="29"/>
  <c r="S32" i="29"/>
  <c r="S28" i="29"/>
  <c r="S24" i="29"/>
  <c r="S22" i="29"/>
  <c r="S20" i="29"/>
  <c r="S18" i="29"/>
  <c r="S16" i="29"/>
  <c r="S12" i="29"/>
  <c r="S10" i="29"/>
  <c r="S8" i="29"/>
  <c r="S6" i="29"/>
  <c r="S155" i="29"/>
  <c r="S143" i="29"/>
  <c r="S126" i="29"/>
  <c r="S118" i="29"/>
  <c r="S112" i="29"/>
  <c r="S108" i="29"/>
  <c r="S102" i="29"/>
  <c r="S92" i="29"/>
  <c r="S80" i="29"/>
  <c r="S68" i="29"/>
  <c r="S67" i="29"/>
  <c r="S61" i="29"/>
  <c r="S57" i="29"/>
  <c r="S49" i="29"/>
  <c r="S45" i="29"/>
  <c r="S37" i="29"/>
  <c r="S33" i="29"/>
  <c r="S25" i="29"/>
  <c r="S21" i="29"/>
  <c r="S17" i="29"/>
  <c r="S11" i="29"/>
  <c r="S7" i="29"/>
  <c r="S96" i="29"/>
  <c r="S86" i="29"/>
  <c r="S72" i="29"/>
  <c r="S65" i="29"/>
  <c r="S59" i="29"/>
  <c r="S51" i="29"/>
  <c r="S47" i="29"/>
  <c r="S41" i="29"/>
  <c r="S35" i="29"/>
  <c r="S29" i="29"/>
  <c r="S23" i="29"/>
  <c r="S19" i="29"/>
  <c r="S13" i="29"/>
  <c r="S9" i="29"/>
  <c r="U154" i="29"/>
  <c r="U155" i="29"/>
  <c r="U148" i="29"/>
  <c r="U146" i="29"/>
  <c r="U144" i="29"/>
  <c r="U142" i="29"/>
  <c r="U138" i="29"/>
  <c r="U136" i="29"/>
  <c r="U133" i="29"/>
  <c r="U129" i="29"/>
  <c r="U128" i="29" s="1"/>
  <c r="U125" i="29"/>
  <c r="U123" i="29"/>
  <c r="U147" i="29"/>
  <c r="U143" i="29"/>
  <c r="U137" i="29"/>
  <c r="U134" i="29"/>
  <c r="U126" i="29"/>
  <c r="U119" i="29"/>
  <c r="U115" i="29"/>
  <c r="U113" i="29"/>
  <c r="U111" i="29"/>
  <c r="U109" i="29"/>
  <c r="U107" i="29"/>
  <c r="U103" i="29"/>
  <c r="U101" i="29"/>
  <c r="U97" i="29"/>
  <c r="U95" i="29"/>
  <c r="U93" i="29"/>
  <c r="U91" i="29"/>
  <c r="U89" i="29"/>
  <c r="U85" i="29"/>
  <c r="U83" i="29"/>
  <c r="U79" i="29"/>
  <c r="U77" i="29"/>
  <c r="U71" i="29"/>
  <c r="U69" i="29"/>
  <c r="U141" i="29"/>
  <c r="U124" i="29"/>
  <c r="U118" i="29"/>
  <c r="U112" i="29"/>
  <c r="U108" i="29"/>
  <c r="U102" i="29"/>
  <c r="U96" i="29"/>
  <c r="U92" i="29"/>
  <c r="U86" i="29"/>
  <c r="U80" i="29"/>
  <c r="U72" i="29"/>
  <c r="U68" i="29"/>
  <c r="U66" i="29"/>
  <c r="U62" i="29"/>
  <c r="U60" i="29"/>
  <c r="U58" i="29"/>
  <c r="U54" i="29"/>
  <c r="U53" i="29" s="1"/>
  <c r="U50" i="29"/>
  <c r="U48" i="29"/>
  <c r="U46" i="29"/>
  <c r="U44" i="29"/>
  <c r="U40" i="29"/>
  <c r="U36" i="29"/>
  <c r="U34" i="29"/>
  <c r="U32" i="29"/>
  <c r="U28" i="29"/>
  <c r="U24" i="29"/>
  <c r="U22" i="29"/>
  <c r="U20" i="29"/>
  <c r="U18" i="29"/>
  <c r="U16" i="29"/>
  <c r="U12" i="29"/>
  <c r="U10" i="29"/>
  <c r="U8" i="29"/>
  <c r="U6" i="29"/>
  <c r="U145" i="29"/>
  <c r="U135" i="29"/>
  <c r="U132" i="29"/>
  <c r="U122" i="29"/>
  <c r="U114" i="29"/>
  <c r="U110" i="29"/>
  <c r="U106" i="29"/>
  <c r="U94" i="29"/>
  <c r="U84" i="29"/>
  <c r="U70" i="29"/>
  <c r="U65" i="29"/>
  <c r="U59" i="29"/>
  <c r="U51" i="29"/>
  <c r="U47" i="29"/>
  <c r="U41" i="29"/>
  <c r="U35" i="29"/>
  <c r="U29" i="29"/>
  <c r="U23" i="29"/>
  <c r="U19" i="29"/>
  <c r="U13" i="29"/>
  <c r="U9" i="29"/>
  <c r="U100" i="29"/>
  <c r="U90" i="29"/>
  <c r="U78" i="29"/>
  <c r="U67" i="29"/>
  <c r="U61" i="29"/>
  <c r="U57" i="29"/>
  <c r="U49" i="29"/>
  <c r="U45" i="29"/>
  <c r="U37" i="29"/>
  <c r="U33" i="29"/>
  <c r="U25" i="29"/>
  <c r="U21" i="29"/>
  <c r="U17" i="29"/>
  <c r="U11" i="29"/>
  <c r="U7" i="29"/>
  <c r="W154" i="29"/>
  <c r="W146" i="29"/>
  <c r="W144" i="29"/>
  <c r="W142" i="29"/>
  <c r="W138" i="29"/>
  <c r="W136" i="29"/>
  <c r="W133" i="29"/>
  <c r="W129" i="29"/>
  <c r="W128" i="29" s="1"/>
  <c r="W125" i="29"/>
  <c r="W123" i="29"/>
  <c r="W155" i="29"/>
  <c r="W145" i="29"/>
  <c r="W141" i="29"/>
  <c r="W135" i="29"/>
  <c r="W132" i="29"/>
  <c r="W124" i="29"/>
  <c r="W119" i="29"/>
  <c r="W115" i="29"/>
  <c r="W113" i="29"/>
  <c r="W111" i="29"/>
  <c r="W109" i="29"/>
  <c r="W107" i="29"/>
  <c r="W103" i="29"/>
  <c r="W101" i="29"/>
  <c r="W97" i="29"/>
  <c r="W95" i="29"/>
  <c r="W93" i="29"/>
  <c r="W91" i="29"/>
  <c r="W89" i="29"/>
  <c r="W85" i="29"/>
  <c r="W83" i="29"/>
  <c r="W79" i="29"/>
  <c r="W77" i="29"/>
  <c r="W71" i="29"/>
  <c r="W69" i="29"/>
  <c r="W148" i="29"/>
  <c r="W143" i="29"/>
  <c r="W126" i="29"/>
  <c r="W122" i="29"/>
  <c r="W114" i="29"/>
  <c r="W110" i="29"/>
  <c r="W106" i="29"/>
  <c r="W100" i="29"/>
  <c r="W94" i="29"/>
  <c r="W90" i="29"/>
  <c r="W84" i="29"/>
  <c r="W78" i="29"/>
  <c r="W70" i="29"/>
  <c r="W66" i="29"/>
  <c r="W62" i="29"/>
  <c r="W60" i="29"/>
  <c r="W58" i="29"/>
  <c r="W54" i="29"/>
  <c r="W53" i="29" s="1"/>
  <c r="W50" i="29"/>
  <c r="W48" i="29"/>
  <c r="W46" i="29"/>
  <c r="W44" i="29"/>
  <c r="W40" i="29"/>
  <c r="W36" i="29"/>
  <c r="W34" i="29"/>
  <c r="W32" i="29"/>
  <c r="W28" i="29"/>
  <c r="W24" i="29"/>
  <c r="W22" i="29"/>
  <c r="W20" i="29"/>
  <c r="W18" i="29"/>
  <c r="W16" i="29"/>
  <c r="W12" i="29"/>
  <c r="W10" i="29"/>
  <c r="W8" i="29"/>
  <c r="W6" i="29"/>
  <c r="W147" i="29"/>
  <c r="W137" i="29"/>
  <c r="W134" i="29"/>
  <c r="W118" i="29"/>
  <c r="W112" i="29"/>
  <c r="W108" i="29"/>
  <c r="W96" i="29"/>
  <c r="W86" i="29"/>
  <c r="W72" i="29"/>
  <c r="W67" i="29"/>
  <c r="W61" i="29"/>
  <c r="W57" i="29"/>
  <c r="W49" i="29"/>
  <c r="W45" i="29"/>
  <c r="W37" i="29"/>
  <c r="W33" i="29"/>
  <c r="W25" i="29"/>
  <c r="W21" i="29"/>
  <c r="W17" i="29"/>
  <c r="W11" i="29"/>
  <c r="W7" i="29"/>
  <c r="W102" i="29"/>
  <c r="W92" i="29"/>
  <c r="W80" i="29"/>
  <c r="W68" i="29"/>
  <c r="W65" i="29"/>
  <c r="W59" i="29"/>
  <c r="W51" i="29"/>
  <c r="W47" i="29"/>
  <c r="W41" i="29"/>
  <c r="W35" i="29"/>
  <c r="W29" i="29"/>
  <c r="W23" i="29"/>
  <c r="W19" i="29"/>
  <c r="W13" i="29"/>
  <c r="W9" i="29"/>
  <c r="Y154" i="29"/>
  <c r="Y155" i="29"/>
  <c r="Y148" i="29"/>
  <c r="Y146" i="29"/>
  <c r="Y144" i="29"/>
  <c r="Y142" i="29"/>
  <c r="Y138" i="29"/>
  <c r="Y136" i="29"/>
  <c r="Y133" i="29"/>
  <c r="Y129" i="29"/>
  <c r="Y125" i="29"/>
  <c r="Y123" i="29"/>
  <c r="Y147" i="29"/>
  <c r="Y143" i="29"/>
  <c r="Y137" i="29"/>
  <c r="Y134" i="29"/>
  <c r="Y126" i="29"/>
  <c r="Y119" i="29"/>
  <c r="Y115" i="29"/>
  <c r="Y113" i="29"/>
  <c r="Y111" i="29"/>
  <c r="Y109" i="29"/>
  <c r="Y107" i="29"/>
  <c r="Y103" i="29"/>
  <c r="Y101" i="29"/>
  <c r="Y97" i="29"/>
  <c r="Y95" i="29"/>
  <c r="Y93" i="29"/>
  <c r="Y91" i="29"/>
  <c r="Y89" i="29"/>
  <c r="Y85" i="29"/>
  <c r="Y83" i="29"/>
  <c r="Y79" i="29"/>
  <c r="Y77" i="29"/>
  <c r="Y71" i="29"/>
  <c r="Y69" i="29"/>
  <c r="Y145" i="29"/>
  <c r="Y135" i="29"/>
  <c r="Y132" i="29"/>
  <c r="Y118" i="29"/>
  <c r="Y112" i="29"/>
  <c r="Y108" i="29"/>
  <c r="Y102" i="29"/>
  <c r="Y96" i="29"/>
  <c r="Y92" i="29"/>
  <c r="Y86" i="29"/>
  <c r="Y80" i="29"/>
  <c r="Y72" i="29"/>
  <c r="Y68" i="29"/>
  <c r="Y66" i="29"/>
  <c r="Y62" i="29"/>
  <c r="Y60" i="29"/>
  <c r="Y58" i="29"/>
  <c r="Y54" i="29"/>
  <c r="Y53" i="29" s="1"/>
  <c r="Y50" i="29"/>
  <c r="Y48" i="29"/>
  <c r="Y46" i="29"/>
  <c r="Y44" i="29"/>
  <c r="Y40" i="29"/>
  <c r="Y36" i="29"/>
  <c r="Y34" i="29"/>
  <c r="Y32" i="29"/>
  <c r="Y28" i="29"/>
  <c r="Y24" i="29"/>
  <c r="Y22" i="29"/>
  <c r="Y20" i="29"/>
  <c r="Y18" i="29"/>
  <c r="Y16" i="29"/>
  <c r="Y12" i="29"/>
  <c r="Y10" i="29"/>
  <c r="Y8" i="29"/>
  <c r="Y6" i="29"/>
  <c r="Y141" i="29"/>
  <c r="Y124" i="29"/>
  <c r="Y122" i="29"/>
  <c r="Y114" i="29"/>
  <c r="Y110" i="29"/>
  <c r="Y106" i="29"/>
  <c r="Y100" i="29"/>
  <c r="Y90" i="29"/>
  <c r="Y78" i="29"/>
  <c r="Y65" i="29"/>
  <c r="Y59" i="29"/>
  <c r="Y51" i="29"/>
  <c r="Y47" i="29"/>
  <c r="Y41" i="29"/>
  <c r="Y35" i="29"/>
  <c r="Y29" i="29"/>
  <c r="Y23" i="29"/>
  <c r="Y19" i="29"/>
  <c r="Y13" i="29"/>
  <c r="Y9" i="29"/>
  <c r="Y94" i="29"/>
  <c r="Y84" i="29"/>
  <c r="Y70" i="29"/>
  <c r="Y67" i="29"/>
  <c r="Y61" i="29"/>
  <c r="Y57" i="29"/>
  <c r="Y49" i="29"/>
  <c r="Y45" i="29"/>
  <c r="Y37" i="29"/>
  <c r="Y33" i="29"/>
  <c r="Y25" i="29"/>
  <c r="Y21" i="29"/>
  <c r="Y17" i="29"/>
  <c r="Y11" i="29"/>
  <c r="Y7" i="29"/>
  <c r="AA154" i="29"/>
  <c r="AA146" i="29"/>
  <c r="AA144" i="29"/>
  <c r="AA142" i="29"/>
  <c r="AA138" i="29"/>
  <c r="AA136" i="29"/>
  <c r="AA133" i="29"/>
  <c r="AA129" i="29"/>
  <c r="AA128" i="29" s="1"/>
  <c r="AA125" i="29"/>
  <c r="AA123" i="29"/>
  <c r="AA148" i="29"/>
  <c r="AA145" i="29"/>
  <c r="AA141" i="29"/>
  <c r="AA135" i="29"/>
  <c r="AA132" i="29"/>
  <c r="AA124" i="29"/>
  <c r="AA119" i="29"/>
  <c r="AA115" i="29"/>
  <c r="AA113" i="29"/>
  <c r="AA111" i="29"/>
  <c r="AA109" i="29"/>
  <c r="AA107" i="29"/>
  <c r="AA103" i="29"/>
  <c r="AA101" i="29"/>
  <c r="AA97" i="29"/>
  <c r="AA95" i="29"/>
  <c r="AA93" i="29"/>
  <c r="AA91" i="29"/>
  <c r="AA89" i="29"/>
  <c r="AA85" i="29"/>
  <c r="AA83" i="29"/>
  <c r="AA79" i="29"/>
  <c r="AA77" i="29"/>
  <c r="AA71" i="29"/>
  <c r="AA69" i="29"/>
  <c r="AA155" i="29"/>
  <c r="AA147" i="29"/>
  <c r="AA137" i="29"/>
  <c r="AA134" i="29"/>
  <c r="AA122" i="29"/>
  <c r="AA114" i="29"/>
  <c r="AA110" i="29"/>
  <c r="AA106" i="29"/>
  <c r="AA100" i="29"/>
  <c r="AA94" i="29"/>
  <c r="AA90" i="29"/>
  <c r="AA84" i="29"/>
  <c r="AA78" i="29"/>
  <c r="AA70" i="29"/>
  <c r="AA66" i="29"/>
  <c r="AA62" i="29"/>
  <c r="AA60" i="29"/>
  <c r="AA58" i="29"/>
  <c r="AA54" i="29"/>
  <c r="AA53" i="29" s="1"/>
  <c r="AA50" i="29"/>
  <c r="AA48" i="29"/>
  <c r="AA46" i="29"/>
  <c r="AA44" i="29"/>
  <c r="AA40" i="29"/>
  <c r="AA36" i="29"/>
  <c r="AA34" i="29"/>
  <c r="AA32" i="29"/>
  <c r="AA28" i="29"/>
  <c r="AA24" i="29"/>
  <c r="AA22" i="29"/>
  <c r="AA20" i="29"/>
  <c r="AA18" i="29"/>
  <c r="AA16" i="29"/>
  <c r="AA12" i="29"/>
  <c r="AA10" i="29"/>
  <c r="AA8" i="29"/>
  <c r="AA6" i="29"/>
  <c r="AA143" i="29"/>
  <c r="AA126" i="29"/>
  <c r="AA118" i="29"/>
  <c r="AA117" i="29" s="1"/>
  <c r="AA112" i="29"/>
  <c r="AA108" i="29"/>
  <c r="AA102" i="29"/>
  <c r="AA92" i="29"/>
  <c r="AA80" i="29"/>
  <c r="AA68" i="29"/>
  <c r="AA67" i="29"/>
  <c r="AA61" i="29"/>
  <c r="AA57" i="29"/>
  <c r="AA49" i="29"/>
  <c r="AA45" i="29"/>
  <c r="AA37" i="29"/>
  <c r="AA33" i="29"/>
  <c r="AA25" i="29"/>
  <c r="AA21" i="29"/>
  <c r="AA17" i="29"/>
  <c r="AA11" i="29"/>
  <c r="AA7" i="29"/>
  <c r="AA96" i="29"/>
  <c r="AA86" i="29"/>
  <c r="AA72" i="29"/>
  <c r="AA65" i="29"/>
  <c r="AA59" i="29"/>
  <c r="AA51" i="29"/>
  <c r="AA47" i="29"/>
  <c r="AA41" i="29"/>
  <c r="AA35" i="29"/>
  <c r="AA29" i="29"/>
  <c r="AA23" i="29"/>
  <c r="AA19" i="29"/>
  <c r="AA13" i="29"/>
  <c r="AA9" i="29"/>
  <c r="AC154" i="29"/>
  <c r="AC155" i="29"/>
  <c r="AC148" i="29"/>
  <c r="AC146" i="29"/>
  <c r="AC144" i="29"/>
  <c r="AC142" i="29"/>
  <c r="AC138" i="29"/>
  <c r="AC136" i="29"/>
  <c r="AC133" i="29"/>
  <c r="AC129" i="29"/>
  <c r="AC128" i="29" s="1"/>
  <c r="AC125" i="29"/>
  <c r="AC123" i="29"/>
  <c r="AC147" i="29"/>
  <c r="AC143" i="29"/>
  <c r="AC137" i="29"/>
  <c r="AC134" i="29"/>
  <c r="AC126" i="29"/>
  <c r="AC119" i="29"/>
  <c r="AC115" i="29"/>
  <c r="AC113" i="29"/>
  <c r="AC111" i="29"/>
  <c r="AC109" i="29"/>
  <c r="AC107" i="29"/>
  <c r="AC103" i="29"/>
  <c r="AC101" i="29"/>
  <c r="AC97" i="29"/>
  <c r="AC95" i="29"/>
  <c r="AC93" i="29"/>
  <c r="AC91" i="29"/>
  <c r="AC89" i="29"/>
  <c r="AC85" i="29"/>
  <c r="AC83" i="29"/>
  <c r="AC79" i="29"/>
  <c r="AC77" i="29"/>
  <c r="AC71" i="29"/>
  <c r="AC69" i="29"/>
  <c r="AC141" i="29"/>
  <c r="AC124" i="29"/>
  <c r="AC118" i="29"/>
  <c r="AC112" i="29"/>
  <c r="AC108" i="29"/>
  <c r="AC102" i="29"/>
  <c r="AC96" i="29"/>
  <c r="AC92" i="29"/>
  <c r="AC86" i="29"/>
  <c r="AC80" i="29"/>
  <c r="AC72" i="29"/>
  <c r="AC68" i="29"/>
  <c r="AC66" i="29"/>
  <c r="AC62" i="29"/>
  <c r="AC60" i="29"/>
  <c r="AC58" i="29"/>
  <c r="AC54" i="29"/>
  <c r="AC53" i="29" s="1"/>
  <c r="AC50" i="29"/>
  <c r="AC48" i="29"/>
  <c r="AC46" i="29"/>
  <c r="AC44" i="29"/>
  <c r="AC40" i="29"/>
  <c r="AC36" i="29"/>
  <c r="AC34" i="29"/>
  <c r="AC32" i="29"/>
  <c r="AC28" i="29"/>
  <c r="AC24" i="29"/>
  <c r="AC22" i="29"/>
  <c r="AC20" i="29"/>
  <c r="AC18" i="29"/>
  <c r="AC16" i="29"/>
  <c r="AC12" i="29"/>
  <c r="AC10" i="29"/>
  <c r="AC8" i="29"/>
  <c r="AC6" i="29"/>
  <c r="AC145" i="29"/>
  <c r="AC135" i="29"/>
  <c r="AC132" i="29"/>
  <c r="AC122" i="29"/>
  <c r="AC114" i="29"/>
  <c r="AC110" i="29"/>
  <c r="AC106" i="29"/>
  <c r="AC94" i="29"/>
  <c r="AC84" i="29"/>
  <c r="AC70" i="29"/>
  <c r="AC65" i="29"/>
  <c r="AC59" i="29"/>
  <c r="AC51" i="29"/>
  <c r="AC47" i="29"/>
  <c r="AC41" i="29"/>
  <c r="AC35" i="29"/>
  <c r="AC29" i="29"/>
  <c r="AC23" i="29"/>
  <c r="AC19" i="29"/>
  <c r="AC13" i="29"/>
  <c r="AC9" i="29"/>
  <c r="AC100" i="29"/>
  <c r="AC90" i="29"/>
  <c r="AC78" i="29"/>
  <c r="AC67" i="29"/>
  <c r="AC61" i="29"/>
  <c r="AC57" i="29"/>
  <c r="AC49" i="29"/>
  <c r="AC45" i="29"/>
  <c r="AC37" i="29"/>
  <c r="AC33" i="29"/>
  <c r="AC25" i="29"/>
  <c r="AC21" i="29"/>
  <c r="AC17" i="29"/>
  <c r="AC11" i="29"/>
  <c r="AC7" i="29"/>
  <c r="AE154" i="29"/>
  <c r="AE146" i="29"/>
  <c r="AE144" i="29"/>
  <c r="AE142" i="29"/>
  <c r="AE138" i="29"/>
  <c r="AE136" i="29"/>
  <c r="AE133" i="29"/>
  <c r="AE129" i="29"/>
  <c r="AE128" i="29" s="1"/>
  <c r="AE125" i="29"/>
  <c r="AE123" i="29"/>
  <c r="AE155" i="29"/>
  <c r="AE145" i="29"/>
  <c r="AE141" i="29"/>
  <c r="AE135" i="29"/>
  <c r="AE132" i="29"/>
  <c r="AE124" i="29"/>
  <c r="AE119" i="29"/>
  <c r="AE115" i="29"/>
  <c r="AE113" i="29"/>
  <c r="AE111" i="29"/>
  <c r="AE109" i="29"/>
  <c r="AE107" i="29"/>
  <c r="AE103" i="29"/>
  <c r="AE101" i="29"/>
  <c r="AE97" i="29"/>
  <c r="AE95" i="29"/>
  <c r="AE93" i="29"/>
  <c r="AE91" i="29"/>
  <c r="AE89" i="29"/>
  <c r="AE85" i="29"/>
  <c r="AE83" i="29"/>
  <c r="AE79" i="29"/>
  <c r="AE77" i="29"/>
  <c r="AE71" i="29"/>
  <c r="AE69" i="29"/>
  <c r="AE143" i="29"/>
  <c r="AE126" i="29"/>
  <c r="AE122" i="29"/>
  <c r="AE114" i="29"/>
  <c r="AE110" i="29"/>
  <c r="AE106" i="29"/>
  <c r="AE100" i="29"/>
  <c r="AE94" i="29"/>
  <c r="AE90" i="29"/>
  <c r="AE84" i="29"/>
  <c r="AE78" i="29"/>
  <c r="AE70" i="29"/>
  <c r="AE66" i="29"/>
  <c r="AE62" i="29"/>
  <c r="AE60" i="29"/>
  <c r="AE58" i="29"/>
  <c r="AE54" i="29"/>
  <c r="AE53" i="29" s="1"/>
  <c r="AE50" i="29"/>
  <c r="AE48" i="29"/>
  <c r="AE46" i="29"/>
  <c r="AE44" i="29"/>
  <c r="AE40" i="29"/>
  <c r="AE36" i="29"/>
  <c r="AE34" i="29"/>
  <c r="AE32" i="29"/>
  <c r="AE28" i="29"/>
  <c r="AE24" i="29"/>
  <c r="AE22" i="29"/>
  <c r="AE20" i="29"/>
  <c r="AE18" i="29"/>
  <c r="AE16" i="29"/>
  <c r="AE12" i="29"/>
  <c r="AE10" i="29"/>
  <c r="AE8" i="29"/>
  <c r="AE6" i="29"/>
  <c r="AE148" i="29"/>
  <c r="AE147" i="29"/>
  <c r="AE137" i="29"/>
  <c r="AE134" i="29"/>
  <c r="AE118" i="29"/>
  <c r="AE112" i="29"/>
  <c r="AE108" i="29"/>
  <c r="AE96" i="29"/>
  <c r="AE86" i="29"/>
  <c r="AE72" i="29"/>
  <c r="AE67" i="29"/>
  <c r="AE61" i="29"/>
  <c r="AE57" i="29"/>
  <c r="AE49" i="29"/>
  <c r="AE45" i="29"/>
  <c r="AE37" i="29"/>
  <c r="AE33" i="29"/>
  <c r="AE25" i="29"/>
  <c r="AE21" i="29"/>
  <c r="AE17" i="29"/>
  <c r="AE11" i="29"/>
  <c r="AE7" i="29"/>
  <c r="AE102" i="29"/>
  <c r="AE92" i="29"/>
  <c r="AE80" i="29"/>
  <c r="AE68" i="29"/>
  <c r="AE65" i="29"/>
  <c r="AE59" i="29"/>
  <c r="AE51" i="29"/>
  <c r="AE47" i="29"/>
  <c r="AE41" i="29"/>
  <c r="AE35" i="29"/>
  <c r="AE29" i="29"/>
  <c r="AE23" i="29"/>
  <c r="AE19" i="29"/>
  <c r="AE13" i="29"/>
  <c r="AE9" i="29"/>
  <c r="AG154" i="29"/>
  <c r="AG155" i="29"/>
  <c r="AG148" i="29"/>
  <c r="AG146" i="29"/>
  <c r="AG144" i="29"/>
  <c r="AG142" i="29"/>
  <c r="AG138" i="29"/>
  <c r="AG136" i="29"/>
  <c r="AG133" i="29"/>
  <c r="AG129" i="29"/>
  <c r="AG128" i="29" s="1"/>
  <c r="AG125" i="29"/>
  <c r="AG123" i="29"/>
  <c r="AG147" i="29"/>
  <c r="AG143" i="29"/>
  <c r="AG137" i="29"/>
  <c r="AG134" i="29"/>
  <c r="AG126" i="29"/>
  <c r="AG119" i="29"/>
  <c r="AG115" i="29"/>
  <c r="AG113" i="29"/>
  <c r="AG111" i="29"/>
  <c r="AG109" i="29"/>
  <c r="AG107" i="29"/>
  <c r="AG103" i="29"/>
  <c r="AG101" i="29"/>
  <c r="AG97" i="29"/>
  <c r="AG95" i="29"/>
  <c r="AG93" i="29"/>
  <c r="AG91" i="29"/>
  <c r="AG89" i="29"/>
  <c r="AG85" i="29"/>
  <c r="AG83" i="29"/>
  <c r="AG79" i="29"/>
  <c r="AG77" i="29"/>
  <c r="AG71" i="29"/>
  <c r="AG69" i="29"/>
  <c r="AG145" i="29"/>
  <c r="AG135" i="29"/>
  <c r="AG132" i="29"/>
  <c r="AG118" i="29"/>
  <c r="AG117" i="29" s="1"/>
  <c r="AG112" i="29"/>
  <c r="AG108" i="29"/>
  <c r="AG102" i="29"/>
  <c r="AG96" i="29"/>
  <c r="AG92" i="29"/>
  <c r="AG86" i="29"/>
  <c r="AG80" i="29"/>
  <c r="AG72" i="29"/>
  <c r="AG68" i="29"/>
  <c r="AG66" i="29"/>
  <c r="AG62" i="29"/>
  <c r="AG60" i="29"/>
  <c r="AG58" i="29"/>
  <c r="AG54" i="29"/>
  <c r="AG53" i="29" s="1"/>
  <c r="AG50" i="29"/>
  <c r="AG48" i="29"/>
  <c r="AG46" i="29"/>
  <c r="AG44" i="29"/>
  <c r="AG40" i="29"/>
  <c r="AG36" i="29"/>
  <c r="AG34" i="29"/>
  <c r="AG32" i="29"/>
  <c r="AG28" i="29"/>
  <c r="AG24" i="29"/>
  <c r="AG22" i="29"/>
  <c r="AG20" i="29"/>
  <c r="AG18" i="29"/>
  <c r="AG16" i="29"/>
  <c r="AG12" i="29"/>
  <c r="AG10" i="29"/>
  <c r="AG8" i="29"/>
  <c r="AG6" i="29"/>
  <c r="AG141" i="29"/>
  <c r="AG124" i="29"/>
  <c r="AG122" i="29"/>
  <c r="AG114" i="29"/>
  <c r="AG110" i="29"/>
  <c r="AG106" i="29"/>
  <c r="AG100" i="29"/>
  <c r="AG90" i="29"/>
  <c r="AG78" i="29"/>
  <c r="AG65" i="29"/>
  <c r="AG59" i="29"/>
  <c r="AG51" i="29"/>
  <c r="AG47" i="29"/>
  <c r="AG41" i="29"/>
  <c r="AG35" i="29"/>
  <c r="AG29" i="29"/>
  <c r="AG23" i="29"/>
  <c r="AG19" i="29"/>
  <c r="AG13" i="29"/>
  <c r="AG9" i="29"/>
  <c r="AG94" i="29"/>
  <c r="AG84" i="29"/>
  <c r="AG70" i="29"/>
  <c r="AG67" i="29"/>
  <c r="AG61" i="29"/>
  <c r="AG57" i="29"/>
  <c r="AG49" i="29"/>
  <c r="AG45" i="29"/>
  <c r="AG37" i="29"/>
  <c r="AG33" i="29"/>
  <c r="AG25" i="29"/>
  <c r="AG21" i="29"/>
  <c r="AG17" i="29"/>
  <c r="AG11" i="29"/>
  <c r="AG7" i="29"/>
  <c r="AI154" i="29"/>
  <c r="AI146" i="29"/>
  <c r="AI144" i="29"/>
  <c r="AI142" i="29"/>
  <c r="AI138" i="29"/>
  <c r="AI136" i="29"/>
  <c r="AI133" i="29"/>
  <c r="AI129" i="29"/>
  <c r="AI128" i="29" s="1"/>
  <c r="AI125" i="29"/>
  <c r="AI123" i="29"/>
  <c r="AI148" i="29"/>
  <c r="AI145" i="29"/>
  <c r="AI141" i="29"/>
  <c r="AI135" i="29"/>
  <c r="AI132" i="29"/>
  <c r="AI124" i="29"/>
  <c r="AI119" i="29"/>
  <c r="AI115" i="29"/>
  <c r="AI113" i="29"/>
  <c r="AI111" i="29"/>
  <c r="AI109" i="29"/>
  <c r="AI107" i="29"/>
  <c r="AI103" i="29"/>
  <c r="AI101" i="29"/>
  <c r="AI97" i="29"/>
  <c r="AI95" i="29"/>
  <c r="AI93" i="29"/>
  <c r="AI91" i="29"/>
  <c r="AI89" i="29"/>
  <c r="AI85" i="29"/>
  <c r="AI83" i="29"/>
  <c r="AI79" i="29"/>
  <c r="AI77" i="29"/>
  <c r="AI71" i="29"/>
  <c r="AI69" i="29"/>
  <c r="AI147" i="29"/>
  <c r="AI137" i="29"/>
  <c r="AI134" i="29"/>
  <c r="AI122" i="29"/>
  <c r="AI114" i="29"/>
  <c r="AI110" i="29"/>
  <c r="AI106" i="29"/>
  <c r="AI100" i="29"/>
  <c r="AI94" i="29"/>
  <c r="AI90" i="29"/>
  <c r="AI84" i="29"/>
  <c r="AI78" i="29"/>
  <c r="AI70" i="29"/>
  <c r="AI66" i="29"/>
  <c r="AI62" i="29"/>
  <c r="AI60" i="29"/>
  <c r="AI58" i="29"/>
  <c r="AI54" i="29"/>
  <c r="AI53" i="29" s="1"/>
  <c r="AI50" i="29"/>
  <c r="AI48" i="29"/>
  <c r="AI46" i="29"/>
  <c r="AI44" i="29"/>
  <c r="AI40" i="29"/>
  <c r="AI36" i="29"/>
  <c r="AI34" i="29"/>
  <c r="AI32" i="29"/>
  <c r="AI28" i="29"/>
  <c r="AI24" i="29"/>
  <c r="AI22" i="29"/>
  <c r="AI20" i="29"/>
  <c r="AI18" i="29"/>
  <c r="AI16" i="29"/>
  <c r="AI12" i="29"/>
  <c r="AI10" i="29"/>
  <c r="AI8" i="29"/>
  <c r="AI6" i="29"/>
  <c r="AI155" i="29"/>
  <c r="AI143" i="29"/>
  <c r="AI126" i="29"/>
  <c r="AI118" i="29"/>
  <c r="AI117" i="29" s="1"/>
  <c r="AI112" i="29"/>
  <c r="AI108" i="29"/>
  <c r="AI102" i="29"/>
  <c r="AI92" i="29"/>
  <c r="AI80" i="29"/>
  <c r="AI68" i="29"/>
  <c r="AI67" i="29"/>
  <c r="AI61" i="29"/>
  <c r="AI57" i="29"/>
  <c r="AI49" i="29"/>
  <c r="AI45" i="29"/>
  <c r="AI37" i="29"/>
  <c r="AI33" i="29"/>
  <c r="AI25" i="29"/>
  <c r="AI21" i="29"/>
  <c r="AI17" i="29"/>
  <c r="AI11" i="29"/>
  <c r="AI7" i="29"/>
  <c r="AI96" i="29"/>
  <c r="AI86" i="29"/>
  <c r="AI72" i="29"/>
  <c r="AI65" i="29"/>
  <c r="AI59" i="29"/>
  <c r="AI51" i="29"/>
  <c r="AI47" i="29"/>
  <c r="AI41" i="29"/>
  <c r="AI35" i="29"/>
  <c r="AI29" i="29"/>
  <c r="AI23" i="29"/>
  <c r="AI19" i="29"/>
  <c r="AI13" i="29"/>
  <c r="AI9" i="29"/>
  <c r="AK154" i="29"/>
  <c r="E158" i="49" s="1"/>
  <c r="AK155" i="29"/>
  <c r="E159" i="49" s="1"/>
  <c r="AK148" i="29"/>
  <c r="AK146" i="29"/>
  <c r="AK144" i="29"/>
  <c r="AK142" i="29"/>
  <c r="AK138" i="29"/>
  <c r="AK136" i="29"/>
  <c r="AK133" i="29"/>
  <c r="AK129" i="29"/>
  <c r="AK125" i="29"/>
  <c r="AK123" i="29"/>
  <c r="AK147" i="29"/>
  <c r="AK143" i="29"/>
  <c r="E147" i="49" s="1"/>
  <c r="AK137" i="29"/>
  <c r="E141" i="49" s="1"/>
  <c r="AK134" i="29"/>
  <c r="AK126" i="29"/>
  <c r="AK119" i="29"/>
  <c r="E123" i="49" s="1"/>
  <c r="AK115" i="29"/>
  <c r="E119" i="49" s="1"/>
  <c r="AK113" i="29"/>
  <c r="E117" i="49" s="1"/>
  <c r="AK111" i="29"/>
  <c r="AK109" i="29"/>
  <c r="AK107" i="29"/>
  <c r="E111" i="49" s="1"/>
  <c r="AK103" i="29"/>
  <c r="AK101" i="29"/>
  <c r="E105" i="49" s="1"/>
  <c r="AK97" i="29"/>
  <c r="AK95" i="29"/>
  <c r="AK93" i="29"/>
  <c r="AK91" i="29"/>
  <c r="E95" i="49" s="1"/>
  <c r="AK89" i="29"/>
  <c r="E93" i="49" s="1"/>
  <c r="AK85" i="29"/>
  <c r="E89" i="49" s="1"/>
  <c r="AK83" i="29"/>
  <c r="E87" i="49" s="1"/>
  <c r="AK79" i="29"/>
  <c r="E83" i="49" s="1"/>
  <c r="AK77" i="29"/>
  <c r="E81" i="49" s="1"/>
  <c r="AK71" i="29"/>
  <c r="E75" i="49" s="1"/>
  <c r="AK69" i="29"/>
  <c r="E73" i="49" s="1"/>
  <c r="AK141" i="29"/>
  <c r="E145" i="49" s="1"/>
  <c r="AK124" i="29"/>
  <c r="AK118" i="29"/>
  <c r="AK112" i="29"/>
  <c r="AK108" i="29"/>
  <c r="AK102" i="29"/>
  <c r="E106" i="49" s="1"/>
  <c r="AK96" i="29"/>
  <c r="E100" i="49" s="1"/>
  <c r="AK92" i="29"/>
  <c r="AK86" i="29"/>
  <c r="AK80" i="29"/>
  <c r="E84" i="49" s="1"/>
  <c r="AK72" i="29"/>
  <c r="E76" i="49" s="1"/>
  <c r="AK68" i="29"/>
  <c r="AK66" i="29"/>
  <c r="AK62" i="29"/>
  <c r="AK60" i="29"/>
  <c r="AK58" i="29"/>
  <c r="AK54" i="29"/>
  <c r="E58" i="49" s="1"/>
  <c r="E57" i="49" s="1"/>
  <c r="AK50" i="29"/>
  <c r="AK48" i="29"/>
  <c r="AK46" i="29"/>
  <c r="AK44" i="29"/>
  <c r="AK40" i="29"/>
  <c r="AK36" i="29"/>
  <c r="AK34" i="29"/>
  <c r="AK32" i="29"/>
  <c r="AK28" i="29"/>
  <c r="AK24" i="29"/>
  <c r="AK22" i="29"/>
  <c r="AK20" i="29"/>
  <c r="AK18" i="29"/>
  <c r="AK16" i="29"/>
  <c r="AK12" i="29"/>
  <c r="AK10" i="29"/>
  <c r="E14" i="49" s="1"/>
  <c r="AK8" i="29"/>
  <c r="AK6" i="29"/>
  <c r="AK145" i="29"/>
  <c r="AK135" i="29"/>
  <c r="E139" i="49" s="1"/>
  <c r="AK132" i="29"/>
  <c r="E136" i="49" s="1"/>
  <c r="AK122" i="29"/>
  <c r="AK114" i="29"/>
  <c r="AK110" i="29"/>
  <c r="AK106" i="29"/>
  <c r="AK94" i="29"/>
  <c r="E98" i="49" s="1"/>
  <c r="AK84" i="29"/>
  <c r="AK70" i="29"/>
  <c r="E74" i="49" s="1"/>
  <c r="AK65" i="29"/>
  <c r="E69" i="49" s="1"/>
  <c r="AK59" i="29"/>
  <c r="E63" i="49" s="1"/>
  <c r="AK51" i="29"/>
  <c r="E55" i="49" s="1"/>
  <c r="AK47" i="29"/>
  <c r="AK41" i="29"/>
  <c r="AK35" i="29"/>
  <c r="E39" i="49" s="1"/>
  <c r="AK29" i="29"/>
  <c r="AK23" i="29"/>
  <c r="E27" i="49" s="1"/>
  <c r="AK19" i="29"/>
  <c r="AK13" i="29"/>
  <c r="AK9" i="29"/>
  <c r="AK100" i="29"/>
  <c r="AK90" i="29"/>
  <c r="E94" i="49" s="1"/>
  <c r="AK78" i="29"/>
  <c r="AK67" i="29"/>
  <c r="E71" i="49" s="1"/>
  <c r="AK61" i="29"/>
  <c r="AK57" i="29"/>
  <c r="E61" i="49" s="1"/>
  <c r="AK49" i="29"/>
  <c r="E53" i="49" s="1"/>
  <c r="AK45" i="29"/>
  <c r="E49" i="49" s="1"/>
  <c r="AK37" i="29"/>
  <c r="AK33" i="29"/>
  <c r="E37" i="49" s="1"/>
  <c r="AK25" i="29"/>
  <c r="AK21" i="29"/>
  <c r="AK17" i="29"/>
  <c r="AK11" i="29"/>
  <c r="E15" i="49" s="1"/>
  <c r="AK7" i="29"/>
  <c r="E11" i="49" s="1"/>
  <c r="AM154" i="29"/>
  <c r="AM146" i="29"/>
  <c r="AM144" i="29"/>
  <c r="AM142" i="29"/>
  <c r="AM138" i="29"/>
  <c r="AM136" i="29"/>
  <c r="AM133" i="29"/>
  <c r="AM129" i="29"/>
  <c r="AM128" i="29" s="1"/>
  <c r="AM125" i="29"/>
  <c r="AM123" i="29"/>
  <c r="AM155" i="29"/>
  <c r="AM145" i="29"/>
  <c r="AM141" i="29"/>
  <c r="AM135" i="29"/>
  <c r="AM132" i="29"/>
  <c r="AM124" i="29"/>
  <c r="AM119" i="29"/>
  <c r="AM115" i="29"/>
  <c r="AM113" i="29"/>
  <c r="AM111" i="29"/>
  <c r="AM109" i="29"/>
  <c r="AM107" i="29"/>
  <c r="AM103" i="29"/>
  <c r="AM101" i="29"/>
  <c r="AM97" i="29"/>
  <c r="AM95" i="29"/>
  <c r="AM93" i="29"/>
  <c r="AM91" i="29"/>
  <c r="AM89" i="29"/>
  <c r="AM85" i="29"/>
  <c r="AM83" i="29"/>
  <c r="AM79" i="29"/>
  <c r="AM77" i="29"/>
  <c r="AM71" i="29"/>
  <c r="AM69" i="29"/>
  <c r="AM148" i="29"/>
  <c r="AM143" i="29"/>
  <c r="AM126" i="29"/>
  <c r="AM122" i="29"/>
  <c r="AM114" i="29"/>
  <c r="AM110" i="29"/>
  <c r="AM106" i="29"/>
  <c r="AM100" i="29"/>
  <c r="AM94" i="29"/>
  <c r="AM90" i="29"/>
  <c r="AM84" i="29"/>
  <c r="AM78" i="29"/>
  <c r="AM70" i="29"/>
  <c r="AM68" i="29"/>
  <c r="AM66" i="29"/>
  <c r="AM62" i="29"/>
  <c r="AM60" i="29"/>
  <c r="AM58" i="29"/>
  <c r="AM54" i="29"/>
  <c r="AM53" i="29" s="1"/>
  <c r="AM50" i="29"/>
  <c r="AM48" i="29"/>
  <c r="AM46" i="29"/>
  <c r="AM44" i="29"/>
  <c r="AM40" i="29"/>
  <c r="AM36" i="29"/>
  <c r="AM34" i="29"/>
  <c r="AM32" i="29"/>
  <c r="AM28" i="29"/>
  <c r="AM24" i="29"/>
  <c r="AM22" i="29"/>
  <c r="AM20" i="29"/>
  <c r="AM18" i="29"/>
  <c r="AM16" i="29"/>
  <c r="AM12" i="29"/>
  <c r="AM10" i="29"/>
  <c r="AM8" i="29"/>
  <c r="AM6" i="29"/>
  <c r="AM147" i="29"/>
  <c r="AM137" i="29"/>
  <c r="AM134" i="29"/>
  <c r="AM118" i="29"/>
  <c r="AM112" i="29"/>
  <c r="AM108" i="29"/>
  <c r="AM96" i="29"/>
  <c r="AM86" i="29"/>
  <c r="AM72" i="29"/>
  <c r="AM67" i="29"/>
  <c r="AM61" i="29"/>
  <c r="AM57" i="29"/>
  <c r="AM49" i="29"/>
  <c r="AM45" i="29"/>
  <c r="AM37" i="29"/>
  <c r="AM33" i="29"/>
  <c r="AM25" i="29"/>
  <c r="AM21" i="29"/>
  <c r="AM17" i="29"/>
  <c r="AM11" i="29"/>
  <c r="AM7" i="29"/>
  <c r="AM102" i="29"/>
  <c r="AM92" i="29"/>
  <c r="AM80" i="29"/>
  <c r="AM65" i="29"/>
  <c r="AM59" i="29"/>
  <c r="AM51" i="29"/>
  <c r="AM47" i="29"/>
  <c r="AM41" i="29"/>
  <c r="AM35" i="29"/>
  <c r="AM29" i="29"/>
  <c r="AM23" i="29"/>
  <c r="AM19" i="29"/>
  <c r="AM13" i="29"/>
  <c r="AM9" i="29"/>
  <c r="AO154" i="29"/>
  <c r="AO155" i="29"/>
  <c r="AO148" i="29"/>
  <c r="AO146" i="29"/>
  <c r="AO144" i="29"/>
  <c r="AO142" i="29"/>
  <c r="AO138" i="29"/>
  <c r="AO136" i="29"/>
  <c r="AO133" i="29"/>
  <c r="AO129" i="29"/>
  <c r="AO128" i="29" s="1"/>
  <c r="AO125" i="29"/>
  <c r="AO123" i="29"/>
  <c r="AO147" i="29"/>
  <c r="AO143" i="29"/>
  <c r="AO137" i="29"/>
  <c r="AO134" i="29"/>
  <c r="AO126" i="29"/>
  <c r="AO119" i="29"/>
  <c r="AO115" i="29"/>
  <c r="AO113" i="29"/>
  <c r="AO111" i="29"/>
  <c r="AO109" i="29"/>
  <c r="AO107" i="29"/>
  <c r="AO103" i="29"/>
  <c r="AO101" i="29"/>
  <c r="AO97" i="29"/>
  <c r="AO95" i="29"/>
  <c r="AO93" i="29"/>
  <c r="AO91" i="29"/>
  <c r="AO89" i="29"/>
  <c r="AO85" i="29"/>
  <c r="AO83" i="29"/>
  <c r="AO79" i="29"/>
  <c r="AO77" i="29"/>
  <c r="AO71" i="29"/>
  <c r="AO69" i="29"/>
  <c r="AO145" i="29"/>
  <c r="AO135" i="29"/>
  <c r="AO132" i="29"/>
  <c r="AO118" i="29"/>
  <c r="AO117" i="29" s="1"/>
  <c r="AO112" i="29"/>
  <c r="AO108" i="29"/>
  <c r="AO102" i="29"/>
  <c r="AO96" i="29"/>
  <c r="AO92" i="29"/>
  <c r="AO86" i="29"/>
  <c r="AO80" i="29"/>
  <c r="AO72" i="29"/>
  <c r="AO68" i="29"/>
  <c r="AO66" i="29"/>
  <c r="AO62" i="29"/>
  <c r="AO60" i="29"/>
  <c r="AO58" i="29"/>
  <c r="AO54" i="29"/>
  <c r="AO53" i="29" s="1"/>
  <c r="AO50" i="29"/>
  <c r="AO48" i="29"/>
  <c r="AO46" i="29"/>
  <c r="AO44" i="29"/>
  <c r="AO40" i="29"/>
  <c r="AO36" i="29"/>
  <c r="AO34" i="29"/>
  <c r="AO32" i="29"/>
  <c r="AO28" i="29"/>
  <c r="AO24" i="29"/>
  <c r="AO22" i="29"/>
  <c r="AO20" i="29"/>
  <c r="AO18" i="29"/>
  <c r="AO16" i="29"/>
  <c r="AO12" i="29"/>
  <c r="AO10" i="29"/>
  <c r="AO8" i="29"/>
  <c r="AO6" i="29"/>
  <c r="AO141" i="29"/>
  <c r="AO124" i="29"/>
  <c r="AO122" i="29"/>
  <c r="AO114" i="29"/>
  <c r="AO110" i="29"/>
  <c r="AO106" i="29"/>
  <c r="AO100" i="29"/>
  <c r="AO90" i="29"/>
  <c r="AO78" i="29"/>
  <c r="AO65" i="29"/>
  <c r="AO59" i="29"/>
  <c r="AO51" i="29"/>
  <c r="AO47" i="29"/>
  <c r="AO41" i="29"/>
  <c r="AO35" i="29"/>
  <c r="AO29" i="29"/>
  <c r="AO23" i="29"/>
  <c r="AO19" i="29"/>
  <c r="AO13" i="29"/>
  <c r="AO9" i="29"/>
  <c r="AO94" i="29"/>
  <c r="AO84" i="29"/>
  <c r="AO70" i="29"/>
  <c r="AO67" i="29"/>
  <c r="AO61" i="29"/>
  <c r="AO57" i="29"/>
  <c r="AO49" i="29"/>
  <c r="AO45" i="29"/>
  <c r="AO37" i="29"/>
  <c r="AO33" i="29"/>
  <c r="AO25" i="29"/>
  <c r="AO21" i="29"/>
  <c r="AO17" i="29"/>
  <c r="AO11" i="29"/>
  <c r="AO7" i="29"/>
  <c r="AQ154" i="29"/>
  <c r="AQ148" i="29"/>
  <c r="AQ146" i="29"/>
  <c r="AQ144" i="29"/>
  <c r="AQ142" i="29"/>
  <c r="AQ138" i="29"/>
  <c r="AQ136" i="29"/>
  <c r="AQ133" i="29"/>
  <c r="AQ129" i="29"/>
  <c r="AQ128" i="29" s="1"/>
  <c r="AQ125" i="29"/>
  <c r="AQ123" i="29"/>
  <c r="AQ145" i="29"/>
  <c r="AQ141" i="29"/>
  <c r="AQ135" i="29"/>
  <c r="AQ132" i="29"/>
  <c r="AQ124" i="29"/>
  <c r="AQ119" i="29"/>
  <c r="AQ115" i="29"/>
  <c r="AQ113" i="29"/>
  <c r="AQ111" i="29"/>
  <c r="AQ109" i="29"/>
  <c r="AQ107" i="29"/>
  <c r="AQ103" i="29"/>
  <c r="AQ101" i="29"/>
  <c r="AQ97" i="29"/>
  <c r="AQ95" i="29"/>
  <c r="AQ93" i="29"/>
  <c r="AQ91" i="29"/>
  <c r="AQ89" i="29"/>
  <c r="AQ85" i="29"/>
  <c r="AQ83" i="29"/>
  <c r="AQ79" i="29"/>
  <c r="AQ77" i="29"/>
  <c r="AQ71" i="29"/>
  <c r="AQ69" i="29"/>
  <c r="AQ155" i="29"/>
  <c r="AQ147" i="29"/>
  <c r="AQ137" i="29"/>
  <c r="AQ134" i="29"/>
  <c r="AQ122" i="29"/>
  <c r="AQ114" i="29"/>
  <c r="AQ110" i="29"/>
  <c r="AQ106" i="29"/>
  <c r="AQ100" i="29"/>
  <c r="AQ94" i="29"/>
  <c r="AQ90" i="29"/>
  <c r="AQ84" i="29"/>
  <c r="AQ78" i="29"/>
  <c r="AQ70" i="29"/>
  <c r="AQ68" i="29"/>
  <c r="AQ66" i="29"/>
  <c r="AQ62" i="29"/>
  <c r="AQ60" i="29"/>
  <c r="AQ58" i="29"/>
  <c r="AQ54" i="29"/>
  <c r="AQ53" i="29" s="1"/>
  <c r="AQ50" i="29"/>
  <c r="AQ48" i="29"/>
  <c r="AQ46" i="29"/>
  <c r="AQ44" i="29"/>
  <c r="AQ40" i="29"/>
  <c r="AQ36" i="29"/>
  <c r="AQ34" i="29"/>
  <c r="AQ32" i="29"/>
  <c r="AQ28" i="29"/>
  <c r="AQ24" i="29"/>
  <c r="AQ22" i="29"/>
  <c r="AQ20" i="29"/>
  <c r="AQ18" i="29"/>
  <c r="AQ16" i="29"/>
  <c r="AQ12" i="29"/>
  <c r="AQ10" i="29"/>
  <c r="AQ8" i="29"/>
  <c r="AQ6" i="29"/>
  <c r="AQ143" i="29"/>
  <c r="AQ126" i="29"/>
  <c r="AQ118" i="29"/>
  <c r="AQ112" i="29"/>
  <c r="AQ108" i="29"/>
  <c r="AQ102" i="29"/>
  <c r="AQ92" i="29"/>
  <c r="AQ80" i="29"/>
  <c r="AQ67" i="29"/>
  <c r="AQ61" i="29"/>
  <c r="AQ57" i="29"/>
  <c r="AQ49" i="29"/>
  <c r="AQ45" i="29"/>
  <c r="AQ37" i="29"/>
  <c r="AQ33" i="29"/>
  <c r="AQ25" i="29"/>
  <c r="AQ21" i="29"/>
  <c r="AQ17" i="29"/>
  <c r="AQ11" i="29"/>
  <c r="AQ7" i="29"/>
  <c r="AQ96" i="29"/>
  <c r="AQ86" i="29"/>
  <c r="AQ72" i="29"/>
  <c r="AQ65" i="29"/>
  <c r="AQ59" i="29"/>
  <c r="AQ51" i="29"/>
  <c r="AQ47" i="29"/>
  <c r="AQ41" i="29"/>
  <c r="AQ35" i="29"/>
  <c r="AQ29" i="29"/>
  <c r="AQ23" i="29"/>
  <c r="AQ19" i="29"/>
  <c r="AQ13" i="29"/>
  <c r="AQ9" i="29"/>
  <c r="AS154" i="29"/>
  <c r="AS155" i="29"/>
  <c r="AS148" i="29"/>
  <c r="AS146" i="29"/>
  <c r="AS144" i="29"/>
  <c r="AS142" i="29"/>
  <c r="AS138" i="29"/>
  <c r="AS136" i="29"/>
  <c r="AS133" i="29"/>
  <c r="AS129" i="29"/>
  <c r="AS128" i="29" s="1"/>
  <c r="AS125" i="29"/>
  <c r="AS123" i="29"/>
  <c r="AS147" i="29"/>
  <c r="AS143" i="29"/>
  <c r="AS137" i="29"/>
  <c r="AS134" i="29"/>
  <c r="AS126" i="29"/>
  <c r="AS119" i="29"/>
  <c r="AS115" i="29"/>
  <c r="AS113" i="29"/>
  <c r="AS111" i="29"/>
  <c r="AS109" i="29"/>
  <c r="AS107" i="29"/>
  <c r="AS103" i="29"/>
  <c r="AS101" i="29"/>
  <c r="AS97" i="29"/>
  <c r="AS95" i="29"/>
  <c r="AS93" i="29"/>
  <c r="AS91" i="29"/>
  <c r="AS89" i="29"/>
  <c r="AS85" i="29"/>
  <c r="AS83" i="29"/>
  <c r="AS79" i="29"/>
  <c r="AS77" i="29"/>
  <c r="AS71" i="29"/>
  <c r="AS69" i="29"/>
  <c r="AS141" i="29"/>
  <c r="AS124" i="29"/>
  <c r="AS118" i="29"/>
  <c r="AS112" i="29"/>
  <c r="AS108" i="29"/>
  <c r="AS102" i="29"/>
  <c r="AS96" i="29"/>
  <c r="AS92" i="29"/>
  <c r="AS86" i="29"/>
  <c r="AS80" i="29"/>
  <c r="AS72" i="29"/>
  <c r="AS68" i="29"/>
  <c r="AS66" i="29"/>
  <c r="AS62" i="29"/>
  <c r="AS60" i="29"/>
  <c r="AS58" i="29"/>
  <c r="AS54" i="29"/>
  <c r="AS53" i="29" s="1"/>
  <c r="AS50" i="29"/>
  <c r="AS48" i="29"/>
  <c r="AS46" i="29"/>
  <c r="AS44" i="29"/>
  <c r="AS40" i="29"/>
  <c r="AS36" i="29"/>
  <c r="AS34" i="29"/>
  <c r="AS32" i="29"/>
  <c r="AS28" i="29"/>
  <c r="AS24" i="29"/>
  <c r="AS22" i="29"/>
  <c r="AS20" i="29"/>
  <c r="AS18" i="29"/>
  <c r="AS16" i="29"/>
  <c r="AS12" i="29"/>
  <c r="AS10" i="29"/>
  <c r="AS8" i="29"/>
  <c r="AS6" i="29"/>
  <c r="AS145" i="29"/>
  <c r="AS135" i="29"/>
  <c r="AS132" i="29"/>
  <c r="AS122" i="29"/>
  <c r="AS114" i="29"/>
  <c r="AS110" i="29"/>
  <c r="AS106" i="29"/>
  <c r="AS94" i="29"/>
  <c r="AS84" i="29"/>
  <c r="AS70" i="29"/>
  <c r="AS65" i="29"/>
  <c r="AS59" i="29"/>
  <c r="AS51" i="29"/>
  <c r="AS47" i="29"/>
  <c r="AS41" i="29"/>
  <c r="AS35" i="29"/>
  <c r="AS29" i="29"/>
  <c r="AS23" i="29"/>
  <c r="AS19" i="29"/>
  <c r="AS13" i="29"/>
  <c r="AS9" i="29"/>
  <c r="AS100" i="29"/>
  <c r="AS90" i="29"/>
  <c r="AS78" i="29"/>
  <c r="AS67" i="29"/>
  <c r="AS61" i="29"/>
  <c r="AS57" i="29"/>
  <c r="AS49" i="29"/>
  <c r="AS45" i="29"/>
  <c r="AS37" i="29"/>
  <c r="AS33" i="29"/>
  <c r="AS25" i="29"/>
  <c r="AS21" i="29"/>
  <c r="AS17" i="29"/>
  <c r="AS11" i="29"/>
  <c r="AS7" i="29"/>
  <c r="AU154" i="29"/>
  <c r="AU148" i="29"/>
  <c r="AU146" i="29"/>
  <c r="AU144" i="29"/>
  <c r="AU142" i="29"/>
  <c r="AU138" i="29"/>
  <c r="AU136" i="29"/>
  <c r="AU133" i="29"/>
  <c r="AU129" i="29"/>
  <c r="AU128" i="29" s="1"/>
  <c r="AU125" i="29"/>
  <c r="AU123" i="29"/>
  <c r="AU155" i="29"/>
  <c r="AU145" i="29"/>
  <c r="AU141" i="29"/>
  <c r="AU135" i="29"/>
  <c r="AU132" i="29"/>
  <c r="AU124" i="29"/>
  <c r="AU119" i="29"/>
  <c r="AU115" i="29"/>
  <c r="AU113" i="29"/>
  <c r="AU111" i="29"/>
  <c r="AU109" i="29"/>
  <c r="AU107" i="29"/>
  <c r="AU103" i="29"/>
  <c r="AU101" i="29"/>
  <c r="AU97" i="29"/>
  <c r="AU95" i="29"/>
  <c r="AU93" i="29"/>
  <c r="AU91" i="29"/>
  <c r="AU89" i="29"/>
  <c r="AU85" i="29"/>
  <c r="AU83" i="29"/>
  <c r="AU79" i="29"/>
  <c r="AU77" i="29"/>
  <c r="AU71" i="29"/>
  <c r="AU69" i="29"/>
  <c r="AU143" i="29"/>
  <c r="AU126" i="29"/>
  <c r="AU122" i="29"/>
  <c r="AU114" i="29"/>
  <c r="AU110" i="29"/>
  <c r="AU106" i="29"/>
  <c r="AU100" i="29"/>
  <c r="AU94" i="29"/>
  <c r="AU90" i="29"/>
  <c r="AU84" i="29"/>
  <c r="AU78" i="29"/>
  <c r="AU70" i="29"/>
  <c r="AU68" i="29"/>
  <c r="AU66" i="29"/>
  <c r="AU62" i="29"/>
  <c r="AU60" i="29"/>
  <c r="AU58" i="29"/>
  <c r="AU54" i="29"/>
  <c r="AU53" i="29" s="1"/>
  <c r="AU50" i="29"/>
  <c r="AU48" i="29"/>
  <c r="AU46" i="29"/>
  <c r="AU44" i="29"/>
  <c r="AU40" i="29"/>
  <c r="AU36" i="29"/>
  <c r="AU34" i="29"/>
  <c r="AU32" i="29"/>
  <c r="AU28" i="29"/>
  <c r="AU24" i="29"/>
  <c r="AU22" i="29"/>
  <c r="AU20" i="29"/>
  <c r="AU18" i="29"/>
  <c r="AU16" i="29"/>
  <c r="AU12" i="29"/>
  <c r="AU10" i="29"/>
  <c r="AU8" i="29"/>
  <c r="AU6" i="29"/>
  <c r="AU147" i="29"/>
  <c r="AU137" i="29"/>
  <c r="AU134" i="29"/>
  <c r="AU118" i="29"/>
  <c r="AU117" i="29" s="1"/>
  <c r="AU112" i="29"/>
  <c r="AU108" i="29"/>
  <c r="AU96" i="29"/>
  <c r="AU86" i="29"/>
  <c r="AU72" i="29"/>
  <c r="AU67" i="29"/>
  <c r="AU61" i="29"/>
  <c r="AU57" i="29"/>
  <c r="AU49" i="29"/>
  <c r="AU45" i="29"/>
  <c r="AU37" i="29"/>
  <c r="AU33" i="29"/>
  <c r="AU25" i="29"/>
  <c r="AU21" i="29"/>
  <c r="AU17" i="29"/>
  <c r="AU11" i="29"/>
  <c r="AU7" i="29"/>
  <c r="AU102" i="29"/>
  <c r="AU92" i="29"/>
  <c r="AU80" i="29"/>
  <c r="AU65" i="29"/>
  <c r="AU59" i="29"/>
  <c r="AU51" i="29"/>
  <c r="AU47" i="29"/>
  <c r="AU41" i="29"/>
  <c r="AU35" i="29"/>
  <c r="AU29" i="29"/>
  <c r="AU23" i="29"/>
  <c r="AU19" i="29"/>
  <c r="AU13" i="29"/>
  <c r="AU9" i="29"/>
  <c r="AW154" i="29"/>
  <c r="AW155" i="29"/>
  <c r="AW148" i="29"/>
  <c r="AW146" i="29"/>
  <c r="AW144" i="29"/>
  <c r="AW142" i="29"/>
  <c r="AW138" i="29"/>
  <c r="AW136" i="29"/>
  <c r="AW133" i="29"/>
  <c r="AW129" i="29"/>
  <c r="AW128" i="29" s="1"/>
  <c r="AW125" i="29"/>
  <c r="AW123" i="29"/>
  <c r="AW147" i="29"/>
  <c r="AW143" i="29"/>
  <c r="AW137" i="29"/>
  <c r="AW134" i="29"/>
  <c r="AW126" i="29"/>
  <c r="AW119" i="29"/>
  <c r="AW115" i="29"/>
  <c r="AW113" i="29"/>
  <c r="AW111" i="29"/>
  <c r="AW109" i="29"/>
  <c r="AW107" i="29"/>
  <c r="AW103" i="29"/>
  <c r="AW101" i="29"/>
  <c r="AW97" i="29"/>
  <c r="AW95" i="29"/>
  <c r="AW93" i="29"/>
  <c r="AW91" i="29"/>
  <c r="AW89" i="29"/>
  <c r="AW85" i="29"/>
  <c r="AW83" i="29"/>
  <c r="AW79" i="29"/>
  <c r="AW77" i="29"/>
  <c r="AW71" i="29"/>
  <c r="AW69" i="29"/>
  <c r="AW145" i="29"/>
  <c r="AW135" i="29"/>
  <c r="AW132" i="29"/>
  <c r="AW118" i="29"/>
  <c r="AW112" i="29"/>
  <c r="AW108" i="29"/>
  <c r="AW102" i="29"/>
  <c r="AW96" i="29"/>
  <c r="AW92" i="29"/>
  <c r="AW86" i="29"/>
  <c r="AW80" i="29"/>
  <c r="AW72" i="29"/>
  <c r="AW68" i="29"/>
  <c r="AW66" i="29"/>
  <c r="AW62" i="29"/>
  <c r="AW60" i="29"/>
  <c r="AW58" i="29"/>
  <c r="AW54" i="29"/>
  <c r="AW53" i="29" s="1"/>
  <c r="AW50" i="29"/>
  <c r="AW48" i="29"/>
  <c r="AW46" i="29"/>
  <c r="AW44" i="29"/>
  <c r="AW40" i="29"/>
  <c r="AW36" i="29"/>
  <c r="AW34" i="29"/>
  <c r="AW32" i="29"/>
  <c r="AW28" i="29"/>
  <c r="AW24" i="29"/>
  <c r="AW22" i="29"/>
  <c r="AW20" i="29"/>
  <c r="AW18" i="29"/>
  <c r="AW16" i="29"/>
  <c r="AW12" i="29"/>
  <c r="AW10" i="29"/>
  <c r="AW8" i="29"/>
  <c r="AW6" i="29"/>
  <c r="AW141" i="29"/>
  <c r="AW124" i="29"/>
  <c r="AW122" i="29"/>
  <c r="AW114" i="29"/>
  <c r="AW110" i="29"/>
  <c r="AW106" i="29"/>
  <c r="AW100" i="29"/>
  <c r="AW90" i="29"/>
  <c r="AW78" i="29"/>
  <c r="AW65" i="29"/>
  <c r="AW59" i="29"/>
  <c r="AW51" i="29"/>
  <c r="AW47" i="29"/>
  <c r="AW41" i="29"/>
  <c r="AW35" i="29"/>
  <c r="AW29" i="29"/>
  <c r="AW23" i="29"/>
  <c r="AW19" i="29"/>
  <c r="AW13" i="29"/>
  <c r="AW9" i="29"/>
  <c r="AW94" i="29"/>
  <c r="AW84" i="29"/>
  <c r="AW70" i="29"/>
  <c r="AW67" i="29"/>
  <c r="AW61" i="29"/>
  <c r="AW57" i="29"/>
  <c r="AW49" i="29"/>
  <c r="AW45" i="29"/>
  <c r="AW37" i="29"/>
  <c r="AW33" i="29"/>
  <c r="AW25" i="29"/>
  <c r="AW21" i="29"/>
  <c r="AW17" i="29"/>
  <c r="AW11" i="29"/>
  <c r="AW7" i="29"/>
  <c r="AY154" i="29"/>
  <c r="AY148" i="29"/>
  <c r="AY146" i="29"/>
  <c r="AY144" i="29"/>
  <c r="AY142" i="29"/>
  <c r="AY138" i="29"/>
  <c r="AY136" i="29"/>
  <c r="AY133" i="29"/>
  <c r="AY129" i="29"/>
  <c r="AY128" i="29" s="1"/>
  <c r="AY125" i="29"/>
  <c r="AY123" i="29"/>
  <c r="AY145" i="29"/>
  <c r="AY141" i="29"/>
  <c r="AY135" i="29"/>
  <c r="AY132" i="29"/>
  <c r="AY124" i="29"/>
  <c r="AY119" i="29"/>
  <c r="AY115" i="29"/>
  <c r="AY113" i="29"/>
  <c r="AY111" i="29"/>
  <c r="AY109" i="29"/>
  <c r="AY107" i="29"/>
  <c r="AY103" i="29"/>
  <c r="AY101" i="29"/>
  <c r="AY97" i="29"/>
  <c r="AY95" i="29"/>
  <c r="AY93" i="29"/>
  <c r="AY91" i="29"/>
  <c r="AY89" i="29"/>
  <c r="AY85" i="29"/>
  <c r="AY83" i="29"/>
  <c r="AY79" i="29"/>
  <c r="AY77" i="29"/>
  <c r="AY71" i="29"/>
  <c r="AY69" i="29"/>
  <c r="AY147" i="29"/>
  <c r="AY137" i="29"/>
  <c r="AY134" i="29"/>
  <c r="AY122" i="29"/>
  <c r="AY114" i="29"/>
  <c r="AY110" i="29"/>
  <c r="AY106" i="29"/>
  <c r="AY100" i="29"/>
  <c r="AY94" i="29"/>
  <c r="AY90" i="29"/>
  <c r="AY84" i="29"/>
  <c r="AY78" i="29"/>
  <c r="AY70" i="29"/>
  <c r="AY68" i="29"/>
  <c r="AY66" i="29"/>
  <c r="AY62" i="29"/>
  <c r="AY60" i="29"/>
  <c r="AY58" i="29"/>
  <c r="AY54" i="29"/>
  <c r="AY53" i="29" s="1"/>
  <c r="AY50" i="29"/>
  <c r="AY48" i="29"/>
  <c r="AY46" i="29"/>
  <c r="AY44" i="29"/>
  <c r="AY40" i="29"/>
  <c r="AY36" i="29"/>
  <c r="AY34" i="29"/>
  <c r="AY32" i="29"/>
  <c r="AY28" i="29"/>
  <c r="AY24" i="29"/>
  <c r="AY22" i="29"/>
  <c r="AY20" i="29"/>
  <c r="AY18" i="29"/>
  <c r="AY16" i="29"/>
  <c r="AY12" i="29"/>
  <c r="AY10" i="29"/>
  <c r="AY8" i="29"/>
  <c r="AY6" i="29"/>
  <c r="AY155" i="29"/>
  <c r="AY143" i="29"/>
  <c r="AY126" i="29"/>
  <c r="AY118" i="29"/>
  <c r="AY112" i="29"/>
  <c r="AY108" i="29"/>
  <c r="AY102" i="29"/>
  <c r="AY92" i="29"/>
  <c r="AY80" i="29"/>
  <c r="AY67" i="29"/>
  <c r="AY61" i="29"/>
  <c r="AY57" i="29"/>
  <c r="AY49" i="29"/>
  <c r="AY45" i="29"/>
  <c r="AY37" i="29"/>
  <c r="AY33" i="29"/>
  <c r="AY25" i="29"/>
  <c r="AY21" i="29"/>
  <c r="AY17" i="29"/>
  <c r="AY11" i="29"/>
  <c r="AY7" i="29"/>
  <c r="AY96" i="29"/>
  <c r="AY86" i="29"/>
  <c r="AY72" i="29"/>
  <c r="AY65" i="29"/>
  <c r="AY59" i="29"/>
  <c r="AY51" i="29"/>
  <c r="AY47" i="29"/>
  <c r="AY41" i="29"/>
  <c r="AY35" i="29"/>
  <c r="AY29" i="29"/>
  <c r="AY23" i="29"/>
  <c r="AY19" i="29"/>
  <c r="AY13" i="29"/>
  <c r="AY9" i="29"/>
  <c r="BA154" i="29"/>
  <c r="BA155" i="29"/>
  <c r="BA148" i="29"/>
  <c r="BA146" i="29"/>
  <c r="BA144" i="29"/>
  <c r="BA142" i="29"/>
  <c r="BA138" i="29"/>
  <c r="BA136" i="29"/>
  <c r="BA133" i="29"/>
  <c r="BA129" i="29"/>
  <c r="BA128" i="29" s="1"/>
  <c r="BA125" i="29"/>
  <c r="BA123" i="29"/>
  <c r="BA147" i="29"/>
  <c r="BA143" i="29"/>
  <c r="BA137" i="29"/>
  <c r="BA134" i="29"/>
  <c r="BA126" i="29"/>
  <c r="BA119" i="29"/>
  <c r="BA115" i="29"/>
  <c r="BA113" i="29"/>
  <c r="BA111" i="29"/>
  <c r="BA109" i="29"/>
  <c r="BA107" i="29"/>
  <c r="BA103" i="29"/>
  <c r="BA101" i="29"/>
  <c r="BA97" i="29"/>
  <c r="BA95" i="29"/>
  <c r="BA93" i="29"/>
  <c r="BA91" i="29"/>
  <c r="BA89" i="29"/>
  <c r="BA85" i="29"/>
  <c r="BA83" i="29"/>
  <c r="BA79" i="29"/>
  <c r="BA77" i="29"/>
  <c r="BA71" i="29"/>
  <c r="BA69" i="29"/>
  <c r="BA141" i="29"/>
  <c r="BA124" i="29"/>
  <c r="BA118" i="29"/>
  <c r="BA112" i="29"/>
  <c r="BA108" i="29"/>
  <c r="BA102" i="29"/>
  <c r="BA96" i="29"/>
  <c r="BA92" i="29"/>
  <c r="BA86" i="29"/>
  <c r="BA80" i="29"/>
  <c r="BA72" i="29"/>
  <c r="BA68" i="29"/>
  <c r="BA66" i="29"/>
  <c r="BA62" i="29"/>
  <c r="BA60" i="29"/>
  <c r="BA58" i="29"/>
  <c r="BA54" i="29"/>
  <c r="BA53" i="29" s="1"/>
  <c r="BA50" i="29"/>
  <c r="BA48" i="29"/>
  <c r="BA46" i="29"/>
  <c r="BA44" i="29"/>
  <c r="BA40" i="29"/>
  <c r="BA36" i="29"/>
  <c r="BA34" i="29"/>
  <c r="BA32" i="29"/>
  <c r="BA28" i="29"/>
  <c r="BA24" i="29"/>
  <c r="BA22" i="29"/>
  <c r="BA20" i="29"/>
  <c r="BA18" i="29"/>
  <c r="BA16" i="29"/>
  <c r="BA12" i="29"/>
  <c r="BA10" i="29"/>
  <c r="BA8" i="29"/>
  <c r="BA6" i="29"/>
  <c r="BA145" i="29"/>
  <c r="BA135" i="29"/>
  <c r="BA132" i="29"/>
  <c r="BA122" i="29"/>
  <c r="BA114" i="29"/>
  <c r="BA110" i="29"/>
  <c r="BA106" i="29"/>
  <c r="BA94" i="29"/>
  <c r="BA84" i="29"/>
  <c r="BA70" i="29"/>
  <c r="BA65" i="29"/>
  <c r="BA59" i="29"/>
  <c r="BA51" i="29"/>
  <c r="BA47" i="29"/>
  <c r="BA41" i="29"/>
  <c r="BA35" i="29"/>
  <c r="BA29" i="29"/>
  <c r="BA23" i="29"/>
  <c r="BA19" i="29"/>
  <c r="BA13" i="29"/>
  <c r="BA9" i="29"/>
  <c r="BA100" i="29"/>
  <c r="BA90" i="29"/>
  <c r="BA78" i="29"/>
  <c r="BA67" i="29"/>
  <c r="BA61" i="29"/>
  <c r="BA57" i="29"/>
  <c r="BA49" i="29"/>
  <c r="BA45" i="29"/>
  <c r="BA37" i="29"/>
  <c r="BA33" i="29"/>
  <c r="BA25" i="29"/>
  <c r="BA21" i="29"/>
  <c r="BA17" i="29"/>
  <c r="BA11" i="29"/>
  <c r="BA7" i="29"/>
  <c r="BC154" i="29"/>
  <c r="BC148" i="29"/>
  <c r="BC146" i="29"/>
  <c r="BC144" i="29"/>
  <c r="BC142" i="29"/>
  <c r="BC138" i="29"/>
  <c r="BC136" i="29"/>
  <c r="BC133" i="29"/>
  <c r="BC129" i="29"/>
  <c r="BC128" i="29" s="1"/>
  <c r="BC125" i="29"/>
  <c r="BC123" i="29"/>
  <c r="BC155" i="29"/>
  <c r="BC145" i="29"/>
  <c r="BC141" i="29"/>
  <c r="BC135" i="29"/>
  <c r="BC132" i="29"/>
  <c r="BC124" i="29"/>
  <c r="BC119" i="29"/>
  <c r="BC115" i="29"/>
  <c r="BC113" i="29"/>
  <c r="BC111" i="29"/>
  <c r="BC109" i="29"/>
  <c r="BC107" i="29"/>
  <c r="BC103" i="29"/>
  <c r="BC101" i="29"/>
  <c r="BC97" i="29"/>
  <c r="BC95" i="29"/>
  <c r="BC93" i="29"/>
  <c r="BC91" i="29"/>
  <c r="BC89" i="29"/>
  <c r="BC85" i="29"/>
  <c r="BC83" i="29"/>
  <c r="BC79" i="29"/>
  <c r="BC77" i="29"/>
  <c r="BC71" i="29"/>
  <c r="BC69" i="29"/>
  <c r="BC143" i="29"/>
  <c r="BC126" i="29"/>
  <c r="BC122" i="29"/>
  <c r="BC114" i="29"/>
  <c r="BC110" i="29"/>
  <c r="BC106" i="29"/>
  <c r="BC100" i="29"/>
  <c r="BC94" i="29"/>
  <c r="BC90" i="29"/>
  <c r="BC84" i="29"/>
  <c r="BC78" i="29"/>
  <c r="BC70" i="29"/>
  <c r="BC68" i="29"/>
  <c r="BC66" i="29"/>
  <c r="BC62" i="29"/>
  <c r="BC60" i="29"/>
  <c r="BC58" i="29"/>
  <c r="BC54" i="29"/>
  <c r="BC53" i="29" s="1"/>
  <c r="BC50" i="29"/>
  <c r="BC48" i="29"/>
  <c r="BC46" i="29"/>
  <c r="BC44" i="29"/>
  <c r="BC40" i="29"/>
  <c r="BC36" i="29"/>
  <c r="BC34" i="29"/>
  <c r="BC32" i="29"/>
  <c r="BC28" i="29"/>
  <c r="BC24" i="29"/>
  <c r="BC22" i="29"/>
  <c r="BC20" i="29"/>
  <c r="BC18" i="29"/>
  <c r="BC16" i="29"/>
  <c r="BC12" i="29"/>
  <c r="BC10" i="29"/>
  <c r="BC8" i="29"/>
  <c r="BC6" i="29"/>
  <c r="BC147" i="29"/>
  <c r="BC137" i="29"/>
  <c r="BC134" i="29"/>
  <c r="BC118" i="29"/>
  <c r="BC117" i="29" s="1"/>
  <c r="BC112" i="29"/>
  <c r="BC108" i="29"/>
  <c r="BC96" i="29"/>
  <c r="BC86" i="29"/>
  <c r="BC72" i="29"/>
  <c r="BC67" i="29"/>
  <c r="BC61" i="29"/>
  <c r="BC57" i="29"/>
  <c r="BC49" i="29"/>
  <c r="BC45" i="29"/>
  <c r="BC37" i="29"/>
  <c r="BC33" i="29"/>
  <c r="BC25" i="29"/>
  <c r="BC21" i="29"/>
  <c r="BC17" i="29"/>
  <c r="BC11" i="29"/>
  <c r="BC7" i="29"/>
  <c r="BC102" i="29"/>
  <c r="BC92" i="29"/>
  <c r="BC80" i="29"/>
  <c r="BC65" i="29"/>
  <c r="BC59" i="29"/>
  <c r="BC51" i="29"/>
  <c r="BC47" i="29"/>
  <c r="BC41" i="29"/>
  <c r="BC35" i="29"/>
  <c r="BC29" i="29"/>
  <c r="BC23" i="29"/>
  <c r="BC19" i="29"/>
  <c r="BC13" i="29"/>
  <c r="BC9" i="29"/>
  <c r="BE154" i="29"/>
  <c r="BE155" i="29"/>
  <c r="BE148" i="29"/>
  <c r="BE146" i="29"/>
  <c r="BE144" i="29"/>
  <c r="BE142" i="29"/>
  <c r="BE138" i="29"/>
  <c r="BE136" i="29"/>
  <c r="BE133" i="29"/>
  <c r="BE129" i="29"/>
  <c r="BE128" i="29" s="1"/>
  <c r="BE125" i="29"/>
  <c r="BE147" i="29"/>
  <c r="BE143" i="29"/>
  <c r="BE137" i="29"/>
  <c r="BE134" i="29"/>
  <c r="BE126" i="29"/>
  <c r="BE123" i="29"/>
  <c r="BE119" i="29"/>
  <c r="BE115" i="29"/>
  <c r="BE113" i="29"/>
  <c r="BE111" i="29"/>
  <c r="BE109" i="29"/>
  <c r="BE107" i="29"/>
  <c r="BE103" i="29"/>
  <c r="BE101" i="29"/>
  <c r="BE97" i="29"/>
  <c r="BE95" i="29"/>
  <c r="BE93" i="29"/>
  <c r="BE91" i="29"/>
  <c r="BE89" i="29"/>
  <c r="BE85" i="29"/>
  <c r="BE83" i="29"/>
  <c r="BE79" i="29"/>
  <c r="BE77" i="29"/>
  <c r="BE71" i="29"/>
  <c r="BE69" i="29"/>
  <c r="BE145" i="29"/>
  <c r="BE135" i="29"/>
  <c r="BE132" i="29"/>
  <c r="BE118" i="29"/>
  <c r="BE112" i="29"/>
  <c r="BE108" i="29"/>
  <c r="BE102" i="29"/>
  <c r="BE96" i="29"/>
  <c r="BE92" i="29"/>
  <c r="BE86" i="29"/>
  <c r="BE80" i="29"/>
  <c r="BE72" i="29"/>
  <c r="BE68" i="29"/>
  <c r="BE66" i="29"/>
  <c r="BE62" i="29"/>
  <c r="BE60" i="29"/>
  <c r="BE58" i="29"/>
  <c r="BE54" i="29"/>
  <c r="BE53" i="29" s="1"/>
  <c r="BE50" i="29"/>
  <c r="BE48" i="29"/>
  <c r="BE46" i="29"/>
  <c r="BE44" i="29"/>
  <c r="BE40" i="29"/>
  <c r="BE36" i="29"/>
  <c r="BE34" i="29"/>
  <c r="BE32" i="29"/>
  <c r="BE28" i="29"/>
  <c r="BE24" i="29"/>
  <c r="BE22" i="29"/>
  <c r="BE20" i="29"/>
  <c r="BE18" i="29"/>
  <c r="BE16" i="29"/>
  <c r="BE12" i="29"/>
  <c r="BE10" i="29"/>
  <c r="BE8" i="29"/>
  <c r="BE6" i="29"/>
  <c r="BE141" i="29"/>
  <c r="BE124" i="29"/>
  <c r="BE122" i="29"/>
  <c r="BE114" i="29"/>
  <c r="BE110" i="29"/>
  <c r="BE106" i="29"/>
  <c r="BE100" i="29"/>
  <c r="BE90" i="29"/>
  <c r="BE78" i="29"/>
  <c r="BE65" i="29"/>
  <c r="BE59" i="29"/>
  <c r="BE51" i="29"/>
  <c r="BE47" i="29"/>
  <c r="BE41" i="29"/>
  <c r="BE35" i="29"/>
  <c r="BE29" i="29"/>
  <c r="BE23" i="29"/>
  <c r="BE19" i="29"/>
  <c r="BE13" i="29"/>
  <c r="BE9" i="29"/>
  <c r="BE94" i="29"/>
  <c r="BE84" i="29"/>
  <c r="BE70" i="29"/>
  <c r="BE67" i="29"/>
  <c r="BE61" i="29"/>
  <c r="BE57" i="29"/>
  <c r="BE49" i="29"/>
  <c r="BE45" i="29"/>
  <c r="BE37" i="29"/>
  <c r="BE33" i="29"/>
  <c r="BE25" i="29"/>
  <c r="BE21" i="29"/>
  <c r="BE17" i="29"/>
  <c r="BE11" i="29"/>
  <c r="BE7" i="29"/>
  <c r="F155" i="29"/>
  <c r="F148" i="29"/>
  <c r="F147" i="29"/>
  <c r="F145" i="29"/>
  <c r="F143" i="29"/>
  <c r="F141" i="29"/>
  <c r="F137" i="29"/>
  <c r="F135" i="29"/>
  <c r="F134" i="29"/>
  <c r="F132" i="29"/>
  <c r="F126" i="29"/>
  <c r="F124" i="29"/>
  <c r="F144" i="29"/>
  <c r="F138" i="29"/>
  <c r="F129" i="29"/>
  <c r="F128" i="29" s="1"/>
  <c r="F123" i="29"/>
  <c r="F122" i="29"/>
  <c r="F118" i="29"/>
  <c r="F114" i="29"/>
  <c r="F112" i="29"/>
  <c r="F110" i="29"/>
  <c r="F108" i="29"/>
  <c r="F106" i="29"/>
  <c r="F102" i="29"/>
  <c r="F100" i="29"/>
  <c r="F96" i="29"/>
  <c r="F94" i="29"/>
  <c r="F92" i="29"/>
  <c r="F90" i="29"/>
  <c r="F86" i="29"/>
  <c r="F84" i="29"/>
  <c r="F80" i="29"/>
  <c r="F78" i="29"/>
  <c r="F72" i="29"/>
  <c r="F70" i="29"/>
  <c r="F68" i="29"/>
  <c r="F154" i="29"/>
  <c r="F146" i="29"/>
  <c r="F136" i="29"/>
  <c r="F133" i="29"/>
  <c r="F119" i="29"/>
  <c r="F113" i="29"/>
  <c r="F109" i="29"/>
  <c r="F103" i="29"/>
  <c r="F97" i="29"/>
  <c r="F93" i="29"/>
  <c r="F89" i="29"/>
  <c r="F83" i="29"/>
  <c r="F77" i="29"/>
  <c r="F69" i="29"/>
  <c r="F67" i="29"/>
  <c r="F65" i="29"/>
  <c r="F61" i="29"/>
  <c r="F59" i="29"/>
  <c r="F57" i="29"/>
  <c r="F51" i="29"/>
  <c r="F49" i="29"/>
  <c r="F47" i="29"/>
  <c r="F45" i="29"/>
  <c r="F41" i="29"/>
  <c r="F37" i="29"/>
  <c r="F35" i="29"/>
  <c r="F33" i="29"/>
  <c r="F29" i="29"/>
  <c r="F25" i="29"/>
  <c r="F23" i="29"/>
  <c r="F21" i="29"/>
  <c r="F19" i="29"/>
  <c r="F17" i="29"/>
  <c r="F13" i="29"/>
  <c r="F11" i="29"/>
  <c r="F9" i="29"/>
  <c r="F7" i="29"/>
  <c r="F142" i="29"/>
  <c r="F125" i="29"/>
  <c r="F115" i="29"/>
  <c r="F111" i="29"/>
  <c r="F107" i="29"/>
  <c r="F101" i="29"/>
  <c r="F91" i="29"/>
  <c r="F79" i="29"/>
  <c r="F66" i="29"/>
  <c r="F60" i="29"/>
  <c r="F54" i="29"/>
  <c r="F53" i="29" s="1"/>
  <c r="F48" i="29"/>
  <c r="F44" i="29"/>
  <c r="F36" i="29"/>
  <c r="F32" i="29"/>
  <c r="F24" i="29"/>
  <c r="F20" i="29"/>
  <c r="F16" i="29"/>
  <c r="F10" i="29"/>
  <c r="F6" i="29"/>
  <c r="F95" i="29"/>
  <c r="F85" i="29"/>
  <c r="F71" i="29"/>
  <c r="F62" i="29"/>
  <c r="F58" i="29"/>
  <c r="F50" i="29"/>
  <c r="F46" i="29"/>
  <c r="F40" i="29"/>
  <c r="F34" i="29"/>
  <c r="F28" i="29"/>
  <c r="F22" i="29"/>
  <c r="F18" i="29"/>
  <c r="F12" i="29"/>
  <c r="F8" i="29"/>
  <c r="H155" i="29"/>
  <c r="H148" i="29"/>
  <c r="H154" i="29"/>
  <c r="H147" i="29"/>
  <c r="H145" i="29"/>
  <c r="H143" i="29"/>
  <c r="H141" i="29"/>
  <c r="H137" i="29"/>
  <c r="H135" i="29"/>
  <c r="H134" i="29"/>
  <c r="H132" i="29"/>
  <c r="H126" i="29"/>
  <c r="H124" i="29"/>
  <c r="H146" i="29"/>
  <c r="H142" i="29"/>
  <c r="H136" i="29"/>
  <c r="H133" i="29"/>
  <c r="H125" i="29"/>
  <c r="H122" i="29"/>
  <c r="H118" i="29"/>
  <c r="H114" i="29"/>
  <c r="H112" i="29"/>
  <c r="H110" i="29"/>
  <c r="H108" i="29"/>
  <c r="H106" i="29"/>
  <c r="H102" i="29"/>
  <c r="H100" i="29"/>
  <c r="H96" i="29"/>
  <c r="H94" i="29"/>
  <c r="H92" i="29"/>
  <c r="H90" i="29"/>
  <c r="H86" i="29"/>
  <c r="H84" i="29"/>
  <c r="H80" i="29"/>
  <c r="H78" i="29"/>
  <c r="H72" i="29"/>
  <c r="H70" i="29"/>
  <c r="H68" i="29"/>
  <c r="H138" i="29"/>
  <c r="H123" i="29"/>
  <c r="H115" i="29"/>
  <c r="H111" i="29"/>
  <c r="H107" i="29"/>
  <c r="H101" i="29"/>
  <c r="H95" i="29"/>
  <c r="H91" i="29"/>
  <c r="H85" i="29"/>
  <c r="H79" i="29"/>
  <c r="H71" i="29"/>
  <c r="H67" i="29"/>
  <c r="H65" i="29"/>
  <c r="H61" i="29"/>
  <c r="H59" i="29"/>
  <c r="H57" i="29"/>
  <c r="H51" i="29"/>
  <c r="H49" i="29"/>
  <c r="H47" i="29"/>
  <c r="H45" i="29"/>
  <c r="H41" i="29"/>
  <c r="H37" i="29"/>
  <c r="H35" i="29"/>
  <c r="H33" i="29"/>
  <c r="H29" i="29"/>
  <c r="H25" i="29"/>
  <c r="H23" i="29"/>
  <c r="H21" i="29"/>
  <c r="H19" i="29"/>
  <c r="H17" i="29"/>
  <c r="H13" i="29"/>
  <c r="H11" i="29"/>
  <c r="H9" i="29"/>
  <c r="H7" i="29"/>
  <c r="H144" i="29"/>
  <c r="H129" i="29"/>
  <c r="H128" i="29" s="1"/>
  <c r="H119" i="29"/>
  <c r="H113" i="29"/>
  <c r="H109" i="29"/>
  <c r="H103" i="29"/>
  <c r="H93" i="29"/>
  <c r="H83" i="29"/>
  <c r="H69" i="29"/>
  <c r="H62" i="29"/>
  <c r="H58" i="29"/>
  <c r="H50" i="29"/>
  <c r="H46" i="29"/>
  <c r="H40" i="29"/>
  <c r="H34" i="29"/>
  <c r="H28" i="29"/>
  <c r="H22" i="29"/>
  <c r="H18" i="29"/>
  <c r="H12" i="29"/>
  <c r="H8" i="29"/>
  <c r="H97" i="29"/>
  <c r="H89" i="29"/>
  <c r="H77" i="29"/>
  <c r="H66" i="29"/>
  <c r="H60" i="29"/>
  <c r="H54" i="29"/>
  <c r="H53" i="29" s="1"/>
  <c r="H48" i="29"/>
  <c r="H44" i="29"/>
  <c r="H36" i="29"/>
  <c r="H32" i="29"/>
  <c r="H24" i="29"/>
  <c r="H20" i="29"/>
  <c r="H16" i="29"/>
  <c r="H10" i="29"/>
  <c r="H6" i="29"/>
  <c r="J155" i="29"/>
  <c r="J148" i="29"/>
  <c r="J147" i="29"/>
  <c r="J145" i="29"/>
  <c r="J143" i="29"/>
  <c r="J141" i="29"/>
  <c r="J137" i="29"/>
  <c r="J135" i="29"/>
  <c r="J134" i="29"/>
  <c r="J132" i="29"/>
  <c r="J126" i="29"/>
  <c r="J124" i="29"/>
  <c r="J154" i="29"/>
  <c r="J144" i="29"/>
  <c r="J138" i="29"/>
  <c r="J129" i="29"/>
  <c r="J128" i="29" s="1"/>
  <c r="J123" i="29"/>
  <c r="J122" i="29"/>
  <c r="J118" i="29"/>
  <c r="J114" i="29"/>
  <c r="J112" i="29"/>
  <c r="J110" i="29"/>
  <c r="J108" i="29"/>
  <c r="J106" i="29"/>
  <c r="J102" i="29"/>
  <c r="J100" i="29"/>
  <c r="J96" i="29"/>
  <c r="J94" i="29"/>
  <c r="J92" i="29"/>
  <c r="J90" i="29"/>
  <c r="J86" i="29"/>
  <c r="J84" i="29"/>
  <c r="J80" i="29"/>
  <c r="J78" i="29"/>
  <c r="J72" i="29"/>
  <c r="J70" i="29"/>
  <c r="J68" i="29"/>
  <c r="J142" i="29"/>
  <c r="J125" i="29"/>
  <c r="J119" i="29"/>
  <c r="J113" i="29"/>
  <c r="J109" i="29"/>
  <c r="J103" i="29"/>
  <c r="J97" i="29"/>
  <c r="J93" i="29"/>
  <c r="J89" i="29"/>
  <c r="J83" i="29"/>
  <c r="J77" i="29"/>
  <c r="J69" i="29"/>
  <c r="J67" i="29"/>
  <c r="J65" i="29"/>
  <c r="J61" i="29"/>
  <c r="J59" i="29"/>
  <c r="J57" i="29"/>
  <c r="J51" i="29"/>
  <c r="J49" i="29"/>
  <c r="J47" i="29"/>
  <c r="J45" i="29"/>
  <c r="J41" i="29"/>
  <c r="J37" i="29"/>
  <c r="J35" i="29"/>
  <c r="J33" i="29"/>
  <c r="J29" i="29"/>
  <c r="J25" i="29"/>
  <c r="J23" i="29"/>
  <c r="J21" i="29"/>
  <c r="J19" i="29"/>
  <c r="J17" i="29"/>
  <c r="J13" i="29"/>
  <c r="J11" i="29"/>
  <c r="J9" i="29"/>
  <c r="J7" i="29"/>
  <c r="J146" i="29"/>
  <c r="J136" i="29"/>
  <c r="J133" i="29"/>
  <c r="J115" i="29"/>
  <c r="J111" i="29"/>
  <c r="J107" i="29"/>
  <c r="J95" i="29"/>
  <c r="J85" i="29"/>
  <c r="J71" i="29"/>
  <c r="J66" i="29"/>
  <c r="J60" i="29"/>
  <c r="J54" i="29"/>
  <c r="J53" i="29" s="1"/>
  <c r="J48" i="29"/>
  <c r="J44" i="29"/>
  <c r="J36" i="29"/>
  <c r="J32" i="29"/>
  <c r="J24" i="29"/>
  <c r="J20" i="29"/>
  <c r="J16" i="29"/>
  <c r="J10" i="29"/>
  <c r="J6" i="29"/>
  <c r="J101" i="29"/>
  <c r="J91" i="29"/>
  <c r="J79" i="29"/>
  <c r="J62" i="29"/>
  <c r="J58" i="29"/>
  <c r="J50" i="29"/>
  <c r="J46" i="29"/>
  <c r="J40" i="29"/>
  <c r="J34" i="29"/>
  <c r="J28" i="29"/>
  <c r="J22" i="29"/>
  <c r="J18" i="29"/>
  <c r="J12" i="29"/>
  <c r="J8" i="29"/>
  <c r="L155" i="29"/>
  <c r="L148" i="29"/>
  <c r="L154" i="29"/>
  <c r="L147" i="29"/>
  <c r="L145" i="29"/>
  <c r="L143" i="29"/>
  <c r="L141" i="29"/>
  <c r="L137" i="29"/>
  <c r="L135" i="29"/>
  <c r="L134" i="29"/>
  <c r="L132" i="29"/>
  <c r="L126" i="29"/>
  <c r="L124" i="29"/>
  <c r="L146" i="29"/>
  <c r="L142" i="29"/>
  <c r="L136" i="29"/>
  <c r="L133" i="29"/>
  <c r="L125" i="29"/>
  <c r="L122" i="29"/>
  <c r="L118" i="29"/>
  <c r="L114" i="29"/>
  <c r="L112" i="29"/>
  <c r="L110" i="29"/>
  <c r="L108" i="29"/>
  <c r="L106" i="29"/>
  <c r="L102" i="29"/>
  <c r="L100" i="29"/>
  <c r="L96" i="29"/>
  <c r="L94" i="29"/>
  <c r="L92" i="29"/>
  <c r="L90" i="29"/>
  <c r="L86" i="29"/>
  <c r="L84" i="29"/>
  <c r="L80" i="29"/>
  <c r="L78" i="29"/>
  <c r="L72" i="29"/>
  <c r="L70" i="29"/>
  <c r="L68" i="29"/>
  <c r="L144" i="29"/>
  <c r="L129" i="29"/>
  <c r="L128" i="29" s="1"/>
  <c r="L115" i="29"/>
  <c r="L111" i="29"/>
  <c r="L107" i="29"/>
  <c r="L101" i="29"/>
  <c r="L95" i="29"/>
  <c r="L91" i="29"/>
  <c r="L85" i="29"/>
  <c r="L79" i="29"/>
  <c r="L71" i="29"/>
  <c r="L67" i="29"/>
  <c r="L65" i="29"/>
  <c r="L61" i="29"/>
  <c r="L59" i="29"/>
  <c r="L57" i="29"/>
  <c r="L51" i="29"/>
  <c r="L49" i="29"/>
  <c r="L47" i="29"/>
  <c r="L45" i="29"/>
  <c r="L41" i="29"/>
  <c r="L37" i="29"/>
  <c r="L35" i="29"/>
  <c r="L33" i="29"/>
  <c r="L29" i="29"/>
  <c r="L25" i="29"/>
  <c r="L23" i="29"/>
  <c r="L21" i="29"/>
  <c r="L19" i="29"/>
  <c r="L17" i="29"/>
  <c r="L13" i="29"/>
  <c r="L11" i="29"/>
  <c r="L9" i="29"/>
  <c r="L7" i="29"/>
  <c r="L138" i="29"/>
  <c r="L123" i="29"/>
  <c r="L119" i="29"/>
  <c r="L113" i="29"/>
  <c r="L109" i="29"/>
  <c r="L103" i="29"/>
  <c r="L97" i="29"/>
  <c r="L89" i="29"/>
  <c r="L77" i="29"/>
  <c r="L62" i="29"/>
  <c r="L58" i="29"/>
  <c r="L50" i="29"/>
  <c r="L46" i="29"/>
  <c r="L40" i="29"/>
  <c r="L34" i="29"/>
  <c r="L28" i="29"/>
  <c r="L22" i="29"/>
  <c r="L18" i="29"/>
  <c r="L12" i="29"/>
  <c r="L8" i="29"/>
  <c r="L93" i="29"/>
  <c r="L83" i="29"/>
  <c r="L69" i="29"/>
  <c r="L66" i="29"/>
  <c r="L60" i="29"/>
  <c r="L54" i="29"/>
  <c r="L53" i="29" s="1"/>
  <c r="L48" i="29"/>
  <c r="L44" i="29"/>
  <c r="L36" i="29"/>
  <c r="L32" i="29"/>
  <c r="L24" i="29"/>
  <c r="L20" i="29"/>
  <c r="L16" i="29"/>
  <c r="L10" i="29"/>
  <c r="L6" i="29"/>
  <c r="N155" i="29"/>
  <c r="N148" i="29"/>
  <c r="N147" i="29"/>
  <c r="N145" i="29"/>
  <c r="N143" i="29"/>
  <c r="N141" i="29"/>
  <c r="N137" i="29"/>
  <c r="N135" i="29"/>
  <c r="N134" i="29"/>
  <c r="N132" i="29"/>
  <c r="N126" i="29"/>
  <c r="N124" i="29"/>
  <c r="N144" i="29"/>
  <c r="N138" i="29"/>
  <c r="N129" i="29"/>
  <c r="N128" i="29" s="1"/>
  <c r="N123" i="29"/>
  <c r="N122" i="29"/>
  <c r="N118" i="29"/>
  <c r="N114" i="29"/>
  <c r="N112" i="29"/>
  <c r="N110" i="29"/>
  <c r="N108" i="29"/>
  <c r="N106" i="29"/>
  <c r="N102" i="29"/>
  <c r="N100" i="29"/>
  <c r="N96" i="29"/>
  <c r="N94" i="29"/>
  <c r="N92" i="29"/>
  <c r="N90" i="29"/>
  <c r="N86" i="29"/>
  <c r="N84" i="29"/>
  <c r="N80" i="29"/>
  <c r="N78" i="29"/>
  <c r="N72" i="29"/>
  <c r="N70" i="29"/>
  <c r="N68" i="29"/>
  <c r="N146" i="29"/>
  <c r="N136" i="29"/>
  <c r="N133" i="29"/>
  <c r="N119" i="29"/>
  <c r="N113" i="29"/>
  <c r="N109" i="29"/>
  <c r="N103" i="29"/>
  <c r="N97" i="29"/>
  <c r="N93" i="29"/>
  <c r="N89" i="29"/>
  <c r="N83" i="29"/>
  <c r="N77" i="29"/>
  <c r="N69" i="29"/>
  <c r="N67" i="29"/>
  <c r="N65" i="29"/>
  <c r="N61" i="29"/>
  <c r="N59" i="29"/>
  <c r="N57" i="29"/>
  <c r="N51" i="29"/>
  <c r="N49" i="29"/>
  <c r="N47" i="29"/>
  <c r="N45" i="29"/>
  <c r="N41" i="29"/>
  <c r="N37" i="29"/>
  <c r="N35" i="29"/>
  <c r="N33" i="29"/>
  <c r="N29" i="29"/>
  <c r="N25" i="29"/>
  <c r="N23" i="29"/>
  <c r="N21" i="29"/>
  <c r="N19" i="29"/>
  <c r="N17" i="29"/>
  <c r="N13" i="29"/>
  <c r="N11" i="29"/>
  <c r="N9" i="29"/>
  <c r="N7" i="29"/>
  <c r="N154" i="29"/>
  <c r="N142" i="29"/>
  <c r="N125" i="29"/>
  <c r="N115" i="29"/>
  <c r="N111" i="29"/>
  <c r="N107" i="29"/>
  <c r="N101" i="29"/>
  <c r="N91" i="29"/>
  <c r="N79" i="29"/>
  <c r="N66" i="29"/>
  <c r="N60" i="29"/>
  <c r="N54" i="29"/>
  <c r="N53" i="29" s="1"/>
  <c r="N48" i="29"/>
  <c r="N44" i="29"/>
  <c r="N36" i="29"/>
  <c r="N32" i="29"/>
  <c r="N24" i="29"/>
  <c r="N20" i="29"/>
  <c r="N16" i="29"/>
  <c r="N10" i="29"/>
  <c r="N6" i="29"/>
  <c r="N95" i="29"/>
  <c r="N85" i="29"/>
  <c r="N71" i="29"/>
  <c r="N62" i="29"/>
  <c r="N58" i="29"/>
  <c r="N50" i="29"/>
  <c r="N46" i="29"/>
  <c r="N40" i="29"/>
  <c r="N34" i="29"/>
  <c r="N28" i="29"/>
  <c r="N22" i="29"/>
  <c r="N18" i="29"/>
  <c r="N12" i="29"/>
  <c r="N8" i="29"/>
  <c r="P155" i="29"/>
  <c r="P148" i="29"/>
  <c r="P154" i="29"/>
  <c r="P147" i="29"/>
  <c r="P145" i="29"/>
  <c r="P143" i="29"/>
  <c r="P141" i="29"/>
  <c r="P137" i="29"/>
  <c r="P135" i="29"/>
  <c r="P134" i="29"/>
  <c r="P132" i="29"/>
  <c r="P126" i="29"/>
  <c r="P124" i="29"/>
  <c r="P146" i="29"/>
  <c r="P142" i="29"/>
  <c r="P136" i="29"/>
  <c r="P133" i="29"/>
  <c r="P125" i="29"/>
  <c r="P122" i="29"/>
  <c r="P118" i="29"/>
  <c r="P114" i="29"/>
  <c r="P112" i="29"/>
  <c r="P110" i="29"/>
  <c r="P108" i="29"/>
  <c r="P106" i="29"/>
  <c r="P102" i="29"/>
  <c r="P100" i="29"/>
  <c r="P96" i="29"/>
  <c r="P94" i="29"/>
  <c r="P92" i="29"/>
  <c r="P90" i="29"/>
  <c r="P86" i="29"/>
  <c r="P84" i="29"/>
  <c r="P80" i="29"/>
  <c r="P78" i="29"/>
  <c r="P72" i="29"/>
  <c r="P70" i="29"/>
  <c r="P68" i="29"/>
  <c r="P138" i="29"/>
  <c r="P123" i="29"/>
  <c r="P115" i="29"/>
  <c r="P111" i="29"/>
  <c r="P107" i="29"/>
  <c r="P101" i="29"/>
  <c r="P95" i="29"/>
  <c r="P91" i="29"/>
  <c r="P85" i="29"/>
  <c r="P79" i="29"/>
  <c r="P71" i="29"/>
  <c r="P67" i="29"/>
  <c r="P65" i="29"/>
  <c r="P61" i="29"/>
  <c r="P59" i="29"/>
  <c r="P57" i="29"/>
  <c r="P51" i="29"/>
  <c r="P49" i="29"/>
  <c r="P47" i="29"/>
  <c r="P45" i="29"/>
  <c r="P41" i="29"/>
  <c r="P37" i="29"/>
  <c r="P35" i="29"/>
  <c r="P33" i="29"/>
  <c r="P29" i="29"/>
  <c r="P25" i="29"/>
  <c r="P23" i="29"/>
  <c r="P21" i="29"/>
  <c r="P19" i="29"/>
  <c r="P17" i="29"/>
  <c r="P13" i="29"/>
  <c r="P11" i="29"/>
  <c r="P9" i="29"/>
  <c r="P7" i="29"/>
  <c r="P144" i="29"/>
  <c r="P129" i="29"/>
  <c r="P128" i="29" s="1"/>
  <c r="P119" i="29"/>
  <c r="P113" i="29"/>
  <c r="P109" i="29"/>
  <c r="P103" i="29"/>
  <c r="P93" i="29"/>
  <c r="P83" i="29"/>
  <c r="P69" i="29"/>
  <c r="P62" i="29"/>
  <c r="P58" i="29"/>
  <c r="P50" i="29"/>
  <c r="P46" i="29"/>
  <c r="P40" i="29"/>
  <c r="P34" i="29"/>
  <c r="P28" i="29"/>
  <c r="P22" i="29"/>
  <c r="P18" i="29"/>
  <c r="P12" i="29"/>
  <c r="P8" i="29"/>
  <c r="P97" i="29"/>
  <c r="P89" i="29"/>
  <c r="P77" i="29"/>
  <c r="P66" i="29"/>
  <c r="P60" i="29"/>
  <c r="P54" i="29"/>
  <c r="P53" i="29" s="1"/>
  <c r="P48" i="29"/>
  <c r="P44" i="29"/>
  <c r="P36" i="29"/>
  <c r="P32" i="29"/>
  <c r="P24" i="29"/>
  <c r="P20" i="29"/>
  <c r="P16" i="29"/>
  <c r="P10" i="29"/>
  <c r="P6" i="29"/>
  <c r="R155" i="29"/>
  <c r="R148" i="29"/>
  <c r="R147" i="29"/>
  <c r="R145" i="29"/>
  <c r="R143" i="29"/>
  <c r="R141" i="29"/>
  <c r="R137" i="29"/>
  <c r="R135" i="29"/>
  <c r="R134" i="29"/>
  <c r="R132" i="29"/>
  <c r="R126" i="29"/>
  <c r="R124" i="29"/>
  <c r="R154" i="29"/>
  <c r="R144" i="29"/>
  <c r="R138" i="29"/>
  <c r="R129" i="29"/>
  <c r="R128" i="29" s="1"/>
  <c r="R123" i="29"/>
  <c r="R122" i="29"/>
  <c r="R118" i="29"/>
  <c r="R114" i="29"/>
  <c r="R112" i="29"/>
  <c r="R110" i="29"/>
  <c r="R108" i="29"/>
  <c r="R106" i="29"/>
  <c r="R102" i="29"/>
  <c r="R100" i="29"/>
  <c r="R96" i="29"/>
  <c r="R94" i="29"/>
  <c r="R92" i="29"/>
  <c r="R90" i="29"/>
  <c r="R86" i="29"/>
  <c r="R84" i="29"/>
  <c r="R80" i="29"/>
  <c r="R78" i="29"/>
  <c r="R72" i="29"/>
  <c r="R70" i="29"/>
  <c r="R68" i="29"/>
  <c r="R142" i="29"/>
  <c r="R125" i="29"/>
  <c r="R119" i="29"/>
  <c r="R113" i="29"/>
  <c r="R109" i="29"/>
  <c r="R103" i="29"/>
  <c r="R97" i="29"/>
  <c r="R93" i="29"/>
  <c r="R89" i="29"/>
  <c r="R83" i="29"/>
  <c r="R77" i="29"/>
  <c r="R69" i="29"/>
  <c r="R67" i="29"/>
  <c r="R65" i="29"/>
  <c r="R61" i="29"/>
  <c r="R59" i="29"/>
  <c r="R57" i="29"/>
  <c r="R51" i="29"/>
  <c r="R49" i="29"/>
  <c r="R47" i="29"/>
  <c r="R45" i="29"/>
  <c r="R41" i="29"/>
  <c r="R37" i="29"/>
  <c r="R35" i="29"/>
  <c r="R33" i="29"/>
  <c r="R29" i="29"/>
  <c r="R25" i="29"/>
  <c r="R23" i="29"/>
  <c r="R21" i="29"/>
  <c r="R19" i="29"/>
  <c r="R17" i="29"/>
  <c r="R13" i="29"/>
  <c r="R11" i="29"/>
  <c r="R9" i="29"/>
  <c r="R7" i="29"/>
  <c r="R146" i="29"/>
  <c r="R136" i="29"/>
  <c r="R133" i="29"/>
  <c r="R115" i="29"/>
  <c r="R111" i="29"/>
  <c r="R107" i="29"/>
  <c r="R95" i="29"/>
  <c r="R85" i="29"/>
  <c r="R71" i="29"/>
  <c r="R66" i="29"/>
  <c r="R60" i="29"/>
  <c r="R54" i="29"/>
  <c r="R53" i="29" s="1"/>
  <c r="R48" i="29"/>
  <c r="R44" i="29"/>
  <c r="R36" i="29"/>
  <c r="R32" i="29"/>
  <c r="R24" i="29"/>
  <c r="R20" i="29"/>
  <c r="R16" i="29"/>
  <c r="R10" i="29"/>
  <c r="R6" i="29"/>
  <c r="R101" i="29"/>
  <c r="R91" i="29"/>
  <c r="R79" i="29"/>
  <c r="R62" i="29"/>
  <c r="R58" i="29"/>
  <c r="R50" i="29"/>
  <c r="R46" i="29"/>
  <c r="R40" i="29"/>
  <c r="R39" i="29" s="1"/>
  <c r="R34" i="29"/>
  <c r="R28" i="29"/>
  <c r="R27" i="29" s="1"/>
  <c r="R22" i="29"/>
  <c r="R18" i="29"/>
  <c r="R12" i="29"/>
  <c r="R8" i="29"/>
  <c r="T155" i="29"/>
  <c r="T148" i="29"/>
  <c r="T154" i="29"/>
  <c r="T147" i="29"/>
  <c r="T145" i="29"/>
  <c r="T143" i="29"/>
  <c r="T141" i="29"/>
  <c r="T137" i="29"/>
  <c r="T135" i="29"/>
  <c r="T134" i="29"/>
  <c r="T132" i="29"/>
  <c r="T126" i="29"/>
  <c r="T124" i="29"/>
  <c r="T146" i="29"/>
  <c r="T142" i="29"/>
  <c r="T136" i="29"/>
  <c r="T133" i="29"/>
  <c r="T125" i="29"/>
  <c r="T122" i="29"/>
  <c r="T118" i="29"/>
  <c r="T114" i="29"/>
  <c r="T112" i="29"/>
  <c r="T110" i="29"/>
  <c r="T108" i="29"/>
  <c r="T106" i="29"/>
  <c r="T102" i="29"/>
  <c r="T100" i="29"/>
  <c r="T96" i="29"/>
  <c r="T94" i="29"/>
  <c r="T92" i="29"/>
  <c r="T90" i="29"/>
  <c r="T86" i="29"/>
  <c r="T84" i="29"/>
  <c r="T80" i="29"/>
  <c r="T78" i="29"/>
  <c r="T72" i="29"/>
  <c r="T70" i="29"/>
  <c r="T68" i="29"/>
  <c r="T144" i="29"/>
  <c r="T129" i="29"/>
  <c r="T128" i="29" s="1"/>
  <c r="T115" i="29"/>
  <c r="T111" i="29"/>
  <c r="T107" i="29"/>
  <c r="T101" i="29"/>
  <c r="T95" i="29"/>
  <c r="T91" i="29"/>
  <c r="T85" i="29"/>
  <c r="T79" i="29"/>
  <c r="T71" i="29"/>
  <c r="T67" i="29"/>
  <c r="T65" i="29"/>
  <c r="T61" i="29"/>
  <c r="T59" i="29"/>
  <c r="T57" i="29"/>
  <c r="T51" i="29"/>
  <c r="T49" i="29"/>
  <c r="T47" i="29"/>
  <c r="T45" i="29"/>
  <c r="T41" i="29"/>
  <c r="T37" i="29"/>
  <c r="T35" i="29"/>
  <c r="T33" i="29"/>
  <c r="T29" i="29"/>
  <c r="T25" i="29"/>
  <c r="T23" i="29"/>
  <c r="T21" i="29"/>
  <c r="T19" i="29"/>
  <c r="T17" i="29"/>
  <c r="T13" i="29"/>
  <c r="T11" i="29"/>
  <c r="T9" i="29"/>
  <c r="T7" i="29"/>
  <c r="T138" i="29"/>
  <c r="T123" i="29"/>
  <c r="T119" i="29"/>
  <c r="T113" i="29"/>
  <c r="T109" i="29"/>
  <c r="T103" i="29"/>
  <c r="T97" i="29"/>
  <c r="T89" i="29"/>
  <c r="T77" i="29"/>
  <c r="T62" i="29"/>
  <c r="T58" i="29"/>
  <c r="T50" i="29"/>
  <c r="T46" i="29"/>
  <c r="T40" i="29"/>
  <c r="T34" i="29"/>
  <c r="T28" i="29"/>
  <c r="T22" i="29"/>
  <c r="T18" i="29"/>
  <c r="T12" i="29"/>
  <c r="T8" i="29"/>
  <c r="T93" i="29"/>
  <c r="T83" i="29"/>
  <c r="T69" i="29"/>
  <c r="T66" i="29"/>
  <c r="T60" i="29"/>
  <c r="T54" i="29"/>
  <c r="T53" i="29" s="1"/>
  <c r="T48" i="29"/>
  <c r="T44" i="29"/>
  <c r="T36" i="29"/>
  <c r="T32" i="29"/>
  <c r="T24" i="29"/>
  <c r="T20" i="29"/>
  <c r="T16" i="29"/>
  <c r="T10" i="29"/>
  <c r="T6" i="29"/>
  <c r="V155" i="29"/>
  <c r="V148" i="29"/>
  <c r="V147" i="29"/>
  <c r="V145" i="29"/>
  <c r="V143" i="29"/>
  <c r="V141" i="29"/>
  <c r="V137" i="29"/>
  <c r="V135" i="29"/>
  <c r="V134" i="29"/>
  <c r="V132" i="29"/>
  <c r="V126" i="29"/>
  <c r="V124" i="29"/>
  <c r="V144" i="29"/>
  <c r="V138" i="29"/>
  <c r="V129" i="29"/>
  <c r="V128" i="29" s="1"/>
  <c r="V123" i="29"/>
  <c r="V122" i="29"/>
  <c r="V118" i="29"/>
  <c r="V114" i="29"/>
  <c r="V112" i="29"/>
  <c r="V110" i="29"/>
  <c r="V108" i="29"/>
  <c r="V106" i="29"/>
  <c r="V102" i="29"/>
  <c r="V100" i="29"/>
  <c r="V96" i="29"/>
  <c r="V94" i="29"/>
  <c r="V92" i="29"/>
  <c r="V90" i="29"/>
  <c r="V86" i="29"/>
  <c r="V84" i="29"/>
  <c r="V80" i="29"/>
  <c r="V78" i="29"/>
  <c r="V72" i="29"/>
  <c r="V70" i="29"/>
  <c r="V68" i="29"/>
  <c r="V154" i="29"/>
  <c r="V146" i="29"/>
  <c r="V136" i="29"/>
  <c r="V133" i="29"/>
  <c r="V119" i="29"/>
  <c r="V113" i="29"/>
  <c r="V109" i="29"/>
  <c r="V103" i="29"/>
  <c r="V97" i="29"/>
  <c r="V93" i="29"/>
  <c r="V89" i="29"/>
  <c r="V83" i="29"/>
  <c r="V77" i="29"/>
  <c r="V69" i="29"/>
  <c r="V67" i="29"/>
  <c r="V65" i="29"/>
  <c r="V61" i="29"/>
  <c r="V59" i="29"/>
  <c r="V57" i="29"/>
  <c r="V51" i="29"/>
  <c r="V49" i="29"/>
  <c r="V47" i="29"/>
  <c r="V45" i="29"/>
  <c r="V41" i="29"/>
  <c r="V37" i="29"/>
  <c r="V35" i="29"/>
  <c r="V33" i="29"/>
  <c r="V29" i="29"/>
  <c r="V25" i="29"/>
  <c r="V23" i="29"/>
  <c r="V21" i="29"/>
  <c r="V19" i="29"/>
  <c r="V17" i="29"/>
  <c r="V13" i="29"/>
  <c r="V11" i="29"/>
  <c r="V9" i="29"/>
  <c r="V7" i="29"/>
  <c r="V142" i="29"/>
  <c r="V125" i="29"/>
  <c r="V115" i="29"/>
  <c r="V111" i="29"/>
  <c r="V107" i="29"/>
  <c r="V101" i="29"/>
  <c r="V91" i="29"/>
  <c r="V79" i="29"/>
  <c r="V66" i="29"/>
  <c r="V60" i="29"/>
  <c r="V54" i="29"/>
  <c r="V53" i="29" s="1"/>
  <c r="V48" i="29"/>
  <c r="V44" i="29"/>
  <c r="V36" i="29"/>
  <c r="V32" i="29"/>
  <c r="V24" i="29"/>
  <c r="V20" i="29"/>
  <c r="V16" i="29"/>
  <c r="V10" i="29"/>
  <c r="V6" i="29"/>
  <c r="V95" i="29"/>
  <c r="V85" i="29"/>
  <c r="V71" i="29"/>
  <c r="V62" i="29"/>
  <c r="V58" i="29"/>
  <c r="V50" i="29"/>
  <c r="V46" i="29"/>
  <c r="V40" i="29"/>
  <c r="V34" i="29"/>
  <c r="V28" i="29"/>
  <c r="V22" i="29"/>
  <c r="V18" i="29"/>
  <c r="V12" i="29"/>
  <c r="V8" i="29"/>
  <c r="X155" i="29"/>
  <c r="X148" i="29"/>
  <c r="X154" i="29"/>
  <c r="X147" i="29"/>
  <c r="X145" i="29"/>
  <c r="X143" i="29"/>
  <c r="X141" i="29"/>
  <c r="X137" i="29"/>
  <c r="X135" i="29"/>
  <c r="X134" i="29"/>
  <c r="X132" i="29"/>
  <c r="X126" i="29"/>
  <c r="X124" i="29"/>
  <c r="X146" i="29"/>
  <c r="X142" i="29"/>
  <c r="X136" i="29"/>
  <c r="X133" i="29"/>
  <c r="X125" i="29"/>
  <c r="X122" i="29"/>
  <c r="X118" i="29"/>
  <c r="X114" i="29"/>
  <c r="X112" i="29"/>
  <c r="X110" i="29"/>
  <c r="X108" i="29"/>
  <c r="X106" i="29"/>
  <c r="X102" i="29"/>
  <c r="X100" i="29"/>
  <c r="X96" i="29"/>
  <c r="X94" i="29"/>
  <c r="X92" i="29"/>
  <c r="X90" i="29"/>
  <c r="X86" i="29"/>
  <c r="X84" i="29"/>
  <c r="X80" i="29"/>
  <c r="X78" i="29"/>
  <c r="X72" i="29"/>
  <c r="X70" i="29"/>
  <c r="X68" i="29"/>
  <c r="X138" i="29"/>
  <c r="X123" i="29"/>
  <c r="X115" i="29"/>
  <c r="X111" i="29"/>
  <c r="X107" i="29"/>
  <c r="X101" i="29"/>
  <c r="X95" i="29"/>
  <c r="X91" i="29"/>
  <c r="X85" i="29"/>
  <c r="X79" i="29"/>
  <c r="X71" i="29"/>
  <c r="X67" i="29"/>
  <c r="X65" i="29"/>
  <c r="X61" i="29"/>
  <c r="X59" i="29"/>
  <c r="X57" i="29"/>
  <c r="X51" i="29"/>
  <c r="X49" i="29"/>
  <c r="X47" i="29"/>
  <c r="X45" i="29"/>
  <c r="X41" i="29"/>
  <c r="X37" i="29"/>
  <c r="X35" i="29"/>
  <c r="X33" i="29"/>
  <c r="X29" i="29"/>
  <c r="X25" i="29"/>
  <c r="X23" i="29"/>
  <c r="X21" i="29"/>
  <c r="X19" i="29"/>
  <c r="X17" i="29"/>
  <c r="X13" i="29"/>
  <c r="X11" i="29"/>
  <c r="X9" i="29"/>
  <c r="X7" i="29"/>
  <c r="X144" i="29"/>
  <c r="X129" i="29"/>
  <c r="X128" i="29" s="1"/>
  <c r="X119" i="29"/>
  <c r="X113" i="29"/>
  <c r="X109" i="29"/>
  <c r="X103" i="29"/>
  <c r="X93" i="29"/>
  <c r="X83" i="29"/>
  <c r="X69" i="29"/>
  <c r="X62" i="29"/>
  <c r="X58" i="29"/>
  <c r="X50" i="29"/>
  <c r="X46" i="29"/>
  <c r="X40" i="29"/>
  <c r="X34" i="29"/>
  <c r="X28" i="29"/>
  <c r="X22" i="29"/>
  <c r="X18" i="29"/>
  <c r="X12" i="29"/>
  <c r="X8" i="29"/>
  <c r="X97" i="29"/>
  <c r="X89" i="29"/>
  <c r="X77" i="29"/>
  <c r="X66" i="29"/>
  <c r="X60" i="29"/>
  <c r="X54" i="29"/>
  <c r="X48" i="29"/>
  <c r="X44" i="29"/>
  <c r="X36" i="29"/>
  <c r="X32" i="29"/>
  <c r="X24" i="29"/>
  <c r="X20" i="29"/>
  <c r="X16" i="29"/>
  <c r="X10" i="29"/>
  <c r="X6" i="29"/>
  <c r="Z155" i="29"/>
  <c r="Z148" i="29"/>
  <c r="Z147" i="29"/>
  <c r="Z145" i="29"/>
  <c r="Z143" i="29"/>
  <c r="Z141" i="29"/>
  <c r="Z137" i="29"/>
  <c r="Z135" i="29"/>
  <c r="Z134" i="29"/>
  <c r="Z132" i="29"/>
  <c r="Z126" i="29"/>
  <c r="Z124" i="29"/>
  <c r="Z154" i="29"/>
  <c r="Z144" i="29"/>
  <c r="Z138" i="29"/>
  <c r="Z129" i="29"/>
  <c r="Z128" i="29" s="1"/>
  <c r="Z123" i="29"/>
  <c r="Z122" i="29"/>
  <c r="Z118" i="29"/>
  <c r="Z114" i="29"/>
  <c r="Z112" i="29"/>
  <c r="Z110" i="29"/>
  <c r="Z108" i="29"/>
  <c r="Z106" i="29"/>
  <c r="Z102" i="29"/>
  <c r="Z100" i="29"/>
  <c r="Z96" i="29"/>
  <c r="Z94" i="29"/>
  <c r="Z92" i="29"/>
  <c r="Z90" i="29"/>
  <c r="Z86" i="29"/>
  <c r="Z84" i="29"/>
  <c r="Z80" i="29"/>
  <c r="Z78" i="29"/>
  <c r="Z72" i="29"/>
  <c r="Z70" i="29"/>
  <c r="Z68" i="29"/>
  <c r="Z142" i="29"/>
  <c r="Z125" i="29"/>
  <c r="Z119" i="29"/>
  <c r="Z113" i="29"/>
  <c r="Z109" i="29"/>
  <c r="Z103" i="29"/>
  <c r="Z97" i="29"/>
  <c r="Z93" i="29"/>
  <c r="Z89" i="29"/>
  <c r="Z83" i="29"/>
  <c r="Z77" i="29"/>
  <c r="Z69" i="29"/>
  <c r="Z67" i="29"/>
  <c r="Z65" i="29"/>
  <c r="Z61" i="29"/>
  <c r="Z59" i="29"/>
  <c r="Z57" i="29"/>
  <c r="Z51" i="29"/>
  <c r="Z49" i="29"/>
  <c r="Z47" i="29"/>
  <c r="Z45" i="29"/>
  <c r="Z41" i="29"/>
  <c r="Z37" i="29"/>
  <c r="Z35" i="29"/>
  <c r="Z33" i="29"/>
  <c r="Z29" i="29"/>
  <c r="Z25" i="29"/>
  <c r="Z23" i="29"/>
  <c r="Z21" i="29"/>
  <c r="Z19" i="29"/>
  <c r="Z17" i="29"/>
  <c r="Z13" i="29"/>
  <c r="Z11" i="29"/>
  <c r="Z9" i="29"/>
  <c r="Z7" i="29"/>
  <c r="Z146" i="29"/>
  <c r="Z136" i="29"/>
  <c r="Z133" i="29"/>
  <c r="Z115" i="29"/>
  <c r="Z111" i="29"/>
  <c r="Z107" i="29"/>
  <c r="Z95" i="29"/>
  <c r="Z85" i="29"/>
  <c r="Z71" i="29"/>
  <c r="Z66" i="29"/>
  <c r="Z60" i="29"/>
  <c r="Z54" i="29"/>
  <c r="Z53" i="29" s="1"/>
  <c r="Z48" i="29"/>
  <c r="Z44" i="29"/>
  <c r="Z36" i="29"/>
  <c r="Z32" i="29"/>
  <c r="Z24" i="29"/>
  <c r="Z20" i="29"/>
  <c r="Z16" i="29"/>
  <c r="Z10" i="29"/>
  <c r="Z6" i="29"/>
  <c r="Z101" i="29"/>
  <c r="Z91" i="29"/>
  <c r="Z79" i="29"/>
  <c r="Z62" i="29"/>
  <c r="Z58" i="29"/>
  <c r="Z50" i="29"/>
  <c r="Z46" i="29"/>
  <c r="Z40" i="29"/>
  <c r="Z34" i="29"/>
  <c r="Z28" i="29"/>
  <c r="Z27" i="29" s="1"/>
  <c r="Z22" i="29"/>
  <c r="Z18" i="29"/>
  <c r="Z12" i="29"/>
  <c r="Z8" i="29"/>
  <c r="AB155" i="29"/>
  <c r="AB148" i="29"/>
  <c r="AB154" i="29"/>
  <c r="AB147" i="29"/>
  <c r="AB145" i="29"/>
  <c r="AB143" i="29"/>
  <c r="AB141" i="29"/>
  <c r="AB137" i="29"/>
  <c r="AB135" i="29"/>
  <c r="AB134" i="29"/>
  <c r="AB132" i="29"/>
  <c r="AB126" i="29"/>
  <c r="AB124" i="29"/>
  <c r="AB146" i="29"/>
  <c r="AB142" i="29"/>
  <c r="AB136" i="29"/>
  <c r="AB133" i="29"/>
  <c r="AB125" i="29"/>
  <c r="AB122" i="29"/>
  <c r="AB118" i="29"/>
  <c r="AB114" i="29"/>
  <c r="AB112" i="29"/>
  <c r="AB110" i="29"/>
  <c r="AB108" i="29"/>
  <c r="AB106" i="29"/>
  <c r="AB102" i="29"/>
  <c r="AB100" i="29"/>
  <c r="AB96" i="29"/>
  <c r="AB94" i="29"/>
  <c r="AB92" i="29"/>
  <c r="AB90" i="29"/>
  <c r="AB86" i="29"/>
  <c r="AB84" i="29"/>
  <c r="AB80" i="29"/>
  <c r="AB78" i="29"/>
  <c r="AB72" i="29"/>
  <c r="AB70" i="29"/>
  <c r="AB68" i="29"/>
  <c r="AB144" i="29"/>
  <c r="AB129" i="29"/>
  <c r="AB128" i="29" s="1"/>
  <c r="AB115" i="29"/>
  <c r="AB111" i="29"/>
  <c r="AB107" i="29"/>
  <c r="AB101" i="29"/>
  <c r="AB95" i="29"/>
  <c r="AB91" i="29"/>
  <c r="AB85" i="29"/>
  <c r="AB79" i="29"/>
  <c r="AB71" i="29"/>
  <c r="AB67" i="29"/>
  <c r="AB65" i="29"/>
  <c r="AB61" i="29"/>
  <c r="AB59" i="29"/>
  <c r="AB57" i="29"/>
  <c r="AB51" i="29"/>
  <c r="AB49" i="29"/>
  <c r="AB47" i="29"/>
  <c r="AB45" i="29"/>
  <c r="AB41" i="29"/>
  <c r="AB37" i="29"/>
  <c r="AB35" i="29"/>
  <c r="AB33" i="29"/>
  <c r="AB29" i="29"/>
  <c r="AB25" i="29"/>
  <c r="AB23" i="29"/>
  <c r="AB21" i="29"/>
  <c r="AB19" i="29"/>
  <c r="AB17" i="29"/>
  <c r="AB13" i="29"/>
  <c r="AB11" i="29"/>
  <c r="AB9" i="29"/>
  <c r="AB7" i="29"/>
  <c r="AB138" i="29"/>
  <c r="AB123" i="29"/>
  <c r="AB119" i="29"/>
  <c r="AB113" i="29"/>
  <c r="AB109" i="29"/>
  <c r="AB103" i="29"/>
  <c r="AB97" i="29"/>
  <c r="AB89" i="29"/>
  <c r="AB77" i="29"/>
  <c r="AB62" i="29"/>
  <c r="AB58" i="29"/>
  <c r="AB50" i="29"/>
  <c r="AB46" i="29"/>
  <c r="AB40" i="29"/>
  <c r="AB34" i="29"/>
  <c r="AB28" i="29"/>
  <c r="AB22" i="29"/>
  <c r="AB18" i="29"/>
  <c r="AB12" i="29"/>
  <c r="AB8" i="29"/>
  <c r="AB93" i="29"/>
  <c r="AB83" i="29"/>
  <c r="AB69" i="29"/>
  <c r="AB66" i="29"/>
  <c r="AB60" i="29"/>
  <c r="AB54" i="29"/>
  <c r="AB53" i="29" s="1"/>
  <c r="AB48" i="29"/>
  <c r="AB44" i="29"/>
  <c r="AB36" i="29"/>
  <c r="AB32" i="29"/>
  <c r="AB24" i="29"/>
  <c r="AB20" i="29"/>
  <c r="AB16" i="29"/>
  <c r="AB10" i="29"/>
  <c r="AB6" i="29"/>
  <c r="AD155" i="29"/>
  <c r="AD148" i="29"/>
  <c r="AD147" i="29"/>
  <c r="AD145" i="29"/>
  <c r="AD143" i="29"/>
  <c r="AD141" i="29"/>
  <c r="AD137" i="29"/>
  <c r="AD135" i="29"/>
  <c r="AD134" i="29"/>
  <c r="AD132" i="29"/>
  <c r="AD126" i="29"/>
  <c r="AD124" i="29"/>
  <c r="AD144" i="29"/>
  <c r="AD138" i="29"/>
  <c r="AD129" i="29"/>
  <c r="AD128" i="29" s="1"/>
  <c r="AD123" i="29"/>
  <c r="AD122" i="29"/>
  <c r="AD118" i="29"/>
  <c r="AD114" i="29"/>
  <c r="AD112" i="29"/>
  <c r="AD110" i="29"/>
  <c r="AD108" i="29"/>
  <c r="AD106" i="29"/>
  <c r="AD102" i="29"/>
  <c r="AD100" i="29"/>
  <c r="AD96" i="29"/>
  <c r="AD94" i="29"/>
  <c r="AD92" i="29"/>
  <c r="AD90" i="29"/>
  <c r="AD86" i="29"/>
  <c r="AD84" i="29"/>
  <c r="AD80" i="29"/>
  <c r="AD78" i="29"/>
  <c r="AD72" i="29"/>
  <c r="AD70" i="29"/>
  <c r="AD68" i="29"/>
  <c r="AD146" i="29"/>
  <c r="AD136" i="29"/>
  <c r="AD133" i="29"/>
  <c r="AD119" i="29"/>
  <c r="AD113" i="29"/>
  <c r="AD109" i="29"/>
  <c r="AD103" i="29"/>
  <c r="AD97" i="29"/>
  <c r="AD93" i="29"/>
  <c r="AD89" i="29"/>
  <c r="AD83" i="29"/>
  <c r="AD77" i="29"/>
  <c r="AD69" i="29"/>
  <c r="AD67" i="29"/>
  <c r="AD65" i="29"/>
  <c r="AD61" i="29"/>
  <c r="AD59" i="29"/>
  <c r="AD57" i="29"/>
  <c r="AD51" i="29"/>
  <c r="AD49" i="29"/>
  <c r="AD47" i="29"/>
  <c r="AD45" i="29"/>
  <c r="AD41" i="29"/>
  <c r="AD37" i="29"/>
  <c r="AD35" i="29"/>
  <c r="AD33" i="29"/>
  <c r="AD29" i="29"/>
  <c r="AD25" i="29"/>
  <c r="AD23" i="29"/>
  <c r="AD21" i="29"/>
  <c r="AD19" i="29"/>
  <c r="AD17" i="29"/>
  <c r="AD13" i="29"/>
  <c r="AD11" i="29"/>
  <c r="AD9" i="29"/>
  <c r="AD7" i="29"/>
  <c r="AD154" i="29"/>
  <c r="AD142" i="29"/>
  <c r="AD125" i="29"/>
  <c r="AD115" i="29"/>
  <c r="AD111" i="29"/>
  <c r="AD107" i="29"/>
  <c r="AD101" i="29"/>
  <c r="AD91" i="29"/>
  <c r="AD79" i="29"/>
  <c r="AD66" i="29"/>
  <c r="AD60" i="29"/>
  <c r="AD54" i="29"/>
  <c r="AD53" i="29" s="1"/>
  <c r="AD48" i="29"/>
  <c r="AD44" i="29"/>
  <c r="AD36" i="29"/>
  <c r="AD32" i="29"/>
  <c r="AD24" i="29"/>
  <c r="AD20" i="29"/>
  <c r="AD16" i="29"/>
  <c r="AD10" i="29"/>
  <c r="AD6" i="29"/>
  <c r="AD95" i="29"/>
  <c r="AD85" i="29"/>
  <c r="AD71" i="29"/>
  <c r="AD62" i="29"/>
  <c r="AD58" i="29"/>
  <c r="AD50" i="29"/>
  <c r="AD46" i="29"/>
  <c r="AD40" i="29"/>
  <c r="AD34" i="29"/>
  <c r="AD28" i="29"/>
  <c r="AD22" i="29"/>
  <c r="AD18" i="29"/>
  <c r="AD12" i="29"/>
  <c r="AD8" i="29"/>
  <c r="AF155" i="29"/>
  <c r="AF148" i="29"/>
  <c r="AF154" i="29"/>
  <c r="AF147" i="29"/>
  <c r="AF145" i="29"/>
  <c r="AF143" i="29"/>
  <c r="AF141" i="29"/>
  <c r="AF137" i="29"/>
  <c r="AF135" i="29"/>
  <c r="AF134" i="29"/>
  <c r="AF132" i="29"/>
  <c r="AF126" i="29"/>
  <c r="AF124" i="29"/>
  <c r="AF146" i="29"/>
  <c r="AF142" i="29"/>
  <c r="AF136" i="29"/>
  <c r="AF133" i="29"/>
  <c r="AF125" i="29"/>
  <c r="AF122" i="29"/>
  <c r="AF118" i="29"/>
  <c r="AF114" i="29"/>
  <c r="AF112" i="29"/>
  <c r="AF110" i="29"/>
  <c r="AF108" i="29"/>
  <c r="AF106" i="29"/>
  <c r="AF102" i="29"/>
  <c r="AF100" i="29"/>
  <c r="AF96" i="29"/>
  <c r="AF94" i="29"/>
  <c r="AF92" i="29"/>
  <c r="AF90" i="29"/>
  <c r="AF86" i="29"/>
  <c r="AF84" i="29"/>
  <c r="AF80" i="29"/>
  <c r="AF78" i="29"/>
  <c r="AF72" i="29"/>
  <c r="AF70" i="29"/>
  <c r="AF68" i="29"/>
  <c r="AF138" i="29"/>
  <c r="AF123" i="29"/>
  <c r="AF115" i="29"/>
  <c r="AF111" i="29"/>
  <c r="AF107" i="29"/>
  <c r="AF101" i="29"/>
  <c r="AF95" i="29"/>
  <c r="AF91" i="29"/>
  <c r="AF85" i="29"/>
  <c r="AF79" i="29"/>
  <c r="AF71" i="29"/>
  <c r="AF67" i="29"/>
  <c r="AF65" i="29"/>
  <c r="AF61" i="29"/>
  <c r="AF59" i="29"/>
  <c r="AF57" i="29"/>
  <c r="AF51" i="29"/>
  <c r="AF49" i="29"/>
  <c r="AF47" i="29"/>
  <c r="AF45" i="29"/>
  <c r="AF41" i="29"/>
  <c r="AF37" i="29"/>
  <c r="AF35" i="29"/>
  <c r="AF33" i="29"/>
  <c r="AF29" i="29"/>
  <c r="AF25" i="29"/>
  <c r="AF23" i="29"/>
  <c r="AF21" i="29"/>
  <c r="AF19" i="29"/>
  <c r="AF17" i="29"/>
  <c r="AF13" i="29"/>
  <c r="AF11" i="29"/>
  <c r="AF9" i="29"/>
  <c r="AF7" i="29"/>
  <c r="AF144" i="29"/>
  <c r="AF129" i="29"/>
  <c r="AF128" i="29" s="1"/>
  <c r="AF119" i="29"/>
  <c r="AF113" i="29"/>
  <c r="AF109" i="29"/>
  <c r="AF103" i="29"/>
  <c r="AF93" i="29"/>
  <c r="AF83" i="29"/>
  <c r="AF69" i="29"/>
  <c r="AF62" i="29"/>
  <c r="AF58" i="29"/>
  <c r="AF50" i="29"/>
  <c r="AF46" i="29"/>
  <c r="AF40" i="29"/>
  <c r="AF34" i="29"/>
  <c r="AF28" i="29"/>
  <c r="AF22" i="29"/>
  <c r="AF18" i="29"/>
  <c r="AF12" i="29"/>
  <c r="AF8" i="29"/>
  <c r="AF97" i="29"/>
  <c r="AF89" i="29"/>
  <c r="AF77" i="29"/>
  <c r="AF66" i="29"/>
  <c r="AF60" i="29"/>
  <c r="AF54" i="29"/>
  <c r="AF53" i="29" s="1"/>
  <c r="AF48" i="29"/>
  <c r="AF44" i="29"/>
  <c r="AF36" i="29"/>
  <c r="AF32" i="29"/>
  <c r="AF24" i="29"/>
  <c r="AF20" i="29"/>
  <c r="AF16" i="29"/>
  <c r="AF10" i="29"/>
  <c r="AF6" i="29"/>
  <c r="AH155" i="29"/>
  <c r="AH148" i="29"/>
  <c r="AH147" i="29"/>
  <c r="AH145" i="29"/>
  <c r="AH143" i="29"/>
  <c r="AH141" i="29"/>
  <c r="AH137" i="29"/>
  <c r="AH135" i="29"/>
  <c r="AH134" i="29"/>
  <c r="AH132" i="29"/>
  <c r="AH126" i="29"/>
  <c r="AH124" i="29"/>
  <c r="AH154" i="29"/>
  <c r="AH144" i="29"/>
  <c r="AH138" i="29"/>
  <c r="AH129" i="29"/>
  <c r="AH128" i="29" s="1"/>
  <c r="AH123" i="29"/>
  <c r="AH122" i="29"/>
  <c r="AH118" i="29"/>
  <c r="AH114" i="29"/>
  <c r="AH112" i="29"/>
  <c r="AH110" i="29"/>
  <c r="AH108" i="29"/>
  <c r="AH106" i="29"/>
  <c r="AH102" i="29"/>
  <c r="AH100" i="29"/>
  <c r="AH96" i="29"/>
  <c r="AH94" i="29"/>
  <c r="AH92" i="29"/>
  <c r="AH90" i="29"/>
  <c r="AH86" i="29"/>
  <c r="AH84" i="29"/>
  <c r="AH80" i="29"/>
  <c r="AH78" i="29"/>
  <c r="AH72" i="29"/>
  <c r="AH70" i="29"/>
  <c r="AH68" i="29"/>
  <c r="AH142" i="29"/>
  <c r="AH125" i="29"/>
  <c r="AH119" i="29"/>
  <c r="AH113" i="29"/>
  <c r="AH109" i="29"/>
  <c r="AH103" i="29"/>
  <c r="AH97" i="29"/>
  <c r="AH93" i="29"/>
  <c r="AH89" i="29"/>
  <c r="AH83" i="29"/>
  <c r="AH77" i="29"/>
  <c r="AH69" i="29"/>
  <c r="AH67" i="29"/>
  <c r="AH65" i="29"/>
  <c r="AH61" i="29"/>
  <c r="AH59" i="29"/>
  <c r="AH57" i="29"/>
  <c r="AH51" i="29"/>
  <c r="AH49" i="29"/>
  <c r="AH47" i="29"/>
  <c r="AH45" i="29"/>
  <c r="AH41" i="29"/>
  <c r="AH37" i="29"/>
  <c r="AH35" i="29"/>
  <c r="AH33" i="29"/>
  <c r="AH29" i="29"/>
  <c r="AH25" i="29"/>
  <c r="AH23" i="29"/>
  <c r="AH21" i="29"/>
  <c r="AH19" i="29"/>
  <c r="AH17" i="29"/>
  <c r="AH13" i="29"/>
  <c r="AH11" i="29"/>
  <c r="AH9" i="29"/>
  <c r="AH7" i="29"/>
  <c r="AH146" i="29"/>
  <c r="AH136" i="29"/>
  <c r="AH133" i="29"/>
  <c r="AH115" i="29"/>
  <c r="AH111" i="29"/>
  <c r="AH107" i="29"/>
  <c r="AH95" i="29"/>
  <c r="AH85" i="29"/>
  <c r="AH71" i="29"/>
  <c r="AH66" i="29"/>
  <c r="AH60" i="29"/>
  <c r="AH54" i="29"/>
  <c r="AH53" i="29" s="1"/>
  <c r="AH48" i="29"/>
  <c r="AH44" i="29"/>
  <c r="AH36" i="29"/>
  <c r="AH32" i="29"/>
  <c r="AH24" i="29"/>
  <c r="AH20" i="29"/>
  <c r="AH16" i="29"/>
  <c r="AH10" i="29"/>
  <c r="AH6" i="29"/>
  <c r="AH101" i="29"/>
  <c r="AH91" i="29"/>
  <c r="AH79" i="29"/>
  <c r="AH62" i="29"/>
  <c r="AH58" i="29"/>
  <c r="AH50" i="29"/>
  <c r="AH46" i="29"/>
  <c r="AH40" i="29"/>
  <c r="AH34" i="29"/>
  <c r="AH28" i="29"/>
  <c r="AH22" i="29"/>
  <c r="AH18" i="29"/>
  <c r="AH12" i="29"/>
  <c r="AH8" i="29"/>
  <c r="AJ155" i="29"/>
  <c r="AJ148" i="29"/>
  <c r="AJ154" i="29"/>
  <c r="AJ147" i="29"/>
  <c r="AJ145" i="29"/>
  <c r="AJ143" i="29"/>
  <c r="AJ141" i="29"/>
  <c r="AJ137" i="29"/>
  <c r="AJ135" i="29"/>
  <c r="AJ134" i="29"/>
  <c r="AJ132" i="29"/>
  <c r="AJ126" i="29"/>
  <c r="AJ124" i="29"/>
  <c r="AJ146" i="29"/>
  <c r="AJ142" i="29"/>
  <c r="AJ136" i="29"/>
  <c r="AJ133" i="29"/>
  <c r="AJ125" i="29"/>
  <c r="AJ122" i="29"/>
  <c r="AJ118" i="29"/>
  <c r="AJ114" i="29"/>
  <c r="AJ112" i="29"/>
  <c r="AJ110" i="29"/>
  <c r="AJ108" i="29"/>
  <c r="AJ106" i="29"/>
  <c r="AJ102" i="29"/>
  <c r="AJ100" i="29"/>
  <c r="AJ96" i="29"/>
  <c r="AJ94" i="29"/>
  <c r="AJ92" i="29"/>
  <c r="AJ90" i="29"/>
  <c r="AJ86" i="29"/>
  <c r="AJ84" i="29"/>
  <c r="AJ80" i="29"/>
  <c r="AJ78" i="29"/>
  <c r="AJ72" i="29"/>
  <c r="AJ70" i="29"/>
  <c r="AJ68" i="29"/>
  <c r="AJ144" i="29"/>
  <c r="AJ129" i="29"/>
  <c r="AJ128" i="29" s="1"/>
  <c r="AJ115" i="29"/>
  <c r="AJ111" i="29"/>
  <c r="AJ107" i="29"/>
  <c r="AJ101" i="29"/>
  <c r="AJ95" i="29"/>
  <c r="AJ91" i="29"/>
  <c r="AJ85" i="29"/>
  <c r="AJ79" i="29"/>
  <c r="AJ71" i="29"/>
  <c r="AJ67" i="29"/>
  <c r="AJ65" i="29"/>
  <c r="AJ61" i="29"/>
  <c r="AJ59" i="29"/>
  <c r="AJ57" i="29"/>
  <c r="AJ51" i="29"/>
  <c r="AJ49" i="29"/>
  <c r="AJ47" i="29"/>
  <c r="AJ45" i="29"/>
  <c r="AJ41" i="29"/>
  <c r="AJ37" i="29"/>
  <c r="AJ35" i="29"/>
  <c r="AJ33" i="29"/>
  <c r="AJ29" i="29"/>
  <c r="AJ25" i="29"/>
  <c r="AJ23" i="29"/>
  <c r="AJ21" i="29"/>
  <c r="AJ19" i="29"/>
  <c r="AJ17" i="29"/>
  <c r="AJ13" i="29"/>
  <c r="AJ11" i="29"/>
  <c r="AJ9" i="29"/>
  <c r="AJ7" i="29"/>
  <c r="AJ138" i="29"/>
  <c r="AJ123" i="29"/>
  <c r="AJ119" i="29"/>
  <c r="AJ113" i="29"/>
  <c r="AJ109" i="29"/>
  <c r="AJ103" i="29"/>
  <c r="AJ97" i="29"/>
  <c r="AJ89" i="29"/>
  <c r="AJ77" i="29"/>
  <c r="AJ62" i="29"/>
  <c r="AJ58" i="29"/>
  <c r="AJ50" i="29"/>
  <c r="AJ46" i="29"/>
  <c r="AJ40" i="29"/>
  <c r="AJ34" i="29"/>
  <c r="AJ28" i="29"/>
  <c r="AJ22" i="29"/>
  <c r="AJ18" i="29"/>
  <c r="AJ12" i="29"/>
  <c r="AJ8" i="29"/>
  <c r="AJ93" i="29"/>
  <c r="AJ83" i="29"/>
  <c r="AJ69" i="29"/>
  <c r="AJ66" i="29"/>
  <c r="AJ60" i="29"/>
  <c r="AJ54" i="29"/>
  <c r="AJ53" i="29" s="1"/>
  <c r="AJ48" i="29"/>
  <c r="AJ44" i="29"/>
  <c r="AJ36" i="29"/>
  <c r="AJ32" i="29"/>
  <c r="AJ24" i="29"/>
  <c r="AJ20" i="29"/>
  <c r="AJ16" i="29"/>
  <c r="AJ10" i="29"/>
  <c r="AJ6" i="29"/>
  <c r="AL155" i="29"/>
  <c r="AL148" i="29"/>
  <c r="AL147" i="29"/>
  <c r="AL145" i="29"/>
  <c r="AL143" i="29"/>
  <c r="AL141" i="29"/>
  <c r="AL137" i="29"/>
  <c r="AL135" i="29"/>
  <c r="AL134" i="29"/>
  <c r="AL132" i="29"/>
  <c r="AL126" i="29"/>
  <c r="AL124" i="29"/>
  <c r="AL144" i="29"/>
  <c r="AL138" i="29"/>
  <c r="AL129" i="29"/>
  <c r="AL128" i="29" s="1"/>
  <c r="AL123" i="29"/>
  <c r="AL122" i="29"/>
  <c r="AL118" i="29"/>
  <c r="AL114" i="29"/>
  <c r="AL112" i="29"/>
  <c r="AL110" i="29"/>
  <c r="AL108" i="29"/>
  <c r="AL106" i="29"/>
  <c r="AL102" i="29"/>
  <c r="AL100" i="29"/>
  <c r="AL96" i="29"/>
  <c r="AL94" i="29"/>
  <c r="AL92" i="29"/>
  <c r="AL90" i="29"/>
  <c r="AL86" i="29"/>
  <c r="AL84" i="29"/>
  <c r="AL80" i="29"/>
  <c r="AL78" i="29"/>
  <c r="AL72" i="29"/>
  <c r="AL70" i="29"/>
  <c r="AL154" i="29"/>
  <c r="AL146" i="29"/>
  <c r="AL136" i="29"/>
  <c r="AL133" i="29"/>
  <c r="AL119" i="29"/>
  <c r="AL113" i="29"/>
  <c r="AL109" i="29"/>
  <c r="AL103" i="29"/>
  <c r="AL97" i="29"/>
  <c r="AL93" i="29"/>
  <c r="AL89" i="29"/>
  <c r="AL83" i="29"/>
  <c r="AL77" i="29"/>
  <c r="AL69" i="29"/>
  <c r="AL67" i="29"/>
  <c r="AL65" i="29"/>
  <c r="AL61" i="29"/>
  <c r="AL59" i="29"/>
  <c r="AL57" i="29"/>
  <c r="AL51" i="29"/>
  <c r="AL49" i="29"/>
  <c r="AL47" i="29"/>
  <c r="AL45" i="29"/>
  <c r="AL41" i="29"/>
  <c r="AL37" i="29"/>
  <c r="AL35" i="29"/>
  <c r="AL33" i="29"/>
  <c r="AL29" i="29"/>
  <c r="AL25" i="29"/>
  <c r="AL23" i="29"/>
  <c r="AL21" i="29"/>
  <c r="AL19" i="29"/>
  <c r="AL17" i="29"/>
  <c r="AL13" i="29"/>
  <c r="AL11" i="29"/>
  <c r="AL9" i="29"/>
  <c r="AL7" i="29"/>
  <c r="AL142" i="29"/>
  <c r="AL125" i="29"/>
  <c r="AL115" i="29"/>
  <c r="AL111" i="29"/>
  <c r="AL107" i="29"/>
  <c r="AL101" i="29"/>
  <c r="AL91" i="29"/>
  <c r="AL79" i="29"/>
  <c r="AL66" i="29"/>
  <c r="AL60" i="29"/>
  <c r="AL54" i="29"/>
  <c r="AL53" i="29" s="1"/>
  <c r="AL48" i="29"/>
  <c r="AL44" i="29"/>
  <c r="AL36" i="29"/>
  <c r="AL32" i="29"/>
  <c r="AL24" i="29"/>
  <c r="AL20" i="29"/>
  <c r="AL16" i="29"/>
  <c r="AL10" i="29"/>
  <c r="AL6" i="29"/>
  <c r="AL95" i="29"/>
  <c r="AL85" i="29"/>
  <c r="AL71" i="29"/>
  <c r="AL68" i="29"/>
  <c r="AL62" i="29"/>
  <c r="AL58" i="29"/>
  <c r="AL50" i="29"/>
  <c r="AL46" i="29"/>
  <c r="AL40" i="29"/>
  <c r="AL34" i="29"/>
  <c r="AL28" i="29"/>
  <c r="AL27" i="29" s="1"/>
  <c r="AL22" i="29"/>
  <c r="AL18" i="29"/>
  <c r="AL12" i="29"/>
  <c r="AL8" i="29"/>
  <c r="AN155" i="29"/>
  <c r="AN148" i="29"/>
  <c r="AN154" i="29"/>
  <c r="AN147" i="29"/>
  <c r="AN145" i="29"/>
  <c r="AN143" i="29"/>
  <c r="AN141" i="29"/>
  <c r="AN137" i="29"/>
  <c r="AN135" i="29"/>
  <c r="AN134" i="29"/>
  <c r="AN132" i="29"/>
  <c r="AN126" i="29"/>
  <c r="AN124" i="29"/>
  <c r="AN146" i="29"/>
  <c r="AN142" i="29"/>
  <c r="AN136" i="29"/>
  <c r="AN133" i="29"/>
  <c r="AN125" i="29"/>
  <c r="AN122" i="29"/>
  <c r="AN118" i="29"/>
  <c r="AN114" i="29"/>
  <c r="AN112" i="29"/>
  <c r="AN110" i="29"/>
  <c r="AN108" i="29"/>
  <c r="AN106" i="29"/>
  <c r="AN102" i="29"/>
  <c r="AN100" i="29"/>
  <c r="AN96" i="29"/>
  <c r="AN94" i="29"/>
  <c r="AN92" i="29"/>
  <c r="AN90" i="29"/>
  <c r="AN86" i="29"/>
  <c r="AN84" i="29"/>
  <c r="AN80" i="29"/>
  <c r="AN78" i="29"/>
  <c r="AN72" i="29"/>
  <c r="AN70" i="29"/>
  <c r="AN138" i="29"/>
  <c r="AN123" i="29"/>
  <c r="AN115" i="29"/>
  <c r="AN111" i="29"/>
  <c r="AN107" i="29"/>
  <c r="AN101" i="29"/>
  <c r="AN95" i="29"/>
  <c r="AN91" i="29"/>
  <c r="AN85" i="29"/>
  <c r="AN79" i="29"/>
  <c r="AN71" i="29"/>
  <c r="AN67" i="29"/>
  <c r="AN65" i="29"/>
  <c r="AN61" i="29"/>
  <c r="AN59" i="29"/>
  <c r="AN57" i="29"/>
  <c r="AN51" i="29"/>
  <c r="AN49" i="29"/>
  <c r="AN47" i="29"/>
  <c r="AN45" i="29"/>
  <c r="AN41" i="29"/>
  <c r="AN37" i="29"/>
  <c r="AN35" i="29"/>
  <c r="AN33" i="29"/>
  <c r="AN29" i="29"/>
  <c r="AN25" i="29"/>
  <c r="AN23" i="29"/>
  <c r="AN21" i="29"/>
  <c r="AN19" i="29"/>
  <c r="AN17" i="29"/>
  <c r="AN13" i="29"/>
  <c r="AN11" i="29"/>
  <c r="AN9" i="29"/>
  <c r="AN7" i="29"/>
  <c r="AN144" i="29"/>
  <c r="AN129" i="29"/>
  <c r="AN128" i="29" s="1"/>
  <c r="AN119" i="29"/>
  <c r="AN113" i="29"/>
  <c r="AN109" i="29"/>
  <c r="AN103" i="29"/>
  <c r="AN93" i="29"/>
  <c r="AN83" i="29"/>
  <c r="AN69" i="29"/>
  <c r="AN68" i="29"/>
  <c r="AN62" i="29"/>
  <c r="AN58" i="29"/>
  <c r="AN50" i="29"/>
  <c r="AN46" i="29"/>
  <c r="AN40" i="29"/>
  <c r="AN34" i="29"/>
  <c r="AN28" i="29"/>
  <c r="AN22" i="29"/>
  <c r="AN18" i="29"/>
  <c r="AN12" i="29"/>
  <c r="AN8" i="29"/>
  <c r="AN97" i="29"/>
  <c r="AN89" i="29"/>
  <c r="AN77" i="29"/>
  <c r="AN66" i="29"/>
  <c r="AN60" i="29"/>
  <c r="AN54" i="29"/>
  <c r="AN53" i="29" s="1"/>
  <c r="AN48" i="29"/>
  <c r="AN44" i="29"/>
  <c r="AN36" i="29"/>
  <c r="AN32" i="29"/>
  <c r="AN24" i="29"/>
  <c r="AN20" i="29"/>
  <c r="AN16" i="29"/>
  <c r="AN10" i="29"/>
  <c r="AN6" i="29"/>
  <c r="AP155" i="29"/>
  <c r="AP147" i="29"/>
  <c r="AP145" i="29"/>
  <c r="AP143" i="29"/>
  <c r="AP141" i="29"/>
  <c r="AP137" i="29"/>
  <c r="AP135" i="29"/>
  <c r="AP134" i="29"/>
  <c r="AP132" i="29"/>
  <c r="AP126" i="29"/>
  <c r="AP124" i="29"/>
  <c r="AP154" i="29"/>
  <c r="AP148" i="29"/>
  <c r="AP144" i="29"/>
  <c r="AP138" i="29"/>
  <c r="AP129" i="29"/>
  <c r="AP128" i="29" s="1"/>
  <c r="AP123" i="29"/>
  <c r="AP122" i="29"/>
  <c r="AP118" i="29"/>
  <c r="AP114" i="29"/>
  <c r="AP112" i="29"/>
  <c r="AP110" i="29"/>
  <c r="AP108" i="29"/>
  <c r="AP106" i="29"/>
  <c r="AP102" i="29"/>
  <c r="AP100" i="29"/>
  <c r="AP96" i="29"/>
  <c r="AP94" i="29"/>
  <c r="AP92" i="29"/>
  <c r="AP90" i="29"/>
  <c r="AP86" i="29"/>
  <c r="AP84" i="29"/>
  <c r="AP80" i="29"/>
  <c r="AP78" i="29"/>
  <c r="AP72" i="29"/>
  <c r="AP70" i="29"/>
  <c r="AP142" i="29"/>
  <c r="AP125" i="29"/>
  <c r="AP119" i="29"/>
  <c r="AP113" i="29"/>
  <c r="AP109" i="29"/>
  <c r="AP103" i="29"/>
  <c r="AP97" i="29"/>
  <c r="AP93" i="29"/>
  <c r="AP89" i="29"/>
  <c r="AP83" i="29"/>
  <c r="AP77" i="29"/>
  <c r="AP69" i="29"/>
  <c r="AP67" i="29"/>
  <c r="AP65" i="29"/>
  <c r="AP61" i="29"/>
  <c r="AP59" i="29"/>
  <c r="AP57" i="29"/>
  <c r="AP51" i="29"/>
  <c r="AP49" i="29"/>
  <c r="AP47" i="29"/>
  <c r="AP45" i="29"/>
  <c r="AP41" i="29"/>
  <c r="AP37" i="29"/>
  <c r="AP35" i="29"/>
  <c r="AP33" i="29"/>
  <c r="AP29" i="29"/>
  <c r="AP25" i="29"/>
  <c r="AP23" i="29"/>
  <c r="AP21" i="29"/>
  <c r="AP19" i="29"/>
  <c r="AP17" i="29"/>
  <c r="AP13" i="29"/>
  <c r="AP11" i="29"/>
  <c r="AP9" i="29"/>
  <c r="AP7" i="29"/>
  <c r="AP146" i="29"/>
  <c r="AP136" i="29"/>
  <c r="AP133" i="29"/>
  <c r="AP115" i="29"/>
  <c r="AP111" i="29"/>
  <c r="AP107" i="29"/>
  <c r="AP95" i="29"/>
  <c r="AP85" i="29"/>
  <c r="AP71" i="29"/>
  <c r="AP66" i="29"/>
  <c r="AP60" i="29"/>
  <c r="AP54" i="29"/>
  <c r="AP53" i="29" s="1"/>
  <c r="AP48" i="29"/>
  <c r="AP44" i="29"/>
  <c r="AP36" i="29"/>
  <c r="AP32" i="29"/>
  <c r="AP24" i="29"/>
  <c r="AP20" i="29"/>
  <c r="AP16" i="29"/>
  <c r="AP10" i="29"/>
  <c r="AP6" i="29"/>
  <c r="AP101" i="29"/>
  <c r="AP91" i="29"/>
  <c r="AP79" i="29"/>
  <c r="AP68" i="29"/>
  <c r="AP62" i="29"/>
  <c r="AP58" i="29"/>
  <c r="AP50" i="29"/>
  <c r="AP46" i="29"/>
  <c r="AP40" i="29"/>
  <c r="AP34" i="29"/>
  <c r="AP28" i="29"/>
  <c r="AP22" i="29"/>
  <c r="AP18" i="29"/>
  <c r="AP12" i="29"/>
  <c r="AP8" i="29"/>
  <c r="AR155" i="29"/>
  <c r="AR154" i="29"/>
  <c r="AR147" i="29"/>
  <c r="AR145" i="29"/>
  <c r="AR143" i="29"/>
  <c r="AR141" i="29"/>
  <c r="AR137" i="29"/>
  <c r="AR135" i="29"/>
  <c r="AR134" i="29"/>
  <c r="AR132" i="29"/>
  <c r="AR126" i="29"/>
  <c r="AR124" i="29"/>
  <c r="AR146" i="29"/>
  <c r="AR142" i="29"/>
  <c r="AR136" i="29"/>
  <c r="AR133" i="29"/>
  <c r="AR125" i="29"/>
  <c r="AR122" i="29"/>
  <c r="AR118" i="29"/>
  <c r="AR114" i="29"/>
  <c r="AR112" i="29"/>
  <c r="AR110" i="29"/>
  <c r="AR108" i="29"/>
  <c r="AR106" i="29"/>
  <c r="AR102" i="29"/>
  <c r="AR100" i="29"/>
  <c r="AR96" i="29"/>
  <c r="AR94" i="29"/>
  <c r="AR92" i="29"/>
  <c r="AR90" i="29"/>
  <c r="AR86" i="29"/>
  <c r="AR84" i="29"/>
  <c r="AR80" i="29"/>
  <c r="AR78" i="29"/>
  <c r="AR72" i="29"/>
  <c r="AR70" i="29"/>
  <c r="AR144" i="29"/>
  <c r="AR129" i="29"/>
  <c r="AR128" i="29" s="1"/>
  <c r="AR115" i="29"/>
  <c r="AR111" i="29"/>
  <c r="AR107" i="29"/>
  <c r="AR101" i="29"/>
  <c r="AR95" i="29"/>
  <c r="AR91" i="29"/>
  <c r="AR85" i="29"/>
  <c r="AR79" i="29"/>
  <c r="AR71" i="29"/>
  <c r="AR67" i="29"/>
  <c r="AR65" i="29"/>
  <c r="AR61" i="29"/>
  <c r="AR59" i="29"/>
  <c r="AR57" i="29"/>
  <c r="AR51" i="29"/>
  <c r="AR49" i="29"/>
  <c r="AR47" i="29"/>
  <c r="AR45" i="29"/>
  <c r="AR41" i="29"/>
  <c r="AR37" i="29"/>
  <c r="AR35" i="29"/>
  <c r="AR33" i="29"/>
  <c r="AR29" i="29"/>
  <c r="AR25" i="29"/>
  <c r="AR23" i="29"/>
  <c r="AR21" i="29"/>
  <c r="AR19" i="29"/>
  <c r="AR17" i="29"/>
  <c r="AR13" i="29"/>
  <c r="AR11" i="29"/>
  <c r="AR9" i="29"/>
  <c r="AR7" i="29"/>
  <c r="AR148" i="29"/>
  <c r="AR138" i="29"/>
  <c r="AR123" i="29"/>
  <c r="AR119" i="29"/>
  <c r="AR113" i="29"/>
  <c r="AR109" i="29"/>
  <c r="AR103" i="29"/>
  <c r="AR97" i="29"/>
  <c r="AR89" i="29"/>
  <c r="AR77" i="29"/>
  <c r="AR68" i="29"/>
  <c r="AR62" i="29"/>
  <c r="AR58" i="29"/>
  <c r="AR50" i="29"/>
  <c r="AR46" i="29"/>
  <c r="AR40" i="29"/>
  <c r="AR34" i="29"/>
  <c r="AR28" i="29"/>
  <c r="AR22" i="29"/>
  <c r="AR18" i="29"/>
  <c r="AR12" i="29"/>
  <c r="AR8" i="29"/>
  <c r="AR93" i="29"/>
  <c r="AR83" i="29"/>
  <c r="AR69" i="29"/>
  <c r="AR66" i="29"/>
  <c r="AR60" i="29"/>
  <c r="AR54" i="29"/>
  <c r="AR53" i="29" s="1"/>
  <c r="AR48" i="29"/>
  <c r="AR44" i="29"/>
  <c r="AR36" i="29"/>
  <c r="AR32" i="29"/>
  <c r="AR24" i="29"/>
  <c r="AR20" i="29"/>
  <c r="AR16" i="29"/>
  <c r="AR10" i="29"/>
  <c r="AR6" i="29"/>
  <c r="AT155" i="29"/>
  <c r="AT147" i="29"/>
  <c r="AT145" i="29"/>
  <c r="AT143" i="29"/>
  <c r="AT141" i="29"/>
  <c r="AT137" i="29"/>
  <c r="AT135" i="29"/>
  <c r="AT134" i="29"/>
  <c r="AT132" i="29"/>
  <c r="AT126" i="29"/>
  <c r="AT124" i="29"/>
  <c r="AT148" i="29"/>
  <c r="AT144" i="29"/>
  <c r="AT138" i="29"/>
  <c r="AT129" i="29"/>
  <c r="AT128" i="29" s="1"/>
  <c r="AT123" i="29"/>
  <c r="AT122" i="29"/>
  <c r="AT118" i="29"/>
  <c r="AT114" i="29"/>
  <c r="AT112" i="29"/>
  <c r="AT110" i="29"/>
  <c r="AT108" i="29"/>
  <c r="AT106" i="29"/>
  <c r="AT102" i="29"/>
  <c r="AT100" i="29"/>
  <c r="AT96" i="29"/>
  <c r="AT94" i="29"/>
  <c r="AT92" i="29"/>
  <c r="AT90" i="29"/>
  <c r="AT86" i="29"/>
  <c r="AT84" i="29"/>
  <c r="AT80" i="29"/>
  <c r="AT78" i="29"/>
  <c r="AT72" i="29"/>
  <c r="AT70" i="29"/>
  <c r="AT146" i="29"/>
  <c r="AT136" i="29"/>
  <c r="AT133" i="29"/>
  <c r="AT119" i="29"/>
  <c r="AT113" i="29"/>
  <c r="AT109" i="29"/>
  <c r="AT103" i="29"/>
  <c r="AT97" i="29"/>
  <c r="AT93" i="29"/>
  <c r="AT89" i="29"/>
  <c r="AT83" i="29"/>
  <c r="AT77" i="29"/>
  <c r="AT69" i="29"/>
  <c r="AT67" i="29"/>
  <c r="AT65" i="29"/>
  <c r="AT61" i="29"/>
  <c r="AT59" i="29"/>
  <c r="AT57" i="29"/>
  <c r="AT51" i="29"/>
  <c r="AT49" i="29"/>
  <c r="AT47" i="29"/>
  <c r="AT45" i="29"/>
  <c r="AT41" i="29"/>
  <c r="AT37" i="29"/>
  <c r="AT35" i="29"/>
  <c r="AT33" i="29"/>
  <c r="AT29" i="29"/>
  <c r="AT25" i="29"/>
  <c r="AT23" i="29"/>
  <c r="AT21" i="29"/>
  <c r="AT19" i="29"/>
  <c r="AT17" i="29"/>
  <c r="AT13" i="29"/>
  <c r="AT11" i="29"/>
  <c r="AT9" i="29"/>
  <c r="AT7" i="29"/>
  <c r="AT154" i="29"/>
  <c r="AT142" i="29"/>
  <c r="AT125" i="29"/>
  <c r="AT115" i="29"/>
  <c r="AT111" i="29"/>
  <c r="AT107" i="29"/>
  <c r="AT101" i="29"/>
  <c r="AT91" i="29"/>
  <c r="AT79" i="29"/>
  <c r="AT66" i="29"/>
  <c r="AT60" i="29"/>
  <c r="AT54" i="29"/>
  <c r="AT53" i="29" s="1"/>
  <c r="AT48" i="29"/>
  <c r="AT44" i="29"/>
  <c r="AT36" i="29"/>
  <c r="AT32" i="29"/>
  <c r="AT24" i="29"/>
  <c r="AT20" i="29"/>
  <c r="AT16" i="29"/>
  <c r="AT10" i="29"/>
  <c r="AT6" i="29"/>
  <c r="AT95" i="29"/>
  <c r="AT85" i="29"/>
  <c r="AT71" i="29"/>
  <c r="AT68" i="29"/>
  <c r="AT62" i="29"/>
  <c r="AT58" i="29"/>
  <c r="AT50" i="29"/>
  <c r="AT46" i="29"/>
  <c r="AT40" i="29"/>
  <c r="AT34" i="29"/>
  <c r="AT28" i="29"/>
  <c r="AT22" i="29"/>
  <c r="AT18" i="29"/>
  <c r="AT12" i="29"/>
  <c r="AT8" i="29"/>
  <c r="AV155" i="29"/>
  <c r="AV154" i="29"/>
  <c r="AV147" i="29"/>
  <c r="AV145" i="29"/>
  <c r="AV143" i="29"/>
  <c r="AV141" i="29"/>
  <c r="AV137" i="29"/>
  <c r="AV135" i="29"/>
  <c r="AV134" i="29"/>
  <c r="AV132" i="29"/>
  <c r="AV126" i="29"/>
  <c r="AV124" i="29"/>
  <c r="AV146" i="29"/>
  <c r="AV142" i="29"/>
  <c r="AV136" i="29"/>
  <c r="AV133" i="29"/>
  <c r="AV125" i="29"/>
  <c r="AV122" i="29"/>
  <c r="AV118" i="29"/>
  <c r="AV114" i="29"/>
  <c r="AV112" i="29"/>
  <c r="AV110" i="29"/>
  <c r="AV108" i="29"/>
  <c r="AV106" i="29"/>
  <c r="AV102" i="29"/>
  <c r="AV100" i="29"/>
  <c r="AV96" i="29"/>
  <c r="AV94" i="29"/>
  <c r="AV92" i="29"/>
  <c r="AV90" i="29"/>
  <c r="AV86" i="29"/>
  <c r="AV84" i="29"/>
  <c r="AV80" i="29"/>
  <c r="AV78" i="29"/>
  <c r="AV72" i="29"/>
  <c r="AV70" i="29"/>
  <c r="AV148" i="29"/>
  <c r="AV138" i="29"/>
  <c r="AV123" i="29"/>
  <c r="AV115" i="29"/>
  <c r="AV111" i="29"/>
  <c r="AV107" i="29"/>
  <c r="AV101" i="29"/>
  <c r="AV95" i="29"/>
  <c r="AV91" i="29"/>
  <c r="AV85" i="29"/>
  <c r="AV79" i="29"/>
  <c r="AV71" i="29"/>
  <c r="AV67" i="29"/>
  <c r="AV65" i="29"/>
  <c r="AV61" i="29"/>
  <c r="AV59" i="29"/>
  <c r="AV57" i="29"/>
  <c r="AV51" i="29"/>
  <c r="AV49" i="29"/>
  <c r="AV47" i="29"/>
  <c r="AV45" i="29"/>
  <c r="AV41" i="29"/>
  <c r="AV37" i="29"/>
  <c r="AV35" i="29"/>
  <c r="AV33" i="29"/>
  <c r="AV29" i="29"/>
  <c r="AV25" i="29"/>
  <c r="AV23" i="29"/>
  <c r="AV21" i="29"/>
  <c r="AV19" i="29"/>
  <c r="AV17" i="29"/>
  <c r="AV13" i="29"/>
  <c r="AV11" i="29"/>
  <c r="AV9" i="29"/>
  <c r="AV7" i="29"/>
  <c r="AV144" i="29"/>
  <c r="AV129" i="29"/>
  <c r="AV128" i="29" s="1"/>
  <c r="AV119" i="29"/>
  <c r="AV113" i="29"/>
  <c r="AV109" i="29"/>
  <c r="AV103" i="29"/>
  <c r="AV93" i="29"/>
  <c r="AV83" i="29"/>
  <c r="AV69" i="29"/>
  <c r="AV68" i="29"/>
  <c r="AV62" i="29"/>
  <c r="AV58" i="29"/>
  <c r="AV50" i="29"/>
  <c r="AV46" i="29"/>
  <c r="AV40" i="29"/>
  <c r="AV34" i="29"/>
  <c r="AV28" i="29"/>
  <c r="AV22" i="29"/>
  <c r="AV18" i="29"/>
  <c r="AV12" i="29"/>
  <c r="AV8" i="29"/>
  <c r="AV97" i="29"/>
  <c r="AV89" i="29"/>
  <c r="AV77" i="29"/>
  <c r="AV66" i="29"/>
  <c r="AV60" i="29"/>
  <c r="AV54" i="29"/>
  <c r="AV53" i="29" s="1"/>
  <c r="AV48" i="29"/>
  <c r="AV44" i="29"/>
  <c r="AV36" i="29"/>
  <c r="AV32" i="29"/>
  <c r="AV24" i="29"/>
  <c r="AV20" i="29"/>
  <c r="AV16" i="29"/>
  <c r="AV10" i="29"/>
  <c r="AV6" i="29"/>
  <c r="AX155" i="29"/>
  <c r="AX147" i="29"/>
  <c r="AX145" i="29"/>
  <c r="AX143" i="29"/>
  <c r="AX141" i="29"/>
  <c r="AX137" i="29"/>
  <c r="AX135" i="29"/>
  <c r="AX134" i="29"/>
  <c r="AX132" i="29"/>
  <c r="AX126" i="29"/>
  <c r="AX124" i="29"/>
  <c r="AX154" i="29"/>
  <c r="AX148" i="29"/>
  <c r="AX144" i="29"/>
  <c r="AX138" i="29"/>
  <c r="AX129" i="29"/>
  <c r="AX128" i="29" s="1"/>
  <c r="AX123" i="29"/>
  <c r="AX122" i="29"/>
  <c r="AX118" i="29"/>
  <c r="AX114" i="29"/>
  <c r="AX112" i="29"/>
  <c r="AX110" i="29"/>
  <c r="AX108" i="29"/>
  <c r="AX106" i="29"/>
  <c r="AX102" i="29"/>
  <c r="AX100" i="29"/>
  <c r="AX96" i="29"/>
  <c r="AX94" i="29"/>
  <c r="AX92" i="29"/>
  <c r="AX90" i="29"/>
  <c r="AX86" i="29"/>
  <c r="AX84" i="29"/>
  <c r="AX80" i="29"/>
  <c r="AX78" i="29"/>
  <c r="AX72" i="29"/>
  <c r="AX70" i="29"/>
  <c r="AX142" i="29"/>
  <c r="AX125" i="29"/>
  <c r="AX119" i="29"/>
  <c r="AX113" i="29"/>
  <c r="AX109" i="29"/>
  <c r="AX103" i="29"/>
  <c r="AX97" i="29"/>
  <c r="AX93" i="29"/>
  <c r="AX89" i="29"/>
  <c r="AX83" i="29"/>
  <c r="AX77" i="29"/>
  <c r="AX69" i="29"/>
  <c r="AX67" i="29"/>
  <c r="AX65" i="29"/>
  <c r="AX61" i="29"/>
  <c r="AX59" i="29"/>
  <c r="AX57" i="29"/>
  <c r="AX51" i="29"/>
  <c r="AX49" i="29"/>
  <c r="AX47" i="29"/>
  <c r="AX45" i="29"/>
  <c r="AX41" i="29"/>
  <c r="AX37" i="29"/>
  <c r="AX35" i="29"/>
  <c r="AX33" i="29"/>
  <c r="AX29" i="29"/>
  <c r="AX25" i="29"/>
  <c r="AX23" i="29"/>
  <c r="AX21" i="29"/>
  <c r="AX19" i="29"/>
  <c r="AX17" i="29"/>
  <c r="AX13" i="29"/>
  <c r="AX11" i="29"/>
  <c r="AX9" i="29"/>
  <c r="AX7" i="29"/>
  <c r="AX146" i="29"/>
  <c r="AX136" i="29"/>
  <c r="AX133" i="29"/>
  <c r="AX115" i="29"/>
  <c r="AX111" i="29"/>
  <c r="AX107" i="29"/>
  <c r="AX95" i="29"/>
  <c r="AX85" i="29"/>
  <c r="AX71" i="29"/>
  <c r="AX66" i="29"/>
  <c r="AX60" i="29"/>
  <c r="AX54" i="29"/>
  <c r="AX53" i="29" s="1"/>
  <c r="AX48" i="29"/>
  <c r="AX44" i="29"/>
  <c r="AX36" i="29"/>
  <c r="AX32" i="29"/>
  <c r="AX24" i="29"/>
  <c r="AX20" i="29"/>
  <c r="AX16" i="29"/>
  <c r="AX10" i="29"/>
  <c r="AX6" i="29"/>
  <c r="AX101" i="29"/>
  <c r="AX91" i="29"/>
  <c r="AX79" i="29"/>
  <c r="AX68" i="29"/>
  <c r="AX62" i="29"/>
  <c r="AX58" i="29"/>
  <c r="AX50" i="29"/>
  <c r="AX46" i="29"/>
  <c r="AX40" i="29"/>
  <c r="AX34" i="29"/>
  <c r="AX28" i="29"/>
  <c r="AX22" i="29"/>
  <c r="AX18" i="29"/>
  <c r="AX12" i="29"/>
  <c r="AX8" i="29"/>
  <c r="AZ155" i="29"/>
  <c r="AZ154" i="29"/>
  <c r="AZ147" i="29"/>
  <c r="AZ145" i="29"/>
  <c r="AZ143" i="29"/>
  <c r="AZ141" i="29"/>
  <c r="AZ137" i="29"/>
  <c r="AZ135" i="29"/>
  <c r="AZ134" i="29"/>
  <c r="AZ132" i="29"/>
  <c r="AZ126" i="29"/>
  <c r="AZ124" i="29"/>
  <c r="AZ146" i="29"/>
  <c r="AZ142" i="29"/>
  <c r="AZ136" i="29"/>
  <c r="AZ133" i="29"/>
  <c r="AZ125" i="29"/>
  <c r="AZ122" i="29"/>
  <c r="AZ118" i="29"/>
  <c r="AZ114" i="29"/>
  <c r="AZ112" i="29"/>
  <c r="AZ110" i="29"/>
  <c r="AZ108" i="29"/>
  <c r="AZ106" i="29"/>
  <c r="AZ102" i="29"/>
  <c r="AZ100" i="29"/>
  <c r="AZ96" i="29"/>
  <c r="AZ94" i="29"/>
  <c r="AZ92" i="29"/>
  <c r="AZ90" i="29"/>
  <c r="AZ86" i="29"/>
  <c r="AZ84" i="29"/>
  <c r="AZ80" i="29"/>
  <c r="AZ78" i="29"/>
  <c r="AZ72" i="29"/>
  <c r="AZ70" i="29"/>
  <c r="AZ144" i="29"/>
  <c r="AZ129" i="29"/>
  <c r="AZ128" i="29" s="1"/>
  <c r="AZ115" i="29"/>
  <c r="AZ111" i="29"/>
  <c r="AZ107" i="29"/>
  <c r="AZ101" i="29"/>
  <c r="AZ95" i="29"/>
  <c r="AZ91" i="29"/>
  <c r="AZ85" i="29"/>
  <c r="AZ79" i="29"/>
  <c r="AZ71" i="29"/>
  <c r="AZ67" i="29"/>
  <c r="AZ65" i="29"/>
  <c r="AZ61" i="29"/>
  <c r="AZ59" i="29"/>
  <c r="AZ57" i="29"/>
  <c r="AZ51" i="29"/>
  <c r="AZ49" i="29"/>
  <c r="AZ47" i="29"/>
  <c r="AZ45" i="29"/>
  <c r="AZ41" i="29"/>
  <c r="AZ37" i="29"/>
  <c r="AZ35" i="29"/>
  <c r="AZ33" i="29"/>
  <c r="AZ29" i="29"/>
  <c r="AZ25" i="29"/>
  <c r="AZ23" i="29"/>
  <c r="AZ21" i="29"/>
  <c r="AZ19" i="29"/>
  <c r="AZ17" i="29"/>
  <c r="AZ13" i="29"/>
  <c r="AZ11" i="29"/>
  <c r="AZ9" i="29"/>
  <c r="AZ7" i="29"/>
  <c r="AZ148" i="29"/>
  <c r="AZ138" i="29"/>
  <c r="AZ123" i="29"/>
  <c r="AZ119" i="29"/>
  <c r="AZ113" i="29"/>
  <c r="AZ109" i="29"/>
  <c r="AZ97" i="29"/>
  <c r="AZ89" i="29"/>
  <c r="AZ77" i="29"/>
  <c r="AZ68" i="29"/>
  <c r="AZ62" i="29"/>
  <c r="AZ58" i="29"/>
  <c r="AZ50" i="29"/>
  <c r="AZ46" i="29"/>
  <c r="AZ40" i="29"/>
  <c r="AZ34" i="29"/>
  <c r="AZ28" i="29"/>
  <c r="AZ22" i="29"/>
  <c r="AZ18" i="29"/>
  <c r="AZ12" i="29"/>
  <c r="AZ8" i="29"/>
  <c r="AZ103" i="29"/>
  <c r="AZ93" i="29"/>
  <c r="AZ83" i="29"/>
  <c r="AZ69" i="29"/>
  <c r="AZ66" i="29"/>
  <c r="AZ60" i="29"/>
  <c r="AZ54" i="29"/>
  <c r="AZ53" i="29" s="1"/>
  <c r="AZ48" i="29"/>
  <c r="AZ44" i="29"/>
  <c r="AZ36" i="29"/>
  <c r="AZ32" i="29"/>
  <c r="AZ24" i="29"/>
  <c r="AZ20" i="29"/>
  <c r="AZ16" i="29"/>
  <c r="AZ10" i="29"/>
  <c r="AZ6" i="29"/>
  <c r="BB155" i="29"/>
  <c r="BB147" i="29"/>
  <c r="BB145" i="29"/>
  <c r="BB143" i="29"/>
  <c r="BB141" i="29"/>
  <c r="BB137" i="29"/>
  <c r="BB135" i="29"/>
  <c r="BB134" i="29"/>
  <c r="BB132" i="29"/>
  <c r="BB126" i="29"/>
  <c r="BB124" i="29"/>
  <c r="BB148" i="29"/>
  <c r="BB144" i="29"/>
  <c r="BB138" i="29"/>
  <c r="BB129" i="29"/>
  <c r="BB128" i="29" s="1"/>
  <c r="BB123" i="29"/>
  <c r="BB122" i="29"/>
  <c r="BB118" i="29"/>
  <c r="BB114" i="29"/>
  <c r="BB112" i="29"/>
  <c r="BB110" i="29"/>
  <c r="BB108" i="29"/>
  <c r="BB106" i="29"/>
  <c r="BB102" i="29"/>
  <c r="BB100" i="29"/>
  <c r="BB96" i="29"/>
  <c r="BB94" i="29"/>
  <c r="BB92" i="29"/>
  <c r="BB90" i="29"/>
  <c r="BB86" i="29"/>
  <c r="BB84" i="29"/>
  <c r="BB80" i="29"/>
  <c r="BB78" i="29"/>
  <c r="BB72" i="29"/>
  <c r="BB70" i="29"/>
  <c r="BB154" i="29"/>
  <c r="BB146" i="29"/>
  <c r="BB136" i="29"/>
  <c r="BB133" i="29"/>
  <c r="BB119" i="29"/>
  <c r="BB113" i="29"/>
  <c r="BB109" i="29"/>
  <c r="BB103" i="29"/>
  <c r="BB97" i="29"/>
  <c r="BB93" i="29"/>
  <c r="BB89" i="29"/>
  <c r="BB83" i="29"/>
  <c r="BB77" i="29"/>
  <c r="BB69" i="29"/>
  <c r="BB67" i="29"/>
  <c r="BB65" i="29"/>
  <c r="BB61" i="29"/>
  <c r="BB59" i="29"/>
  <c r="BB57" i="29"/>
  <c r="BB51" i="29"/>
  <c r="BB49" i="29"/>
  <c r="BB47" i="29"/>
  <c r="BB45" i="29"/>
  <c r="BB41" i="29"/>
  <c r="BB37" i="29"/>
  <c r="BB35" i="29"/>
  <c r="BB33" i="29"/>
  <c r="BB29" i="29"/>
  <c r="BB25" i="29"/>
  <c r="BB23" i="29"/>
  <c r="BB21" i="29"/>
  <c r="BB19" i="29"/>
  <c r="BB17" i="29"/>
  <c r="BB13" i="29"/>
  <c r="BB11" i="29"/>
  <c r="BB9" i="29"/>
  <c r="BB7" i="29"/>
  <c r="BB142" i="29"/>
  <c r="BB125" i="29"/>
  <c r="BB115" i="29"/>
  <c r="BB111" i="29"/>
  <c r="BB107" i="29"/>
  <c r="BB101" i="29"/>
  <c r="BB91" i="29"/>
  <c r="BB79" i="29"/>
  <c r="BB66" i="29"/>
  <c r="BB60" i="29"/>
  <c r="BB54" i="29"/>
  <c r="BB53" i="29" s="1"/>
  <c r="BB48" i="29"/>
  <c r="BB44" i="29"/>
  <c r="BB36" i="29"/>
  <c r="BB32" i="29"/>
  <c r="BB24" i="29"/>
  <c r="BB20" i="29"/>
  <c r="BB16" i="29"/>
  <c r="BB10" i="29"/>
  <c r="BB6" i="29"/>
  <c r="BB95" i="29"/>
  <c r="BB85" i="29"/>
  <c r="BB71" i="29"/>
  <c r="BB68" i="29"/>
  <c r="BB62" i="29"/>
  <c r="BB58" i="29"/>
  <c r="BB50" i="29"/>
  <c r="BB46" i="29"/>
  <c r="BB40" i="29"/>
  <c r="BB34" i="29"/>
  <c r="BB28" i="29"/>
  <c r="BB22" i="29"/>
  <c r="BB18" i="29"/>
  <c r="BB12" i="29"/>
  <c r="BB8" i="29"/>
  <c r="BD155" i="29"/>
  <c r="BD154" i="29"/>
  <c r="BD147" i="29"/>
  <c r="BD145" i="29"/>
  <c r="BD143" i="29"/>
  <c r="BD141" i="29"/>
  <c r="BD137" i="29"/>
  <c r="BD135" i="29"/>
  <c r="BD134" i="29"/>
  <c r="BD132" i="29"/>
  <c r="BD126" i="29"/>
  <c r="BD124" i="29"/>
  <c r="BD146" i="29"/>
  <c r="BD142" i="29"/>
  <c r="BD136" i="29"/>
  <c r="BD133" i="29"/>
  <c r="BD125" i="29"/>
  <c r="BD122" i="29"/>
  <c r="BD118" i="29"/>
  <c r="BD114" i="29"/>
  <c r="BD112" i="29"/>
  <c r="BD110" i="29"/>
  <c r="BD108" i="29"/>
  <c r="BD106" i="29"/>
  <c r="BD102" i="29"/>
  <c r="BD100" i="29"/>
  <c r="BD96" i="29"/>
  <c r="BD94" i="29"/>
  <c r="BD92" i="29"/>
  <c r="BD90" i="29"/>
  <c r="BD86" i="29"/>
  <c r="BD84" i="29"/>
  <c r="BD80" i="29"/>
  <c r="BD78" i="29"/>
  <c r="BD72" i="29"/>
  <c r="BD70" i="29"/>
  <c r="BD148" i="29"/>
  <c r="BD138" i="29"/>
  <c r="BD123" i="29"/>
  <c r="BD115" i="29"/>
  <c r="BD111" i="29"/>
  <c r="BD107" i="29"/>
  <c r="BD101" i="29"/>
  <c r="BD95" i="29"/>
  <c r="BD91" i="29"/>
  <c r="BD85" i="29"/>
  <c r="BD79" i="29"/>
  <c r="BD71" i="29"/>
  <c r="BD67" i="29"/>
  <c r="BD65" i="29"/>
  <c r="BD61" i="29"/>
  <c r="BD59" i="29"/>
  <c r="BD57" i="29"/>
  <c r="BD51" i="29"/>
  <c r="BD49" i="29"/>
  <c r="BD47" i="29"/>
  <c r="BD45" i="29"/>
  <c r="BD41" i="29"/>
  <c r="BD37" i="29"/>
  <c r="BD35" i="29"/>
  <c r="BD33" i="29"/>
  <c r="BD29" i="29"/>
  <c r="BD25" i="29"/>
  <c r="BD23" i="29"/>
  <c r="BD21" i="29"/>
  <c r="BD19" i="29"/>
  <c r="BD17" i="29"/>
  <c r="BD13" i="29"/>
  <c r="BD11" i="29"/>
  <c r="BD9" i="29"/>
  <c r="BD7" i="29"/>
  <c r="BD144" i="29"/>
  <c r="BD129" i="29"/>
  <c r="BD128" i="29" s="1"/>
  <c r="BD119" i="29"/>
  <c r="BD113" i="29"/>
  <c r="BD109" i="29"/>
  <c r="BD103" i="29"/>
  <c r="BD93" i="29"/>
  <c r="BD83" i="29"/>
  <c r="BD69" i="29"/>
  <c r="BD68" i="29"/>
  <c r="BD62" i="29"/>
  <c r="BD58" i="29"/>
  <c r="BD50" i="29"/>
  <c r="BD46" i="29"/>
  <c r="BD40" i="29"/>
  <c r="BD34" i="29"/>
  <c r="BD28" i="29"/>
  <c r="BD22" i="29"/>
  <c r="BD18" i="29"/>
  <c r="BD12" i="29"/>
  <c r="BD8" i="29"/>
  <c r="BD97" i="29"/>
  <c r="BD89" i="29"/>
  <c r="BD77" i="29"/>
  <c r="BD66" i="29"/>
  <c r="BD60" i="29"/>
  <c r="BD54" i="29"/>
  <c r="BD53" i="29" s="1"/>
  <c r="BD48" i="29"/>
  <c r="BD44" i="29"/>
  <c r="BD36" i="29"/>
  <c r="BD32" i="29"/>
  <c r="BD24" i="29"/>
  <c r="BD20" i="29"/>
  <c r="BD16" i="29"/>
  <c r="BD10" i="29"/>
  <c r="BD6" i="29"/>
  <c r="BF2" i="23"/>
  <c r="BH2" i="23"/>
  <c r="BI2" i="23"/>
  <c r="BI7" i="23"/>
  <c r="BI8" i="23"/>
  <c r="BI9" i="23"/>
  <c r="BI10" i="23"/>
  <c r="BI11" i="23"/>
  <c r="BI12" i="23"/>
  <c r="BI13" i="23"/>
  <c r="BH7" i="23"/>
  <c r="BH8" i="23"/>
  <c r="BH9" i="23"/>
  <c r="BH10" i="23"/>
  <c r="BH11" i="23"/>
  <c r="BH12" i="23"/>
  <c r="BH13" i="23"/>
  <c r="BG7" i="23"/>
  <c r="BG8" i="23"/>
  <c r="BG9" i="23"/>
  <c r="BG10" i="23"/>
  <c r="BG11" i="23"/>
  <c r="BG12" i="23"/>
  <c r="BG13" i="23"/>
  <c r="BH6" i="23"/>
  <c r="BG6" i="23"/>
  <c r="BF155" i="23"/>
  <c r="BF154" i="23"/>
  <c r="BF142" i="23"/>
  <c r="BF143" i="23"/>
  <c r="BF144" i="23"/>
  <c r="BF145" i="23"/>
  <c r="BF146" i="23"/>
  <c r="BF147" i="23"/>
  <c r="BF148" i="23"/>
  <c r="BF141" i="23"/>
  <c r="BF133" i="23"/>
  <c r="BF134" i="23"/>
  <c r="BF135" i="23"/>
  <c r="BF136" i="23"/>
  <c r="BF137" i="23"/>
  <c r="BF138" i="23"/>
  <c r="BF132" i="23"/>
  <c r="BF129" i="23"/>
  <c r="BF128" i="23" s="1"/>
  <c r="B23" i="80" s="1"/>
  <c r="BF123" i="23"/>
  <c r="BF124" i="23"/>
  <c r="BF125" i="23"/>
  <c r="BF126" i="23"/>
  <c r="BF122" i="23"/>
  <c r="BF119" i="23"/>
  <c r="BF118" i="23"/>
  <c r="BF107" i="23"/>
  <c r="BF108" i="23"/>
  <c r="BF109" i="23"/>
  <c r="BF110" i="23"/>
  <c r="BF111" i="23"/>
  <c r="BF112" i="23"/>
  <c r="BF113" i="23"/>
  <c r="BF114" i="23"/>
  <c r="BF115" i="23"/>
  <c r="BF106" i="23"/>
  <c r="BF101" i="23"/>
  <c r="BF102" i="23"/>
  <c r="BF103" i="23"/>
  <c r="BF100" i="23"/>
  <c r="BF90" i="23"/>
  <c r="BF91" i="23"/>
  <c r="BF92" i="23"/>
  <c r="BF93" i="23"/>
  <c r="BF94" i="23"/>
  <c r="BF95" i="23"/>
  <c r="BF96" i="23"/>
  <c r="BF97" i="23"/>
  <c r="BF89" i="23"/>
  <c r="BF84" i="23"/>
  <c r="BF85" i="23"/>
  <c r="BF86" i="23"/>
  <c r="BF83" i="23"/>
  <c r="BF78" i="23"/>
  <c r="BF79" i="23"/>
  <c r="BF80" i="23"/>
  <c r="BF77" i="23"/>
  <c r="BF66" i="23"/>
  <c r="BF67" i="23"/>
  <c r="BF68" i="23"/>
  <c r="BF69" i="23"/>
  <c r="BF70" i="23"/>
  <c r="BF71" i="23"/>
  <c r="BF72" i="23"/>
  <c r="BF65" i="23"/>
  <c r="BF58" i="23"/>
  <c r="BF59" i="23"/>
  <c r="BF60" i="23"/>
  <c r="BF61" i="23"/>
  <c r="BF62" i="23"/>
  <c r="BF57" i="23"/>
  <c r="BF54" i="23"/>
  <c r="BF53" i="23" s="1"/>
  <c r="B11" i="80" s="1"/>
  <c r="BF45" i="23"/>
  <c r="BF46" i="23"/>
  <c r="BF47" i="23"/>
  <c r="BF48" i="23"/>
  <c r="BF49" i="23"/>
  <c r="BF50" i="23"/>
  <c r="BF51" i="23"/>
  <c r="BF44" i="23"/>
  <c r="BF41" i="23"/>
  <c r="BF40" i="23"/>
  <c r="BF33" i="23"/>
  <c r="BF34" i="23"/>
  <c r="BF35" i="23"/>
  <c r="BF36" i="23"/>
  <c r="BF37" i="23"/>
  <c r="BF32" i="23"/>
  <c r="BF29" i="23"/>
  <c r="BF28" i="23"/>
  <c r="BF17" i="23"/>
  <c r="BF18" i="23"/>
  <c r="BF19" i="23"/>
  <c r="BF20" i="23"/>
  <c r="BF21" i="23"/>
  <c r="BF22" i="23"/>
  <c r="BF23" i="23"/>
  <c r="BF24" i="23"/>
  <c r="BF25" i="23"/>
  <c r="BF16" i="23"/>
  <c r="BF7" i="23"/>
  <c r="BF8" i="23"/>
  <c r="BF9" i="23"/>
  <c r="BF10" i="23"/>
  <c r="BF11" i="23"/>
  <c r="BF12" i="23"/>
  <c r="BF13" i="23"/>
  <c r="BF6" i="23"/>
  <c r="F157" i="23"/>
  <c r="G157" i="23"/>
  <c r="H157" i="23"/>
  <c r="I157" i="23"/>
  <c r="J157" i="23"/>
  <c r="K157" i="23"/>
  <c r="L157" i="23"/>
  <c r="M157" i="23"/>
  <c r="N157" i="23"/>
  <c r="O157" i="23"/>
  <c r="P157" i="23"/>
  <c r="Q157" i="23"/>
  <c r="R157" i="23"/>
  <c r="S157" i="23"/>
  <c r="T157" i="23"/>
  <c r="U157" i="23"/>
  <c r="V157" i="23"/>
  <c r="W157" i="23"/>
  <c r="X157" i="23"/>
  <c r="Y157" i="23"/>
  <c r="Z157" i="23"/>
  <c r="AA157" i="23"/>
  <c r="AB157" i="23"/>
  <c r="AC157" i="23"/>
  <c r="AD157" i="23"/>
  <c r="AE157" i="23"/>
  <c r="AF157" i="23"/>
  <c r="AG157" i="23"/>
  <c r="AH157" i="23"/>
  <c r="AI157" i="23"/>
  <c r="AJ157" i="23"/>
  <c r="AK157" i="23"/>
  <c r="AL157" i="23"/>
  <c r="AM157" i="23"/>
  <c r="AN157" i="23"/>
  <c r="AO157" i="23"/>
  <c r="AP157" i="23"/>
  <c r="AQ157" i="23"/>
  <c r="AR157" i="23"/>
  <c r="AS157" i="23"/>
  <c r="AT157" i="23"/>
  <c r="AU157" i="23"/>
  <c r="AV157" i="23"/>
  <c r="AW157" i="23"/>
  <c r="AX157" i="23"/>
  <c r="AY157" i="23"/>
  <c r="AZ157" i="23"/>
  <c r="BA157" i="23"/>
  <c r="BB157" i="23"/>
  <c r="BC157" i="23"/>
  <c r="BD157" i="23"/>
  <c r="BE157" i="23"/>
  <c r="BG157" i="23"/>
  <c r="BH157" i="23"/>
  <c r="BI157" i="23"/>
  <c r="F153" i="23"/>
  <c r="B5" i="79" s="1"/>
  <c r="G153" i="23"/>
  <c r="B6" i="79" s="1"/>
  <c r="H153" i="23"/>
  <c r="B7" i="79" s="1"/>
  <c r="I153" i="23"/>
  <c r="B8" i="79" s="1"/>
  <c r="J153" i="23"/>
  <c r="B9" i="79" s="1"/>
  <c r="K153" i="23"/>
  <c r="B10" i="79" s="1"/>
  <c r="L153" i="23"/>
  <c r="B11" i="79" s="1"/>
  <c r="M153" i="23"/>
  <c r="B12" i="79" s="1"/>
  <c r="N153" i="23"/>
  <c r="B13" i="79" s="1"/>
  <c r="O153" i="23"/>
  <c r="B14" i="79" s="1"/>
  <c r="P153" i="23"/>
  <c r="B15" i="79" s="1"/>
  <c r="Q153" i="23"/>
  <c r="B16" i="79" s="1"/>
  <c r="R153" i="23"/>
  <c r="B17" i="79" s="1"/>
  <c r="S153" i="23"/>
  <c r="B18" i="79" s="1"/>
  <c r="T153" i="23"/>
  <c r="B19" i="79" s="1"/>
  <c r="U153" i="23"/>
  <c r="B20" i="79" s="1"/>
  <c r="V153" i="23"/>
  <c r="B21" i="79" s="1"/>
  <c r="W153" i="23"/>
  <c r="B22" i="79" s="1"/>
  <c r="X153" i="23"/>
  <c r="B23" i="79" s="1"/>
  <c r="Y153" i="23"/>
  <c r="B24" i="79" s="1"/>
  <c r="Z153" i="23"/>
  <c r="B25" i="79" s="1"/>
  <c r="AA153" i="23"/>
  <c r="B26" i="79" s="1"/>
  <c r="AB153" i="23"/>
  <c r="B27" i="79" s="1"/>
  <c r="AC153" i="23"/>
  <c r="B28" i="79" s="1"/>
  <c r="AD153" i="23"/>
  <c r="B29" i="79" s="1"/>
  <c r="AE153" i="23"/>
  <c r="B30" i="79" s="1"/>
  <c r="AF153" i="23"/>
  <c r="B31" i="79" s="1"/>
  <c r="AG153" i="23"/>
  <c r="B32" i="79" s="1"/>
  <c r="AH153" i="23"/>
  <c r="B33" i="79" s="1"/>
  <c r="AI153" i="23"/>
  <c r="B34" i="79" s="1"/>
  <c r="AJ153" i="23"/>
  <c r="B35" i="79" s="1"/>
  <c r="AK153" i="23"/>
  <c r="B36" i="79" s="1"/>
  <c r="AL153" i="23"/>
  <c r="AM153" i="23"/>
  <c r="B38" i="79" s="1"/>
  <c r="AN153" i="23"/>
  <c r="B39" i="79" s="1"/>
  <c r="AO153" i="23"/>
  <c r="B40" i="79" s="1"/>
  <c r="AP153" i="23"/>
  <c r="B41" i="79" s="1"/>
  <c r="AQ153" i="23"/>
  <c r="B42" i="79" s="1"/>
  <c r="AR153" i="23"/>
  <c r="B43" i="79" s="1"/>
  <c r="AS153" i="23"/>
  <c r="B44" i="79" s="1"/>
  <c r="AT153" i="23"/>
  <c r="B45" i="79" s="1"/>
  <c r="AU153" i="23"/>
  <c r="B46" i="79" s="1"/>
  <c r="AV153" i="23"/>
  <c r="B47" i="79" s="1"/>
  <c r="AW153" i="23"/>
  <c r="B48" i="79" s="1"/>
  <c r="AX153" i="23"/>
  <c r="B49" i="79" s="1"/>
  <c r="AY153" i="23"/>
  <c r="B50" i="79" s="1"/>
  <c r="AZ153" i="23"/>
  <c r="BA153" i="23"/>
  <c r="B52" i="79" s="1"/>
  <c r="BB153" i="23"/>
  <c r="B53" i="79" s="1"/>
  <c r="BC153" i="23"/>
  <c r="B54" i="79" s="1"/>
  <c r="BD153" i="23"/>
  <c r="B55" i="79" s="1"/>
  <c r="BE153" i="23"/>
  <c r="B56" i="79" s="1"/>
  <c r="BG153" i="23"/>
  <c r="BH153" i="23"/>
  <c r="BI153" i="23"/>
  <c r="F140" i="23"/>
  <c r="G140" i="23"/>
  <c r="H140" i="23"/>
  <c r="I140" i="23"/>
  <c r="J140" i="23"/>
  <c r="K140" i="23"/>
  <c r="L140" i="23"/>
  <c r="M140" i="23"/>
  <c r="N140" i="23"/>
  <c r="O140" i="23"/>
  <c r="P140" i="23"/>
  <c r="Q140" i="23"/>
  <c r="R140" i="23"/>
  <c r="S140" i="23"/>
  <c r="T140" i="23"/>
  <c r="U140" i="23"/>
  <c r="V140" i="23"/>
  <c r="W140" i="23"/>
  <c r="X140" i="23"/>
  <c r="Y140" i="23"/>
  <c r="Z140" i="23"/>
  <c r="AA140" i="23"/>
  <c r="AB140" i="23"/>
  <c r="AC140" i="23"/>
  <c r="AD140" i="23"/>
  <c r="AE140" i="23"/>
  <c r="AF140" i="23"/>
  <c r="AG140" i="23"/>
  <c r="AH140" i="23"/>
  <c r="AI140" i="23"/>
  <c r="AJ140" i="23"/>
  <c r="AK140" i="23"/>
  <c r="AL140" i="23"/>
  <c r="AM140" i="23"/>
  <c r="AN140" i="23"/>
  <c r="AO140" i="23"/>
  <c r="AP140" i="23"/>
  <c r="AQ140" i="23"/>
  <c r="AR140" i="23"/>
  <c r="AS140" i="23"/>
  <c r="AT140" i="23"/>
  <c r="AU140" i="23"/>
  <c r="AV140" i="23"/>
  <c r="AW140" i="23"/>
  <c r="AX140" i="23"/>
  <c r="AY140" i="23"/>
  <c r="AZ140" i="23"/>
  <c r="BA140" i="23"/>
  <c r="BB140" i="23"/>
  <c r="BC140" i="23"/>
  <c r="BD140" i="23"/>
  <c r="BE140" i="23"/>
  <c r="BG140" i="23"/>
  <c r="BH140" i="23"/>
  <c r="BI140" i="23"/>
  <c r="F131" i="23"/>
  <c r="G131" i="23"/>
  <c r="H131" i="23"/>
  <c r="I131" i="23"/>
  <c r="J131" i="23"/>
  <c r="K131" i="23"/>
  <c r="L131" i="23"/>
  <c r="M131" i="23"/>
  <c r="N131" i="23"/>
  <c r="O131" i="23"/>
  <c r="P131" i="23"/>
  <c r="Q131" i="23"/>
  <c r="R131" i="23"/>
  <c r="S131" i="23"/>
  <c r="T131" i="23"/>
  <c r="U131" i="23"/>
  <c r="V131" i="23"/>
  <c r="W131" i="23"/>
  <c r="X131" i="23"/>
  <c r="Y131" i="23"/>
  <c r="Z131" i="23"/>
  <c r="AA131" i="23"/>
  <c r="AB131" i="23"/>
  <c r="AC131" i="23"/>
  <c r="AD131" i="23"/>
  <c r="AE131" i="23"/>
  <c r="AF131" i="23"/>
  <c r="AG131" i="23"/>
  <c r="AH131" i="23"/>
  <c r="AI131" i="23"/>
  <c r="AJ131" i="23"/>
  <c r="AK131" i="23"/>
  <c r="AL131" i="23"/>
  <c r="AM131" i="23"/>
  <c r="AN131" i="23"/>
  <c r="AO131" i="23"/>
  <c r="AP131" i="23"/>
  <c r="AQ131" i="23"/>
  <c r="AR131" i="23"/>
  <c r="AS131" i="23"/>
  <c r="AT131" i="23"/>
  <c r="AU131" i="23"/>
  <c r="AV131" i="23"/>
  <c r="AW131" i="23"/>
  <c r="AX131" i="23"/>
  <c r="AY131" i="23"/>
  <c r="AZ131" i="23"/>
  <c r="BA131" i="23"/>
  <c r="BB131" i="23"/>
  <c r="BC131" i="23"/>
  <c r="BD131" i="23"/>
  <c r="BE131" i="23"/>
  <c r="BG131" i="23"/>
  <c r="BH131" i="23"/>
  <c r="BI131" i="23"/>
  <c r="F128" i="23"/>
  <c r="G128" i="23"/>
  <c r="H128" i="23"/>
  <c r="I128" i="23"/>
  <c r="J128" i="23"/>
  <c r="K128" i="23"/>
  <c r="L128" i="23"/>
  <c r="M128" i="23"/>
  <c r="N128" i="23"/>
  <c r="O128" i="23"/>
  <c r="P128" i="23"/>
  <c r="Q128" i="23"/>
  <c r="R128" i="23"/>
  <c r="S128" i="23"/>
  <c r="T128" i="23"/>
  <c r="U128" i="23"/>
  <c r="V128" i="23"/>
  <c r="W128" i="23"/>
  <c r="X128" i="23"/>
  <c r="Y128" i="23"/>
  <c r="Z128" i="23"/>
  <c r="AA128" i="23"/>
  <c r="AB128" i="23"/>
  <c r="AC128" i="23"/>
  <c r="AD128" i="23"/>
  <c r="AE128" i="23"/>
  <c r="AF128" i="23"/>
  <c r="AG128" i="23"/>
  <c r="AH128" i="23"/>
  <c r="AI128" i="23"/>
  <c r="AJ128" i="23"/>
  <c r="AK128" i="23"/>
  <c r="AL128" i="23"/>
  <c r="AM128" i="23"/>
  <c r="AN128" i="23"/>
  <c r="AO128" i="23"/>
  <c r="AP128" i="23"/>
  <c r="AQ128" i="23"/>
  <c r="AR128" i="23"/>
  <c r="AS128" i="23"/>
  <c r="AT128" i="23"/>
  <c r="AU128" i="23"/>
  <c r="AV128" i="23"/>
  <c r="AW128" i="23"/>
  <c r="AX128" i="23"/>
  <c r="AY128" i="23"/>
  <c r="AZ128" i="23"/>
  <c r="BA128" i="23"/>
  <c r="BB128" i="23"/>
  <c r="BC128" i="23"/>
  <c r="BD128" i="23"/>
  <c r="BE128" i="23"/>
  <c r="BG128" i="23"/>
  <c r="BH128" i="23"/>
  <c r="BI128" i="23"/>
  <c r="F121" i="23"/>
  <c r="G121" i="23"/>
  <c r="H121" i="23"/>
  <c r="I121" i="23"/>
  <c r="J121" i="23"/>
  <c r="K121" i="23"/>
  <c r="L121" i="23"/>
  <c r="M121" i="23"/>
  <c r="N121" i="23"/>
  <c r="O121" i="23"/>
  <c r="P121" i="23"/>
  <c r="Q121" i="23"/>
  <c r="R121" i="23"/>
  <c r="S121" i="23"/>
  <c r="T121" i="23"/>
  <c r="U121" i="23"/>
  <c r="V121" i="23"/>
  <c r="W121" i="23"/>
  <c r="X121" i="23"/>
  <c r="Y121" i="23"/>
  <c r="Z121" i="23"/>
  <c r="AA121" i="23"/>
  <c r="AB121" i="23"/>
  <c r="AC121" i="23"/>
  <c r="AD121" i="23"/>
  <c r="AE121" i="23"/>
  <c r="AF121" i="23"/>
  <c r="AG121" i="23"/>
  <c r="AH121" i="23"/>
  <c r="AI121" i="23"/>
  <c r="AJ121" i="23"/>
  <c r="AK121" i="23"/>
  <c r="AL121" i="23"/>
  <c r="AM121" i="23"/>
  <c r="AN121" i="23"/>
  <c r="AO121" i="23"/>
  <c r="AP121" i="23"/>
  <c r="AQ121" i="23"/>
  <c r="AR121" i="23"/>
  <c r="AS121" i="23"/>
  <c r="AT121" i="23"/>
  <c r="AU121" i="23"/>
  <c r="AV121" i="23"/>
  <c r="AW121" i="23"/>
  <c r="AX121" i="23"/>
  <c r="AY121" i="23"/>
  <c r="AZ121" i="23"/>
  <c r="BA121" i="23"/>
  <c r="BB121" i="23"/>
  <c r="BC121" i="23"/>
  <c r="BD121" i="23"/>
  <c r="BE121" i="23"/>
  <c r="BG121" i="23"/>
  <c r="BH121" i="23"/>
  <c r="BI121" i="23"/>
  <c r="F117" i="23"/>
  <c r="G117" i="23"/>
  <c r="H117" i="23"/>
  <c r="I117" i="23"/>
  <c r="J117" i="23"/>
  <c r="K117" i="23"/>
  <c r="L117" i="23"/>
  <c r="M117" i="23"/>
  <c r="N117" i="23"/>
  <c r="O117" i="23"/>
  <c r="P117" i="23"/>
  <c r="Q117" i="23"/>
  <c r="R117" i="23"/>
  <c r="S117" i="23"/>
  <c r="T117" i="23"/>
  <c r="U117" i="23"/>
  <c r="V117" i="23"/>
  <c r="W117" i="23"/>
  <c r="X117" i="23"/>
  <c r="Y117" i="23"/>
  <c r="Z117" i="23"/>
  <c r="AA117" i="23"/>
  <c r="AB117" i="23"/>
  <c r="AC117" i="23"/>
  <c r="AD117" i="23"/>
  <c r="AE117" i="23"/>
  <c r="AF117" i="23"/>
  <c r="AG117" i="23"/>
  <c r="AH117" i="23"/>
  <c r="AI117" i="23"/>
  <c r="AJ117" i="23"/>
  <c r="AK117" i="23"/>
  <c r="AL117" i="23"/>
  <c r="AM117" i="23"/>
  <c r="AN117" i="23"/>
  <c r="AO117" i="23"/>
  <c r="AP117" i="23"/>
  <c r="AQ117" i="23"/>
  <c r="AR117" i="23"/>
  <c r="AS117" i="23"/>
  <c r="AT117" i="23"/>
  <c r="AU117" i="23"/>
  <c r="AV117" i="23"/>
  <c r="AW117" i="23"/>
  <c r="AX117" i="23"/>
  <c r="AY117" i="23"/>
  <c r="AZ117" i="23"/>
  <c r="BA117" i="23"/>
  <c r="BB117" i="23"/>
  <c r="BC117" i="23"/>
  <c r="BD117" i="23"/>
  <c r="BE117" i="23"/>
  <c r="BG117" i="23"/>
  <c r="BH117" i="23"/>
  <c r="BI117" i="23"/>
  <c r="F105" i="23"/>
  <c r="G105" i="23"/>
  <c r="H105" i="23"/>
  <c r="I105" i="23"/>
  <c r="J105" i="23"/>
  <c r="K105" i="23"/>
  <c r="L105" i="23"/>
  <c r="M105" i="23"/>
  <c r="N105" i="23"/>
  <c r="O105" i="23"/>
  <c r="P105" i="23"/>
  <c r="Q105" i="23"/>
  <c r="R105" i="23"/>
  <c r="S105" i="23"/>
  <c r="T105" i="23"/>
  <c r="U105" i="23"/>
  <c r="V105" i="23"/>
  <c r="W105" i="23"/>
  <c r="X105" i="23"/>
  <c r="Y105" i="23"/>
  <c r="Z105" i="23"/>
  <c r="AA105" i="23"/>
  <c r="AB105" i="23"/>
  <c r="AC105" i="23"/>
  <c r="AD105" i="23"/>
  <c r="AE105" i="23"/>
  <c r="AF105" i="23"/>
  <c r="AG105" i="23"/>
  <c r="AH105" i="23"/>
  <c r="AI105" i="23"/>
  <c r="AJ105" i="23"/>
  <c r="AK105" i="23"/>
  <c r="AL105" i="23"/>
  <c r="AM105" i="23"/>
  <c r="AN105" i="23"/>
  <c r="AO105" i="23"/>
  <c r="AP105" i="23"/>
  <c r="AQ105" i="23"/>
  <c r="AR105" i="23"/>
  <c r="AS105" i="23"/>
  <c r="AT105" i="23"/>
  <c r="AU105" i="23"/>
  <c r="AV105" i="23"/>
  <c r="AW105" i="23"/>
  <c r="AX105" i="23"/>
  <c r="AY105" i="23"/>
  <c r="AZ105" i="23"/>
  <c r="BA105" i="23"/>
  <c r="BB105" i="23"/>
  <c r="BC105" i="23"/>
  <c r="BD105" i="23"/>
  <c r="BE105" i="23"/>
  <c r="BG105" i="23"/>
  <c r="BH105" i="23"/>
  <c r="BI105" i="23"/>
  <c r="F99" i="23"/>
  <c r="G99" i="23"/>
  <c r="H99" i="23"/>
  <c r="I99" i="23"/>
  <c r="J99" i="23"/>
  <c r="K99" i="23"/>
  <c r="L99" i="23"/>
  <c r="M99" i="23"/>
  <c r="N99" i="23"/>
  <c r="O99" i="23"/>
  <c r="P99" i="23"/>
  <c r="Q99" i="23"/>
  <c r="R99" i="23"/>
  <c r="S99" i="23"/>
  <c r="T99" i="23"/>
  <c r="U99" i="23"/>
  <c r="V99" i="23"/>
  <c r="W99" i="23"/>
  <c r="X99" i="23"/>
  <c r="Y99" i="23"/>
  <c r="Z99" i="23"/>
  <c r="AA99" i="23"/>
  <c r="AB99" i="23"/>
  <c r="AC99" i="23"/>
  <c r="AD99" i="23"/>
  <c r="AE99" i="23"/>
  <c r="AF99" i="23"/>
  <c r="AG99" i="23"/>
  <c r="AH99" i="23"/>
  <c r="AI99" i="23"/>
  <c r="AJ99" i="23"/>
  <c r="AK99" i="23"/>
  <c r="AL99" i="23"/>
  <c r="AM99" i="23"/>
  <c r="AN99" i="23"/>
  <c r="AO99" i="23"/>
  <c r="AP99" i="23"/>
  <c r="AQ99" i="23"/>
  <c r="AR99" i="23"/>
  <c r="AS99" i="23"/>
  <c r="AT99" i="23"/>
  <c r="AU99" i="23"/>
  <c r="AV99" i="23"/>
  <c r="AW99" i="23"/>
  <c r="AX99" i="23"/>
  <c r="AY99" i="23"/>
  <c r="AZ99" i="23"/>
  <c r="BA99" i="23"/>
  <c r="BB99" i="23"/>
  <c r="BC99" i="23"/>
  <c r="BD99" i="23"/>
  <c r="BE99" i="23"/>
  <c r="BG99" i="23"/>
  <c r="BH99" i="23"/>
  <c r="BI99" i="23"/>
  <c r="F88" i="23"/>
  <c r="G88" i="23"/>
  <c r="H88" i="23"/>
  <c r="I88" i="23"/>
  <c r="J88" i="23"/>
  <c r="K88" i="23"/>
  <c r="L88" i="23"/>
  <c r="M88" i="23"/>
  <c r="N88" i="23"/>
  <c r="O88" i="23"/>
  <c r="P88" i="23"/>
  <c r="Q88" i="23"/>
  <c r="R88" i="23"/>
  <c r="S88" i="23"/>
  <c r="T88" i="23"/>
  <c r="U88" i="23"/>
  <c r="V88" i="23"/>
  <c r="W88" i="23"/>
  <c r="X88" i="23"/>
  <c r="Y88" i="23"/>
  <c r="Z88" i="23"/>
  <c r="AA88" i="23"/>
  <c r="AB88" i="23"/>
  <c r="AC88" i="23"/>
  <c r="AD88" i="23"/>
  <c r="AE88" i="23"/>
  <c r="AF88" i="23"/>
  <c r="AG88" i="23"/>
  <c r="AH88" i="23"/>
  <c r="AI88" i="23"/>
  <c r="AJ88" i="23"/>
  <c r="AK88" i="23"/>
  <c r="AL88" i="23"/>
  <c r="AM88" i="23"/>
  <c r="AN88" i="23"/>
  <c r="AO88" i="23"/>
  <c r="AP88" i="23"/>
  <c r="AQ88" i="23"/>
  <c r="AR88" i="23"/>
  <c r="AS88" i="23"/>
  <c r="AT88" i="23"/>
  <c r="AU88" i="23"/>
  <c r="AV88" i="23"/>
  <c r="AW88" i="23"/>
  <c r="AX88" i="23"/>
  <c r="AY88" i="23"/>
  <c r="AZ88" i="23"/>
  <c r="BA88" i="23"/>
  <c r="BB88" i="23"/>
  <c r="BC88" i="23"/>
  <c r="BD88" i="23"/>
  <c r="BE88" i="23"/>
  <c r="BG88" i="23"/>
  <c r="BH88" i="23"/>
  <c r="BI88" i="23"/>
  <c r="F82" i="23"/>
  <c r="G82" i="23"/>
  <c r="H82" i="23"/>
  <c r="I82" i="23"/>
  <c r="J82" i="23"/>
  <c r="K82" i="23"/>
  <c r="L82" i="23"/>
  <c r="M82" i="23"/>
  <c r="N82" i="23"/>
  <c r="O82" i="23"/>
  <c r="P82" i="23"/>
  <c r="Q82" i="23"/>
  <c r="R82" i="23"/>
  <c r="S82" i="23"/>
  <c r="T82" i="23"/>
  <c r="U82" i="23"/>
  <c r="V82" i="23"/>
  <c r="W82" i="23"/>
  <c r="X82" i="23"/>
  <c r="Y82" i="23"/>
  <c r="Z82" i="23"/>
  <c r="AA82" i="23"/>
  <c r="AB82" i="23"/>
  <c r="AC82" i="23"/>
  <c r="AD82" i="23"/>
  <c r="AE82" i="23"/>
  <c r="AF82" i="23"/>
  <c r="AG82" i="23"/>
  <c r="AH82" i="23"/>
  <c r="AI82" i="23"/>
  <c r="AJ82" i="23"/>
  <c r="AK82" i="23"/>
  <c r="AL82" i="23"/>
  <c r="AM82" i="23"/>
  <c r="AN82" i="23"/>
  <c r="AO82" i="23"/>
  <c r="AP82" i="23"/>
  <c r="AQ82" i="23"/>
  <c r="AR82" i="23"/>
  <c r="AS82" i="23"/>
  <c r="AT82" i="23"/>
  <c r="AU82" i="23"/>
  <c r="AV82" i="23"/>
  <c r="AW82" i="23"/>
  <c r="AX82" i="23"/>
  <c r="AY82" i="23"/>
  <c r="AZ82" i="23"/>
  <c r="BA82" i="23"/>
  <c r="BB82" i="23"/>
  <c r="BC82" i="23"/>
  <c r="BD82" i="23"/>
  <c r="BE82" i="23"/>
  <c r="BG82" i="23"/>
  <c r="BH82" i="23"/>
  <c r="BI82" i="23"/>
  <c r="F76" i="23"/>
  <c r="G76" i="23"/>
  <c r="H76" i="23"/>
  <c r="I76" i="23"/>
  <c r="J76" i="23"/>
  <c r="K76" i="23"/>
  <c r="L76" i="23"/>
  <c r="M76" i="23"/>
  <c r="N76" i="23"/>
  <c r="O76" i="23"/>
  <c r="P76" i="23"/>
  <c r="Q76" i="23"/>
  <c r="R76" i="23"/>
  <c r="S76" i="23"/>
  <c r="T76" i="23"/>
  <c r="U76" i="23"/>
  <c r="V76" i="23"/>
  <c r="W76" i="23"/>
  <c r="X76" i="23"/>
  <c r="Y76" i="23"/>
  <c r="Z76" i="23"/>
  <c r="AA76" i="23"/>
  <c r="AB76" i="23"/>
  <c r="AC76" i="23"/>
  <c r="AD76" i="23"/>
  <c r="AE76" i="23"/>
  <c r="AF76" i="23"/>
  <c r="AG76" i="23"/>
  <c r="AH76" i="23"/>
  <c r="AI76" i="23"/>
  <c r="AJ76" i="23"/>
  <c r="AK76" i="23"/>
  <c r="AL76" i="23"/>
  <c r="AM76" i="23"/>
  <c r="AN76" i="23"/>
  <c r="AO76" i="23"/>
  <c r="AP76" i="23"/>
  <c r="AQ76" i="23"/>
  <c r="AR76" i="23"/>
  <c r="AS76" i="23"/>
  <c r="AT76" i="23"/>
  <c r="AU76" i="23"/>
  <c r="AV76" i="23"/>
  <c r="AW76" i="23"/>
  <c r="AX76" i="23"/>
  <c r="AY76" i="23"/>
  <c r="BA76" i="23"/>
  <c r="BB76" i="23"/>
  <c r="BC76" i="23"/>
  <c r="BD76" i="23"/>
  <c r="BE76" i="23"/>
  <c r="BG76" i="23"/>
  <c r="BH76" i="23"/>
  <c r="BI76" i="23"/>
  <c r="F64" i="23"/>
  <c r="G64" i="23"/>
  <c r="H64" i="23"/>
  <c r="I64" i="23"/>
  <c r="J64" i="23"/>
  <c r="K64" i="23"/>
  <c r="L64" i="23"/>
  <c r="M64" i="23"/>
  <c r="N64" i="23"/>
  <c r="O64" i="23"/>
  <c r="P64" i="23"/>
  <c r="Q64" i="23"/>
  <c r="R64" i="23"/>
  <c r="S64" i="23"/>
  <c r="T64" i="23"/>
  <c r="U64" i="23"/>
  <c r="V64" i="23"/>
  <c r="W64" i="23"/>
  <c r="X64" i="23"/>
  <c r="Y64" i="23"/>
  <c r="Z64" i="23"/>
  <c r="AA64" i="23"/>
  <c r="AB64" i="23"/>
  <c r="AC64" i="23"/>
  <c r="AD64" i="23"/>
  <c r="AE64" i="23"/>
  <c r="AF64" i="23"/>
  <c r="AG64" i="23"/>
  <c r="AH64" i="23"/>
  <c r="AI64" i="23"/>
  <c r="AJ64" i="23"/>
  <c r="AK64" i="23"/>
  <c r="AL64" i="23"/>
  <c r="AM64" i="23"/>
  <c r="AN64" i="23"/>
  <c r="AO64" i="23"/>
  <c r="AP64" i="23"/>
  <c r="AQ64" i="23"/>
  <c r="AR64" i="23"/>
  <c r="AS64" i="23"/>
  <c r="AT64" i="23"/>
  <c r="AU64" i="23"/>
  <c r="AV64" i="23"/>
  <c r="AW64" i="23"/>
  <c r="AX64" i="23"/>
  <c r="AY64" i="23"/>
  <c r="AZ64" i="23"/>
  <c r="BA64" i="23"/>
  <c r="BB64" i="23"/>
  <c r="BC64" i="23"/>
  <c r="BD64" i="23"/>
  <c r="BE64" i="23"/>
  <c r="BG64" i="23"/>
  <c r="BH64" i="23"/>
  <c r="BI64" i="23"/>
  <c r="F56" i="23"/>
  <c r="G56" i="23"/>
  <c r="H56" i="23"/>
  <c r="I56" i="23"/>
  <c r="J56" i="23"/>
  <c r="K56" i="23"/>
  <c r="L56" i="23"/>
  <c r="M56" i="23"/>
  <c r="N56" i="23"/>
  <c r="O56" i="23"/>
  <c r="P56" i="23"/>
  <c r="Q56" i="23"/>
  <c r="R56" i="23"/>
  <c r="S56" i="23"/>
  <c r="T56" i="23"/>
  <c r="U56" i="23"/>
  <c r="V56" i="23"/>
  <c r="W56" i="23"/>
  <c r="X56" i="23"/>
  <c r="Y56" i="23"/>
  <c r="Z56" i="23"/>
  <c r="AA56" i="23"/>
  <c r="AB56" i="23"/>
  <c r="AC56" i="23"/>
  <c r="AD56" i="23"/>
  <c r="AE56" i="23"/>
  <c r="AF56" i="23"/>
  <c r="AG56" i="23"/>
  <c r="AH56" i="23"/>
  <c r="AI56" i="23"/>
  <c r="AJ56" i="23"/>
  <c r="AK56" i="23"/>
  <c r="AL56" i="23"/>
  <c r="AM56" i="23"/>
  <c r="AN56" i="23"/>
  <c r="AO56" i="23"/>
  <c r="AP56" i="23"/>
  <c r="AQ56" i="23"/>
  <c r="AR56" i="23"/>
  <c r="AS56" i="23"/>
  <c r="AT56" i="23"/>
  <c r="AU56" i="23"/>
  <c r="AV56" i="23"/>
  <c r="AW56" i="23"/>
  <c r="AX56" i="23"/>
  <c r="AY56" i="23"/>
  <c r="AZ56" i="23"/>
  <c r="BA56" i="23"/>
  <c r="BB56" i="23"/>
  <c r="BC56" i="23"/>
  <c r="BD56" i="23"/>
  <c r="BE56" i="23"/>
  <c r="BG56" i="23"/>
  <c r="BH56" i="23"/>
  <c r="BI56" i="23"/>
  <c r="F53" i="23"/>
  <c r="G53" i="23"/>
  <c r="H53" i="23"/>
  <c r="I53" i="23"/>
  <c r="J53" i="23"/>
  <c r="K53" i="23"/>
  <c r="L53" i="23"/>
  <c r="M53" i="23"/>
  <c r="N53" i="23"/>
  <c r="O53" i="23"/>
  <c r="P53" i="23"/>
  <c r="Q53" i="23"/>
  <c r="R53" i="23"/>
  <c r="S53" i="23"/>
  <c r="T53" i="23"/>
  <c r="U53" i="23"/>
  <c r="V53" i="23"/>
  <c r="W53" i="23"/>
  <c r="X53" i="23"/>
  <c r="Y53" i="23"/>
  <c r="Z53" i="23"/>
  <c r="AA53" i="23"/>
  <c r="AB53" i="23"/>
  <c r="AC53" i="23"/>
  <c r="AD53" i="23"/>
  <c r="AE53" i="23"/>
  <c r="AF53" i="23"/>
  <c r="AG53" i="23"/>
  <c r="AH53" i="23"/>
  <c r="AI53" i="23"/>
  <c r="AJ53" i="23"/>
  <c r="AK53" i="23"/>
  <c r="AL53" i="23"/>
  <c r="AM53" i="23"/>
  <c r="AN53" i="23"/>
  <c r="AO53" i="23"/>
  <c r="AP53" i="23"/>
  <c r="AQ53" i="23"/>
  <c r="AR53" i="23"/>
  <c r="AS53" i="23"/>
  <c r="AT53" i="23"/>
  <c r="AU53" i="23"/>
  <c r="AV53" i="23"/>
  <c r="AW53" i="23"/>
  <c r="AX53" i="23"/>
  <c r="AY53" i="23"/>
  <c r="AZ53" i="23"/>
  <c r="BA53" i="23"/>
  <c r="BB53" i="23"/>
  <c r="BC53" i="23"/>
  <c r="BD53" i="23"/>
  <c r="BE53" i="23"/>
  <c r="BG53" i="23"/>
  <c r="BH53" i="23"/>
  <c r="BI53" i="23"/>
  <c r="F43" i="23"/>
  <c r="G43" i="23"/>
  <c r="H43" i="23"/>
  <c r="I43" i="23"/>
  <c r="J43" i="23"/>
  <c r="K43" i="23"/>
  <c r="L43" i="23"/>
  <c r="M43" i="23"/>
  <c r="N43" i="23"/>
  <c r="O43" i="23"/>
  <c r="P43" i="23"/>
  <c r="Q43" i="23"/>
  <c r="R43" i="23"/>
  <c r="S43" i="23"/>
  <c r="T43" i="23"/>
  <c r="U43" i="23"/>
  <c r="V43" i="23"/>
  <c r="W43" i="23"/>
  <c r="X43" i="23"/>
  <c r="Y43" i="23"/>
  <c r="Z43" i="23"/>
  <c r="AA43" i="23"/>
  <c r="AB43" i="23"/>
  <c r="AC43" i="23"/>
  <c r="AD43" i="23"/>
  <c r="AE43" i="23"/>
  <c r="AF43" i="23"/>
  <c r="AG43" i="23"/>
  <c r="AH43" i="23"/>
  <c r="AI43" i="23"/>
  <c r="AJ43" i="23"/>
  <c r="AK43" i="23"/>
  <c r="AL43" i="23"/>
  <c r="AM43" i="23"/>
  <c r="AN43" i="23"/>
  <c r="AO43" i="23"/>
  <c r="AP43" i="23"/>
  <c r="AQ43" i="23"/>
  <c r="AR43" i="23"/>
  <c r="AS43" i="23"/>
  <c r="AT43" i="23"/>
  <c r="AU43" i="23"/>
  <c r="AV43" i="23"/>
  <c r="AW43" i="23"/>
  <c r="AX43" i="23"/>
  <c r="AY43" i="23"/>
  <c r="AZ43" i="23"/>
  <c r="BA43" i="23"/>
  <c r="BB43" i="23"/>
  <c r="BC43" i="23"/>
  <c r="BD43" i="23"/>
  <c r="BE43" i="23"/>
  <c r="BG43" i="23"/>
  <c r="BH43" i="23"/>
  <c r="BI43" i="23"/>
  <c r="F39" i="23"/>
  <c r="G39" i="23"/>
  <c r="H39" i="23"/>
  <c r="I39" i="23"/>
  <c r="J39" i="23"/>
  <c r="K39" i="23"/>
  <c r="L39" i="23"/>
  <c r="M39" i="23"/>
  <c r="N39" i="23"/>
  <c r="O39" i="23"/>
  <c r="P39" i="23"/>
  <c r="Q39" i="23"/>
  <c r="R39" i="23"/>
  <c r="S39" i="23"/>
  <c r="T39" i="23"/>
  <c r="U39" i="23"/>
  <c r="V39" i="23"/>
  <c r="W39" i="23"/>
  <c r="X39" i="23"/>
  <c r="Y39" i="23"/>
  <c r="Z39" i="23"/>
  <c r="AA39" i="23"/>
  <c r="AB39" i="23"/>
  <c r="AC39" i="23"/>
  <c r="AD39" i="23"/>
  <c r="AE39" i="23"/>
  <c r="AF39" i="23"/>
  <c r="AG39" i="23"/>
  <c r="AH39" i="23"/>
  <c r="AI39" i="23"/>
  <c r="AJ39" i="23"/>
  <c r="AK39" i="23"/>
  <c r="AL39" i="23"/>
  <c r="AM39" i="23"/>
  <c r="AN39" i="23"/>
  <c r="AO39" i="23"/>
  <c r="AP39" i="23"/>
  <c r="AQ39" i="23"/>
  <c r="AR39" i="23"/>
  <c r="AS39" i="23"/>
  <c r="AT39" i="23"/>
  <c r="AU39" i="23"/>
  <c r="AV39" i="23"/>
  <c r="AW39" i="23"/>
  <c r="AX39" i="23"/>
  <c r="AY39" i="23"/>
  <c r="AZ39" i="23"/>
  <c r="BA39" i="23"/>
  <c r="BB39" i="23"/>
  <c r="BC39" i="23"/>
  <c r="BD39" i="23"/>
  <c r="BE39" i="23"/>
  <c r="BG39" i="23"/>
  <c r="BH39" i="23"/>
  <c r="BI39" i="23"/>
  <c r="F31" i="23"/>
  <c r="G31" i="23"/>
  <c r="H31" i="23"/>
  <c r="I31" i="23"/>
  <c r="J31" i="23"/>
  <c r="K31" i="23"/>
  <c r="L31" i="23"/>
  <c r="M31" i="23"/>
  <c r="N31" i="23"/>
  <c r="O31" i="23"/>
  <c r="P31" i="23"/>
  <c r="Q31" i="23"/>
  <c r="R31" i="23"/>
  <c r="S31" i="23"/>
  <c r="T31" i="23"/>
  <c r="U31" i="23"/>
  <c r="V31" i="23"/>
  <c r="W31" i="23"/>
  <c r="X31" i="23"/>
  <c r="Y31" i="23"/>
  <c r="Z31" i="23"/>
  <c r="AA31" i="23"/>
  <c r="AB31" i="23"/>
  <c r="AC31" i="23"/>
  <c r="AD31" i="23"/>
  <c r="AE31" i="23"/>
  <c r="AF31" i="23"/>
  <c r="AG31" i="23"/>
  <c r="AH31" i="23"/>
  <c r="AI31" i="23"/>
  <c r="AJ31" i="23"/>
  <c r="AK31" i="23"/>
  <c r="AL31" i="23"/>
  <c r="AM31" i="23"/>
  <c r="AN31" i="23"/>
  <c r="AO31" i="23"/>
  <c r="AP31" i="23"/>
  <c r="AQ31" i="23"/>
  <c r="AR31" i="23"/>
  <c r="AS31" i="23"/>
  <c r="AT31" i="23"/>
  <c r="AU31" i="23"/>
  <c r="AV31" i="23"/>
  <c r="AW31" i="23"/>
  <c r="AX31" i="23"/>
  <c r="AY31" i="23"/>
  <c r="AZ31" i="23"/>
  <c r="BA31" i="23"/>
  <c r="BB31" i="23"/>
  <c r="BC31" i="23"/>
  <c r="BD31" i="23"/>
  <c r="BE31" i="23"/>
  <c r="BG31" i="23"/>
  <c r="BH31" i="23"/>
  <c r="BI31" i="23"/>
  <c r="F27" i="23"/>
  <c r="G27" i="23"/>
  <c r="H27" i="23"/>
  <c r="I27" i="23"/>
  <c r="J27" i="23"/>
  <c r="K27" i="23"/>
  <c r="L27" i="23"/>
  <c r="M27" i="23"/>
  <c r="N27" i="23"/>
  <c r="O27" i="23"/>
  <c r="P27" i="23"/>
  <c r="Q27" i="23"/>
  <c r="R27" i="23"/>
  <c r="S27" i="23"/>
  <c r="T27" i="23"/>
  <c r="U27" i="23"/>
  <c r="V27" i="23"/>
  <c r="W27" i="23"/>
  <c r="X27" i="23"/>
  <c r="Y27" i="23"/>
  <c r="Z27" i="23"/>
  <c r="AA27" i="23"/>
  <c r="AB27" i="23"/>
  <c r="AC27" i="23"/>
  <c r="AD27" i="23"/>
  <c r="AE27" i="23"/>
  <c r="AF27" i="23"/>
  <c r="AG27" i="23"/>
  <c r="AH27" i="23"/>
  <c r="AI27" i="23"/>
  <c r="AJ27" i="23"/>
  <c r="AK27" i="23"/>
  <c r="AL27" i="23"/>
  <c r="AM27" i="23"/>
  <c r="AN27" i="23"/>
  <c r="AO27" i="23"/>
  <c r="AP27" i="23"/>
  <c r="AQ27" i="23"/>
  <c r="AR27" i="23"/>
  <c r="AS27" i="23"/>
  <c r="AT27" i="23"/>
  <c r="AU27" i="23"/>
  <c r="AV27" i="23"/>
  <c r="AW27" i="23"/>
  <c r="AX27" i="23"/>
  <c r="AY27" i="23"/>
  <c r="AZ27" i="23"/>
  <c r="BA27" i="23"/>
  <c r="BB27" i="23"/>
  <c r="BC27" i="23"/>
  <c r="BD27" i="23"/>
  <c r="BE27" i="23"/>
  <c r="BG27" i="23"/>
  <c r="BH27" i="23"/>
  <c r="BI27" i="23"/>
  <c r="F15" i="23"/>
  <c r="G15" i="23"/>
  <c r="H15" i="23"/>
  <c r="I15" i="23"/>
  <c r="J15" i="23"/>
  <c r="K15" i="23"/>
  <c r="L15" i="23"/>
  <c r="M15" i="23"/>
  <c r="N15" i="23"/>
  <c r="O15" i="23"/>
  <c r="P15" i="23"/>
  <c r="Q15" i="23"/>
  <c r="R15" i="23"/>
  <c r="S15" i="23"/>
  <c r="T15" i="23"/>
  <c r="U15" i="23"/>
  <c r="V15" i="23"/>
  <c r="W15" i="23"/>
  <c r="X15" i="23"/>
  <c r="Y15" i="23"/>
  <c r="Z15" i="23"/>
  <c r="AA15" i="23"/>
  <c r="AB15" i="23"/>
  <c r="AC15" i="23"/>
  <c r="AD15" i="23"/>
  <c r="AE15" i="23"/>
  <c r="AF15" i="23"/>
  <c r="AG15" i="23"/>
  <c r="AH15" i="23"/>
  <c r="AI15" i="23"/>
  <c r="AJ15" i="23"/>
  <c r="AK15" i="23"/>
  <c r="AL15" i="23"/>
  <c r="AM15" i="23"/>
  <c r="AN15" i="23"/>
  <c r="AO15" i="23"/>
  <c r="AP15" i="23"/>
  <c r="AQ15" i="23"/>
  <c r="AR15" i="23"/>
  <c r="AS15" i="23"/>
  <c r="AT15" i="23"/>
  <c r="AU15" i="23"/>
  <c r="AV15" i="23"/>
  <c r="AW15" i="23"/>
  <c r="AX15" i="23"/>
  <c r="AY15" i="23"/>
  <c r="AZ15" i="23"/>
  <c r="BA15" i="23"/>
  <c r="BB15" i="23"/>
  <c r="BC15" i="23"/>
  <c r="BD15" i="23"/>
  <c r="BE15" i="23"/>
  <c r="BG15" i="23"/>
  <c r="BH15" i="23"/>
  <c r="BI15" i="23"/>
  <c r="E65" i="49" l="1"/>
  <c r="E130" i="49"/>
  <c r="E114" i="49"/>
  <c r="Z39" i="29"/>
  <c r="E17" i="49"/>
  <c r="E99" i="49"/>
  <c r="E129" i="49"/>
  <c r="AL39" i="29"/>
  <c r="W117" i="29"/>
  <c r="E13" i="49"/>
  <c r="E23" i="49"/>
  <c r="E101" i="49"/>
  <c r="AE117" i="29"/>
  <c r="AE153" i="29"/>
  <c r="C30" i="79" s="1"/>
  <c r="E21" i="49"/>
  <c r="E137" i="49"/>
  <c r="E25" i="49"/>
  <c r="E33" i="49"/>
  <c r="E107" i="49"/>
  <c r="S117" i="29"/>
  <c r="E29" i="49"/>
  <c r="E142" i="49"/>
  <c r="E151" i="49"/>
  <c r="K117" i="29"/>
  <c r="BE117" i="29"/>
  <c r="AY153" i="29"/>
  <c r="C50" i="79" s="1"/>
  <c r="AM153" i="29"/>
  <c r="C38" i="79" s="1"/>
  <c r="E45" i="49"/>
  <c r="E113" i="49"/>
  <c r="Y117" i="29"/>
  <c r="E152" i="49"/>
  <c r="W153" i="29"/>
  <c r="C22" i="79" s="1"/>
  <c r="E97" i="49"/>
  <c r="E41" i="49"/>
  <c r="E51" i="49"/>
  <c r="E115" i="49"/>
  <c r="E148" i="49"/>
  <c r="E126" i="49"/>
  <c r="E122" i="49"/>
  <c r="E121" i="49" s="1"/>
  <c r="E112" i="49"/>
  <c r="E104" i="49"/>
  <c r="E103" i="49" s="1"/>
  <c r="E82" i="49"/>
  <c r="E80" i="49" s="1"/>
  <c r="E70" i="49"/>
  <c r="E52" i="49"/>
  <c r="E48" i="49"/>
  <c r="E28" i="49"/>
  <c r="E24" i="49"/>
  <c r="E20" i="49"/>
  <c r="E10" i="49"/>
  <c r="E88" i="49"/>
  <c r="E110" i="49"/>
  <c r="E118" i="49"/>
  <c r="E149" i="49"/>
  <c r="E12" i="49"/>
  <c r="E16" i="49"/>
  <c r="E22" i="49"/>
  <c r="E26" i="49"/>
  <c r="E32" i="49"/>
  <c r="E31" i="49" s="1"/>
  <c r="E38" i="49"/>
  <c r="E44" i="49"/>
  <c r="E43" i="49" s="1"/>
  <c r="E50" i="49"/>
  <c r="E54" i="49"/>
  <c r="E62" i="49"/>
  <c r="E66" i="49"/>
  <c r="E72" i="49"/>
  <c r="E68" i="49" s="1"/>
  <c r="E96" i="49"/>
  <c r="E116" i="49"/>
  <c r="E128" i="49"/>
  <c r="E138" i="49"/>
  <c r="E127" i="49"/>
  <c r="E133" i="49"/>
  <c r="E132" i="49" s="1"/>
  <c r="E140" i="49"/>
  <c r="E146" i="49"/>
  <c r="E150" i="49"/>
  <c r="BG169" i="23"/>
  <c r="BD169" i="23"/>
  <c r="AX169" i="23"/>
  <c r="AV169" i="23"/>
  <c r="AT169" i="23"/>
  <c r="AR169" i="23"/>
  <c r="AP169" i="23"/>
  <c r="AN169" i="23"/>
  <c r="AL169" i="23"/>
  <c r="AJ169" i="23"/>
  <c r="AH169" i="23"/>
  <c r="AF169" i="23"/>
  <c r="AD169" i="23"/>
  <c r="AB169" i="23"/>
  <c r="Z169" i="23"/>
  <c r="X169" i="23"/>
  <c r="V169" i="23"/>
  <c r="T169" i="23"/>
  <c r="R169" i="23"/>
  <c r="P169" i="23"/>
  <c r="N169" i="23"/>
  <c r="L169" i="23"/>
  <c r="J169" i="23"/>
  <c r="H169" i="23"/>
  <c r="F169" i="23"/>
  <c r="E90" i="49"/>
  <c r="E86" i="49" s="1"/>
  <c r="E64" i="49"/>
  <c r="E36" i="49"/>
  <c r="E40" i="49"/>
  <c r="B60" i="79"/>
  <c r="B58" i="79"/>
  <c r="B51" i="79"/>
  <c r="B4" i="79"/>
  <c r="B37" i="79"/>
  <c r="B59" i="79"/>
  <c r="M153" i="29"/>
  <c r="C12" i="79" s="1"/>
  <c r="BB169" i="23"/>
  <c r="BI169" i="23"/>
  <c r="AZ169" i="23"/>
  <c r="C14" i="74"/>
  <c r="C20" i="74"/>
  <c r="BC172" i="23"/>
  <c r="BA172" i="23"/>
  <c r="AY172" i="23"/>
  <c r="O172" i="23"/>
  <c r="E8" i="46"/>
  <c r="AM172" i="23"/>
  <c r="D77" i="27"/>
  <c r="E9" i="46"/>
  <c r="C58" i="25"/>
  <c r="E10" i="46"/>
  <c r="C64" i="25"/>
  <c r="C59" i="25"/>
  <c r="D79" i="27"/>
  <c r="D33" i="27"/>
  <c r="E11" i="46"/>
  <c r="C65" i="25"/>
  <c r="C7" i="26"/>
  <c r="D31" i="27"/>
  <c r="D78" i="27"/>
  <c r="D32" i="27"/>
  <c r="D55" i="27"/>
  <c r="C79" i="25"/>
  <c r="C33" i="25"/>
  <c r="C12" i="45"/>
  <c r="D56" i="27"/>
  <c r="C85" i="25"/>
  <c r="C39" i="25"/>
  <c r="C18" i="45"/>
  <c r="C80" i="25"/>
  <c r="C34" i="25"/>
  <c r="C13" i="45"/>
  <c r="C14" i="60"/>
  <c r="D57" i="27"/>
  <c r="C86" i="25"/>
  <c r="C40" i="25"/>
  <c r="C19" i="45"/>
  <c r="C20" i="60"/>
  <c r="S223" i="63"/>
  <c r="F226" i="64" s="1"/>
  <c r="BB172" i="23"/>
  <c r="AZ172" i="23"/>
  <c r="AX75" i="23"/>
  <c r="AX172" i="23"/>
  <c r="AV172" i="23"/>
  <c r="AT172" i="23"/>
  <c r="Z172" i="23"/>
  <c r="E157" i="49"/>
  <c r="AL172" i="23"/>
  <c r="AS172" i="23"/>
  <c r="AH75" i="23"/>
  <c r="AH172" i="23"/>
  <c r="AI172" i="23"/>
  <c r="AF172" i="23"/>
  <c r="AE172" i="23"/>
  <c r="AC172" i="23"/>
  <c r="AA172" i="23"/>
  <c r="C9" i="45" s="1"/>
  <c r="Y172" i="23"/>
  <c r="X172" i="23"/>
  <c r="AR172" i="23"/>
  <c r="AQ172" i="23"/>
  <c r="AP75" i="23"/>
  <c r="AP172" i="23"/>
  <c r="AW172" i="23"/>
  <c r="N172" i="23"/>
  <c r="T172" i="23"/>
  <c r="U172" i="23"/>
  <c r="AO172" i="23"/>
  <c r="AJ172" i="23"/>
  <c r="AB172" i="23"/>
  <c r="V172" i="23"/>
  <c r="AG172" i="23"/>
  <c r="J172" i="23"/>
  <c r="BE172" i="23"/>
  <c r="AN172" i="23"/>
  <c r="AU172" i="23"/>
  <c r="S172" i="23"/>
  <c r="R75" i="23"/>
  <c r="R172" i="23"/>
  <c r="W172" i="23"/>
  <c r="AD172" i="23"/>
  <c r="BH172" i="23"/>
  <c r="Q172" i="23"/>
  <c r="C9" i="44"/>
  <c r="AK172" i="23"/>
  <c r="P172" i="23"/>
  <c r="H172" i="23"/>
  <c r="K172" i="23"/>
  <c r="G172" i="23"/>
  <c r="I172" i="23"/>
  <c r="I75" i="23"/>
  <c r="BI172" i="23"/>
  <c r="BD172" i="23"/>
  <c r="L172" i="23"/>
  <c r="F172" i="23"/>
  <c r="M172" i="23"/>
  <c r="C8" i="26"/>
  <c r="BG220" i="24"/>
  <c r="BG223" i="24" s="1"/>
  <c r="BG172" i="23"/>
  <c r="D13" i="43"/>
  <c r="D16" i="43"/>
  <c r="O117" i="29"/>
  <c r="Z75" i="23"/>
  <c r="BI173" i="29"/>
  <c r="BI167" i="29"/>
  <c r="BI175" i="29"/>
  <c r="BI171" i="29"/>
  <c r="BI169" i="29"/>
  <c r="BI165" i="29"/>
  <c r="BH176" i="29"/>
  <c r="BH172" i="29"/>
  <c r="BH173" i="29"/>
  <c r="BH169" i="29"/>
  <c r="BH171" i="29"/>
  <c r="BH167" i="29"/>
  <c r="BH165" i="29"/>
  <c r="BI174" i="29"/>
  <c r="BI168" i="29"/>
  <c r="BI176" i="29"/>
  <c r="BI172" i="29"/>
  <c r="BI170" i="29"/>
  <c r="BI166" i="29"/>
  <c r="BI164" i="29"/>
  <c r="BH175" i="29"/>
  <c r="BH174" i="29"/>
  <c r="BH170" i="29"/>
  <c r="BH164" i="29"/>
  <c r="BH168" i="29"/>
  <c r="BH166" i="29"/>
  <c r="BF173" i="29"/>
  <c r="BG173" i="29"/>
  <c r="BF167" i="29"/>
  <c r="BG167" i="29"/>
  <c r="BF175" i="29"/>
  <c r="BG175" i="29"/>
  <c r="BF171" i="29"/>
  <c r="BG171" i="29"/>
  <c r="BF169" i="29"/>
  <c r="BG169" i="29"/>
  <c r="BF165" i="29"/>
  <c r="BG165" i="29"/>
  <c r="BF174" i="29"/>
  <c r="BG174" i="29"/>
  <c r="BF168" i="29"/>
  <c r="BG168" i="29"/>
  <c r="BG176" i="29"/>
  <c r="BF176" i="29"/>
  <c r="BG172" i="29"/>
  <c r="BF172" i="29"/>
  <c r="BG170" i="29"/>
  <c r="BF170" i="29"/>
  <c r="BF166" i="29"/>
  <c r="BG166" i="29"/>
  <c r="BG164" i="29"/>
  <c r="BF164" i="29"/>
  <c r="AR27" i="29"/>
  <c r="AR39" i="29"/>
  <c r="AT27" i="29"/>
  <c r="AT39" i="29"/>
  <c r="AP27" i="29"/>
  <c r="AP39" i="29"/>
  <c r="AF27" i="29"/>
  <c r="AF39" i="29"/>
  <c r="AB27" i="29"/>
  <c r="AB39" i="29"/>
  <c r="V27" i="29"/>
  <c r="V39" i="29"/>
  <c r="P27" i="29"/>
  <c r="P39" i="29"/>
  <c r="L27" i="29"/>
  <c r="L39" i="29"/>
  <c r="H27" i="29"/>
  <c r="H39" i="29"/>
  <c r="BA153" i="29"/>
  <c r="C52" i="79" s="1"/>
  <c r="AS153" i="29"/>
  <c r="C44" i="79" s="1"/>
  <c r="AC153" i="29"/>
  <c r="C28" i="79" s="1"/>
  <c r="U153" i="29"/>
  <c r="C20" i="79" s="1"/>
  <c r="Q153" i="29"/>
  <c r="C16" i="79" s="1"/>
  <c r="BB75" i="23"/>
  <c r="AT75" i="23"/>
  <c r="AL75" i="23"/>
  <c r="AD75" i="23"/>
  <c r="V75" i="23"/>
  <c r="N75" i="23"/>
  <c r="BD75" i="23"/>
  <c r="AZ75" i="23"/>
  <c r="AV75" i="23"/>
  <c r="AR75" i="23"/>
  <c r="AN75" i="23"/>
  <c r="AJ75" i="23"/>
  <c r="AF75" i="23"/>
  <c r="AB75" i="23"/>
  <c r="X75" i="23"/>
  <c r="T75" i="23"/>
  <c r="P75" i="23"/>
  <c r="L75" i="23"/>
  <c r="J75" i="23"/>
  <c r="H75" i="23"/>
  <c r="F75" i="23"/>
  <c r="BE75" i="23"/>
  <c r="BC75" i="23"/>
  <c r="BA75" i="23"/>
  <c r="AY75" i="23"/>
  <c r="AW75" i="23"/>
  <c r="AU75" i="23"/>
  <c r="AS75" i="23"/>
  <c r="AQ75" i="23"/>
  <c r="AO75" i="23"/>
  <c r="AM75" i="23"/>
  <c r="AK75" i="23"/>
  <c r="AI75" i="23"/>
  <c r="K75" i="23"/>
  <c r="G75" i="23"/>
  <c r="BG11" i="40"/>
  <c r="BG10" i="39"/>
  <c r="BG10" i="38"/>
  <c r="BG10" i="37"/>
  <c r="BG10" i="36"/>
  <c r="BG10" i="35"/>
  <c r="BF10" i="37"/>
  <c r="BF11" i="40"/>
  <c r="BF10" i="39"/>
  <c r="BF10" i="38"/>
  <c r="BF10" i="36"/>
  <c r="BF10" i="35"/>
  <c r="BH11" i="40"/>
  <c r="BH10" i="39"/>
  <c r="BH10" i="38"/>
  <c r="BH10" i="37"/>
  <c r="BH10" i="36"/>
  <c r="BH10" i="35"/>
  <c r="X19" i="38"/>
  <c r="X37" i="40" s="1"/>
  <c r="BG37" i="40" s="1"/>
  <c r="BG17" i="38"/>
  <c r="BG19" i="38" s="1"/>
  <c r="BH17" i="38"/>
  <c r="BH19" i="38" s="1"/>
  <c r="AK19" i="38"/>
  <c r="AK37" i="40" s="1"/>
  <c r="BH37" i="40" s="1"/>
  <c r="E19" i="38"/>
  <c r="E37" i="40" s="1"/>
  <c r="BF37" i="40" s="1"/>
  <c r="BF17" i="38"/>
  <c r="BF19" i="38" s="1"/>
  <c r="BE131" i="29"/>
  <c r="AW153" i="29"/>
  <c r="C48" i="79" s="1"/>
  <c r="AO131" i="29"/>
  <c r="AG153" i="29"/>
  <c r="C32" i="79" s="1"/>
  <c r="I131" i="29"/>
  <c r="C76" i="25"/>
  <c r="BF117" i="23"/>
  <c r="B21" i="80" s="1"/>
  <c r="AZ121" i="29"/>
  <c r="AR99" i="29"/>
  <c r="AR121" i="29"/>
  <c r="AJ117" i="29"/>
  <c r="AB117" i="29"/>
  <c r="T117" i="29"/>
  <c r="AW76" i="29"/>
  <c r="BD31" i="29"/>
  <c r="BD43" i="29"/>
  <c r="BD88" i="29"/>
  <c r="BD27" i="29"/>
  <c r="BD39" i="29"/>
  <c r="AZ31" i="29"/>
  <c r="AZ43" i="29"/>
  <c r="AZ82" i="29"/>
  <c r="AZ88" i="29"/>
  <c r="AX82" i="29"/>
  <c r="AX117" i="29"/>
  <c r="AV31" i="29"/>
  <c r="AV43" i="29"/>
  <c r="AV88" i="29"/>
  <c r="AV27" i="29"/>
  <c r="AV39" i="29"/>
  <c r="AT88" i="29"/>
  <c r="AR31" i="29"/>
  <c r="AR43" i="29"/>
  <c r="AR82" i="29"/>
  <c r="AR76" i="29"/>
  <c r="AP76" i="29"/>
  <c r="AN31" i="29"/>
  <c r="AN43" i="29"/>
  <c r="AN88" i="29"/>
  <c r="AN27" i="29"/>
  <c r="AN39" i="29"/>
  <c r="AL88" i="29"/>
  <c r="AJ31" i="29"/>
  <c r="AJ43" i="29"/>
  <c r="AJ82" i="29"/>
  <c r="AJ27" i="29"/>
  <c r="AJ39" i="29"/>
  <c r="AJ88" i="29"/>
  <c r="AH117" i="29"/>
  <c r="AH140" i="29"/>
  <c r="AF31" i="29"/>
  <c r="AF43" i="29"/>
  <c r="AF88" i="29"/>
  <c r="AF82" i="29"/>
  <c r="AF117" i="29"/>
  <c r="AD82" i="29"/>
  <c r="AD117" i="29"/>
  <c r="AB31" i="29"/>
  <c r="AB43" i="29"/>
  <c r="AB82" i="29"/>
  <c r="AB88" i="29"/>
  <c r="Z88" i="29"/>
  <c r="X31" i="29"/>
  <c r="X43" i="29"/>
  <c r="X82" i="29"/>
  <c r="V76" i="29"/>
  <c r="V99" i="29"/>
  <c r="V121" i="29"/>
  <c r="T31" i="29"/>
  <c r="T43" i="29"/>
  <c r="T82" i="29"/>
  <c r="T27" i="29"/>
  <c r="T39" i="29"/>
  <c r="T88" i="29"/>
  <c r="R88" i="29"/>
  <c r="P31" i="29"/>
  <c r="P43" i="29"/>
  <c r="P88" i="29"/>
  <c r="P82" i="29"/>
  <c r="P117" i="29"/>
  <c r="N82" i="29"/>
  <c r="N121" i="29"/>
  <c r="L31" i="29"/>
  <c r="L43" i="29"/>
  <c r="L82" i="29"/>
  <c r="L88" i="29"/>
  <c r="H31" i="29"/>
  <c r="H43" i="29"/>
  <c r="H88" i="29"/>
  <c r="H82" i="29"/>
  <c r="H117" i="29"/>
  <c r="F82" i="29"/>
  <c r="F121" i="29"/>
  <c r="BE56" i="29"/>
  <c r="BE105" i="29"/>
  <c r="BE157" i="29"/>
  <c r="BC140" i="29"/>
  <c r="BC153" i="29"/>
  <c r="C54" i="79" s="1"/>
  <c r="BA56" i="29"/>
  <c r="BA105" i="29"/>
  <c r="BA131" i="29"/>
  <c r="AY117" i="29"/>
  <c r="AW56" i="29"/>
  <c r="AW105" i="29"/>
  <c r="AW117" i="29"/>
  <c r="AU140" i="29"/>
  <c r="AU153" i="29"/>
  <c r="C46" i="79" s="1"/>
  <c r="AS56" i="29"/>
  <c r="AS105" i="29"/>
  <c r="AS131" i="29"/>
  <c r="AQ117" i="29"/>
  <c r="AQ27" i="29"/>
  <c r="AQ39" i="29"/>
  <c r="AQ99" i="29"/>
  <c r="AQ121" i="29"/>
  <c r="AQ153" i="29"/>
  <c r="C42" i="79" s="1"/>
  <c r="AO56" i="29"/>
  <c r="AO105" i="29"/>
  <c r="AO157" i="29"/>
  <c r="AM117" i="29"/>
  <c r="AI153" i="29"/>
  <c r="C34" i="79" s="1"/>
  <c r="AI27" i="29"/>
  <c r="AI39" i="29"/>
  <c r="AG56" i="29"/>
  <c r="AG105" i="29"/>
  <c r="AE99" i="29"/>
  <c r="AE121" i="29"/>
  <c r="AC56" i="29"/>
  <c r="AC105" i="29"/>
  <c r="AC131" i="29"/>
  <c r="AC117" i="29"/>
  <c r="AA153" i="29"/>
  <c r="C26" i="79" s="1"/>
  <c r="Y56" i="29"/>
  <c r="W27" i="29"/>
  <c r="W39" i="29"/>
  <c r="U56" i="29"/>
  <c r="U105" i="29"/>
  <c r="U131" i="29"/>
  <c r="S153" i="29"/>
  <c r="C18" i="79" s="1"/>
  <c r="S27" i="29"/>
  <c r="S39" i="29"/>
  <c r="Q56" i="29"/>
  <c r="Q105" i="29"/>
  <c r="Q131" i="29"/>
  <c r="O99" i="29"/>
  <c r="O121" i="29"/>
  <c r="M56" i="29"/>
  <c r="M105" i="29"/>
  <c r="M131" i="29"/>
  <c r="I56" i="29"/>
  <c r="I105" i="29"/>
  <c r="D14" i="27"/>
  <c r="D12" i="27"/>
  <c r="D15" i="27"/>
  <c r="C9" i="26"/>
  <c r="D17" i="27"/>
  <c r="BD56" i="29"/>
  <c r="BD99" i="29"/>
  <c r="BD105" i="29"/>
  <c r="BD121" i="29"/>
  <c r="BD131" i="29"/>
  <c r="BD140" i="29"/>
  <c r="BD157" i="29"/>
  <c r="BD153" i="29"/>
  <c r="C55" i="79" s="1"/>
  <c r="BB5" i="29"/>
  <c r="BB15" i="29"/>
  <c r="BB64" i="29"/>
  <c r="BB82" i="29"/>
  <c r="BB99" i="29"/>
  <c r="BB105" i="29"/>
  <c r="BB121" i="29"/>
  <c r="BB131" i="29"/>
  <c r="BB140" i="29"/>
  <c r="AZ64" i="29"/>
  <c r="AZ99" i="29"/>
  <c r="AZ105" i="29"/>
  <c r="AZ131" i="29"/>
  <c r="AZ140" i="29"/>
  <c r="AZ157" i="29"/>
  <c r="AZ153" i="29"/>
  <c r="C51" i="79" s="1"/>
  <c r="AX5" i="29"/>
  <c r="AX15" i="29"/>
  <c r="AX64" i="29"/>
  <c r="AV56" i="29"/>
  <c r="AV99" i="29"/>
  <c r="AV105" i="29"/>
  <c r="AV121" i="29"/>
  <c r="AV131" i="29"/>
  <c r="AV140" i="29"/>
  <c r="AV157" i="29"/>
  <c r="AV153" i="29"/>
  <c r="C47" i="79" s="1"/>
  <c r="AT5" i="29"/>
  <c r="AT15" i="29"/>
  <c r="AT157" i="29"/>
  <c r="AT153" i="29"/>
  <c r="C45" i="79" s="1"/>
  <c r="AT56" i="29"/>
  <c r="AT76" i="29"/>
  <c r="AT117" i="29"/>
  <c r="AT131" i="29"/>
  <c r="AT140" i="29"/>
  <c r="AR64" i="29"/>
  <c r="AR105" i="29"/>
  <c r="AR131" i="29"/>
  <c r="AR140" i="29"/>
  <c r="AR157" i="29"/>
  <c r="AR153" i="29"/>
  <c r="C43" i="79" s="1"/>
  <c r="AP5" i="29"/>
  <c r="AP15" i="29"/>
  <c r="AP56" i="29"/>
  <c r="AP88" i="29"/>
  <c r="AP117" i="29"/>
  <c r="AN56" i="29"/>
  <c r="AN117" i="29"/>
  <c r="AL5" i="29"/>
  <c r="AL15" i="29"/>
  <c r="AL56" i="29"/>
  <c r="AL76" i="29"/>
  <c r="AL157" i="29"/>
  <c r="AL153" i="29"/>
  <c r="C37" i="79" s="1"/>
  <c r="AL99" i="29"/>
  <c r="AL105" i="29"/>
  <c r="AL121" i="29"/>
  <c r="AJ64" i="29"/>
  <c r="AH31" i="29"/>
  <c r="AH43" i="29"/>
  <c r="AH64" i="29"/>
  <c r="AH82" i="29"/>
  <c r="AH157" i="29"/>
  <c r="AH153" i="29"/>
  <c r="C33" i="79" s="1"/>
  <c r="AH131" i="29"/>
  <c r="AF64" i="29"/>
  <c r="AD31" i="29"/>
  <c r="AD43" i="29"/>
  <c r="AD64" i="29"/>
  <c r="AB64" i="29"/>
  <c r="Z31" i="29"/>
  <c r="Z43" i="29"/>
  <c r="Z56" i="29"/>
  <c r="Z76" i="29"/>
  <c r="Z117" i="29"/>
  <c r="Z157" i="29"/>
  <c r="Z153" i="29"/>
  <c r="C25" i="79" s="1"/>
  <c r="Z131" i="29"/>
  <c r="Z140" i="29"/>
  <c r="BH54" i="29"/>
  <c r="BH53" i="29" s="1"/>
  <c r="X53" i="29"/>
  <c r="BH66" i="29"/>
  <c r="BH89" i="29"/>
  <c r="X88" i="29"/>
  <c r="BH28" i="29"/>
  <c r="X27" i="29"/>
  <c r="BH40" i="29"/>
  <c r="X39" i="29"/>
  <c r="BH113" i="29"/>
  <c r="BH19" i="29"/>
  <c r="BH23" i="29"/>
  <c r="BH35" i="29"/>
  <c r="BH47" i="29"/>
  <c r="BH51" i="29"/>
  <c r="BH59" i="29"/>
  <c r="X64" i="29"/>
  <c r="BH71" i="29"/>
  <c r="BH95" i="29"/>
  <c r="BH107" i="29"/>
  <c r="BH115" i="29"/>
  <c r="BH138" i="29"/>
  <c r="BH86" i="29"/>
  <c r="BH96" i="29"/>
  <c r="BH102" i="29"/>
  <c r="BH118" i="29"/>
  <c r="X117" i="29"/>
  <c r="BH125" i="29"/>
  <c r="BH136" i="29"/>
  <c r="BH146" i="29"/>
  <c r="BH143" i="29"/>
  <c r="BH147" i="29"/>
  <c r="V31" i="29"/>
  <c r="V43" i="29"/>
  <c r="V56" i="29"/>
  <c r="V88" i="29"/>
  <c r="V157" i="29"/>
  <c r="V153" i="29"/>
  <c r="C21" i="79" s="1"/>
  <c r="V105" i="29"/>
  <c r="T64" i="29"/>
  <c r="R31" i="29"/>
  <c r="R43" i="29"/>
  <c r="R56" i="29"/>
  <c r="R76" i="29"/>
  <c r="R117" i="29"/>
  <c r="R157" i="29"/>
  <c r="R153" i="29"/>
  <c r="C17" i="79" s="1"/>
  <c r="R131" i="29"/>
  <c r="R140" i="29"/>
  <c r="P64" i="29"/>
  <c r="N31" i="29"/>
  <c r="N43" i="29"/>
  <c r="N64" i="29"/>
  <c r="N99" i="29"/>
  <c r="N105" i="29"/>
  <c r="N131" i="29"/>
  <c r="N140" i="29"/>
  <c r="L64" i="29"/>
  <c r="L99" i="29"/>
  <c r="L105" i="29"/>
  <c r="L121" i="29"/>
  <c r="L131" i="29"/>
  <c r="L140" i="29"/>
  <c r="L157" i="29"/>
  <c r="L153" i="29"/>
  <c r="C11" i="79" s="1"/>
  <c r="J31" i="29"/>
  <c r="J43" i="29"/>
  <c r="J64" i="29"/>
  <c r="J82" i="29"/>
  <c r="J99" i="29"/>
  <c r="J105" i="29"/>
  <c r="J121" i="29"/>
  <c r="H64" i="29"/>
  <c r="H131" i="29"/>
  <c r="H140" i="29"/>
  <c r="H157" i="29"/>
  <c r="H153" i="29"/>
  <c r="C7" i="79" s="1"/>
  <c r="F31" i="29"/>
  <c r="F43" i="29"/>
  <c r="F64" i="29"/>
  <c r="F99" i="29"/>
  <c r="F105" i="29"/>
  <c r="F131" i="29"/>
  <c r="F140" i="29"/>
  <c r="BE64" i="29"/>
  <c r="BE27" i="29"/>
  <c r="BE39" i="29"/>
  <c r="BC56" i="29"/>
  <c r="BC5" i="29"/>
  <c r="BC15" i="29"/>
  <c r="BC31" i="29"/>
  <c r="BC43" i="29"/>
  <c r="BC105" i="29"/>
  <c r="BC76" i="29"/>
  <c r="BC82" i="29"/>
  <c r="BC88" i="29"/>
  <c r="BC131" i="29"/>
  <c r="BA64" i="29"/>
  <c r="BA27" i="29"/>
  <c r="BA39" i="29"/>
  <c r="BA76" i="29"/>
  <c r="BA82" i="29"/>
  <c r="BA88" i="29"/>
  <c r="AY56" i="29"/>
  <c r="AY5" i="29"/>
  <c r="AY15" i="29"/>
  <c r="AY31" i="29"/>
  <c r="AY43" i="29"/>
  <c r="AY105" i="29"/>
  <c r="AW64" i="29"/>
  <c r="AW5" i="29"/>
  <c r="AW15" i="29"/>
  <c r="AW31" i="29"/>
  <c r="AW43" i="29"/>
  <c r="AW82" i="29"/>
  <c r="AW88" i="29"/>
  <c r="AW157" i="29"/>
  <c r="AU56" i="29"/>
  <c r="AU5" i="29"/>
  <c r="AU15" i="29"/>
  <c r="AU31" i="29"/>
  <c r="AU43" i="29"/>
  <c r="AU105" i="29"/>
  <c r="AU76" i="29"/>
  <c r="AU82" i="29"/>
  <c r="AU88" i="29"/>
  <c r="AU131" i="29"/>
  <c r="AS64" i="29"/>
  <c r="AS27" i="29"/>
  <c r="AS39" i="29"/>
  <c r="AS76" i="29"/>
  <c r="AS82" i="29"/>
  <c r="AS88" i="29"/>
  <c r="AQ56" i="29"/>
  <c r="AO64" i="29"/>
  <c r="AO27" i="29"/>
  <c r="AO39" i="29"/>
  <c r="AM56" i="29"/>
  <c r="AM5" i="29"/>
  <c r="AM15" i="29"/>
  <c r="AM31" i="29"/>
  <c r="AM43" i="29"/>
  <c r="AM105" i="29"/>
  <c r="BI11" i="29"/>
  <c r="BI21" i="29"/>
  <c r="BI33" i="29"/>
  <c r="BI45" i="29"/>
  <c r="BI57" i="29"/>
  <c r="AK56" i="29"/>
  <c r="BI67" i="29"/>
  <c r="BI90" i="29"/>
  <c r="BI9" i="29"/>
  <c r="BI19" i="29"/>
  <c r="BI29" i="29"/>
  <c r="BI41" i="29"/>
  <c r="BI51" i="29"/>
  <c r="BI65" i="29"/>
  <c r="AK64" i="29"/>
  <c r="BI84" i="29"/>
  <c r="BI106" i="29"/>
  <c r="AK105" i="29"/>
  <c r="BI114" i="29"/>
  <c r="BI132" i="29"/>
  <c r="AK131" i="29"/>
  <c r="BI145" i="29"/>
  <c r="BI8" i="29"/>
  <c r="BI12" i="29"/>
  <c r="BI18" i="29"/>
  <c r="BI22" i="29"/>
  <c r="BI28" i="29"/>
  <c r="BI27" i="29" s="1"/>
  <c r="AK27" i="29"/>
  <c r="BI34" i="29"/>
  <c r="BI40" i="29"/>
  <c r="BI39" i="29" s="1"/>
  <c r="AK39" i="29"/>
  <c r="BI46" i="29"/>
  <c r="BI50" i="29"/>
  <c r="BI58" i="29"/>
  <c r="BI62" i="29"/>
  <c r="BI68" i="29"/>
  <c r="BI80" i="29"/>
  <c r="BI92" i="29"/>
  <c r="BI102" i="29"/>
  <c r="BI112" i="29"/>
  <c r="BI124" i="29"/>
  <c r="BI71" i="29"/>
  <c r="BI79" i="29"/>
  <c r="BI85" i="29"/>
  <c r="BI91" i="29"/>
  <c r="BI95" i="29"/>
  <c r="BI101" i="29"/>
  <c r="BI107" i="29"/>
  <c r="BI111" i="29"/>
  <c r="BI115" i="29"/>
  <c r="BI126" i="29"/>
  <c r="BI137" i="29"/>
  <c r="BI147" i="29"/>
  <c r="BI123" i="29"/>
  <c r="BI129" i="29"/>
  <c r="BI128" i="29" s="1"/>
  <c r="AK128" i="29"/>
  <c r="BI136" i="29"/>
  <c r="BI142" i="29"/>
  <c r="BI146" i="29"/>
  <c r="AK153" i="29"/>
  <c r="C36" i="79" s="1"/>
  <c r="BI155" i="29"/>
  <c r="AI56" i="29"/>
  <c r="AI105" i="29"/>
  <c r="AG64" i="29"/>
  <c r="AG5" i="29"/>
  <c r="AG15" i="29"/>
  <c r="AG31" i="29"/>
  <c r="AG43" i="29"/>
  <c r="AG157" i="29"/>
  <c r="AG160" i="29" s="1"/>
  <c r="AE5" i="29"/>
  <c r="AE15" i="29"/>
  <c r="AE31" i="29"/>
  <c r="AE43" i="29"/>
  <c r="AC64" i="29"/>
  <c r="AC5" i="29"/>
  <c r="AC15" i="29"/>
  <c r="AC31" i="29"/>
  <c r="AC43" i="29"/>
  <c r="AC140" i="29"/>
  <c r="AA56" i="29"/>
  <c r="AA5" i="29"/>
  <c r="AA15" i="29"/>
  <c r="AA31" i="29"/>
  <c r="AA43" i="29"/>
  <c r="AA99" i="29"/>
  <c r="AA121" i="29"/>
  <c r="BH9" i="29"/>
  <c r="BH29" i="29"/>
  <c r="BH41" i="29"/>
  <c r="BH39" i="29" s="1"/>
  <c r="BH65" i="29"/>
  <c r="Y64" i="29"/>
  <c r="BH90" i="29"/>
  <c r="BH106" i="29"/>
  <c r="Y105" i="29"/>
  <c r="BH114" i="29"/>
  <c r="BH124" i="29"/>
  <c r="BH8" i="29"/>
  <c r="BH18" i="29"/>
  <c r="Y27" i="29"/>
  <c r="BH34" i="29"/>
  <c r="Y39" i="29"/>
  <c r="BH46" i="29"/>
  <c r="BH50" i="29"/>
  <c r="BH58" i="29"/>
  <c r="BH62" i="29"/>
  <c r="BH68" i="29"/>
  <c r="BH80" i="29"/>
  <c r="BH92" i="29"/>
  <c r="BH112" i="29"/>
  <c r="BH132" i="29"/>
  <c r="Y131" i="29"/>
  <c r="BH85" i="29"/>
  <c r="BH101" i="29"/>
  <c r="BH126" i="29"/>
  <c r="BH137" i="29"/>
  <c r="BH144" i="29"/>
  <c r="BH148" i="29"/>
  <c r="Y157" i="29"/>
  <c r="Y153" i="29"/>
  <c r="C24" i="79" s="1"/>
  <c r="W105" i="29"/>
  <c r="U64" i="29"/>
  <c r="U27" i="29"/>
  <c r="U39" i="29"/>
  <c r="U76" i="29"/>
  <c r="U82" i="29"/>
  <c r="U88" i="29"/>
  <c r="S56" i="29"/>
  <c r="S105" i="29"/>
  <c r="Q64" i="29"/>
  <c r="Q27" i="29"/>
  <c r="Q39" i="29"/>
  <c r="Q76" i="29"/>
  <c r="Q82" i="29"/>
  <c r="Q88" i="29"/>
  <c r="O5" i="29"/>
  <c r="O15" i="29"/>
  <c r="O31" i="29"/>
  <c r="O43" i="29"/>
  <c r="M64" i="29"/>
  <c r="M27" i="29"/>
  <c r="M39" i="29"/>
  <c r="M76" i="29"/>
  <c r="M82" i="29"/>
  <c r="M88" i="29"/>
  <c r="K56" i="29"/>
  <c r="K5" i="29"/>
  <c r="K15" i="29"/>
  <c r="K31" i="29"/>
  <c r="K43" i="29"/>
  <c r="K99" i="29"/>
  <c r="K121" i="29"/>
  <c r="I64" i="29"/>
  <c r="I27" i="29"/>
  <c r="I39" i="29"/>
  <c r="I76" i="29"/>
  <c r="I82" i="29"/>
  <c r="I88" i="29"/>
  <c r="BG23" i="29"/>
  <c r="BG47" i="29"/>
  <c r="BG59" i="29"/>
  <c r="BF68" i="29"/>
  <c r="BF92" i="29"/>
  <c r="BG7" i="29"/>
  <c r="BG17" i="29"/>
  <c r="BG25" i="29"/>
  <c r="BG37" i="29"/>
  <c r="BG49" i="29"/>
  <c r="BG61" i="29"/>
  <c r="BF72" i="29"/>
  <c r="BF112" i="29"/>
  <c r="BF134" i="29"/>
  <c r="BG147" i="29"/>
  <c r="BF18" i="29"/>
  <c r="BG28" i="29"/>
  <c r="G27" i="29"/>
  <c r="BF34" i="29"/>
  <c r="BG40" i="29"/>
  <c r="G39" i="29"/>
  <c r="BF46" i="29"/>
  <c r="BF50" i="29"/>
  <c r="BF58" i="29"/>
  <c r="BF62" i="29"/>
  <c r="BF70" i="29"/>
  <c r="BG84" i="29"/>
  <c r="BF94" i="29"/>
  <c r="BF106" i="29"/>
  <c r="G105" i="29"/>
  <c r="BF114" i="29"/>
  <c r="BF126" i="29"/>
  <c r="BF148" i="29"/>
  <c r="BG71" i="29"/>
  <c r="BG79" i="29"/>
  <c r="BF85" i="29"/>
  <c r="BG91" i="29"/>
  <c r="BG95" i="29"/>
  <c r="BF101" i="29"/>
  <c r="BG107" i="29"/>
  <c r="BG111" i="29"/>
  <c r="BG115" i="29"/>
  <c r="BF124" i="29"/>
  <c r="BF135" i="29"/>
  <c r="BG145" i="29"/>
  <c r="BG123" i="29"/>
  <c r="BF129" i="29"/>
  <c r="BF128" i="29" s="1"/>
  <c r="G128" i="29"/>
  <c r="BG136" i="29"/>
  <c r="BF22" i="29"/>
  <c r="BG22" i="29"/>
  <c r="BG34" i="29"/>
  <c r="BG46" i="29"/>
  <c r="BG58" i="29"/>
  <c r="BG68" i="29"/>
  <c r="BF91" i="29"/>
  <c r="BF6" i="29"/>
  <c r="BG16" i="29"/>
  <c r="E15" i="29"/>
  <c r="BG24" i="29"/>
  <c r="BG36" i="29"/>
  <c r="BF48" i="29"/>
  <c r="BG48" i="29"/>
  <c r="BG60" i="29"/>
  <c r="BF71" i="29"/>
  <c r="BF95" i="29"/>
  <c r="BF111" i="29"/>
  <c r="BF123" i="29"/>
  <c r="BF136" i="29"/>
  <c r="BF19" i="29"/>
  <c r="BF23" i="29"/>
  <c r="BG29" i="29"/>
  <c r="BF35" i="29"/>
  <c r="BG35" i="29"/>
  <c r="BG41" i="29"/>
  <c r="BF47" i="29"/>
  <c r="BF51" i="29"/>
  <c r="BF59" i="29"/>
  <c r="E64" i="29"/>
  <c r="BG65" i="29"/>
  <c r="BF69" i="29"/>
  <c r="E82" i="29"/>
  <c r="BG83" i="29"/>
  <c r="BF93" i="29"/>
  <c r="BG103" i="29"/>
  <c r="BF113" i="29"/>
  <c r="BF125" i="29"/>
  <c r="BG72" i="29"/>
  <c r="BG80" i="29"/>
  <c r="BF86" i="29"/>
  <c r="BG92" i="29"/>
  <c r="BF96" i="29"/>
  <c r="BG96" i="29"/>
  <c r="BF102" i="29"/>
  <c r="BG108" i="29"/>
  <c r="BG112" i="29"/>
  <c r="E117" i="29"/>
  <c r="BF118" i="29"/>
  <c r="E128" i="29"/>
  <c r="BG129" i="29"/>
  <c r="BG128" i="29" s="1"/>
  <c r="BF138" i="29"/>
  <c r="BG148" i="29"/>
  <c r="BG126" i="29"/>
  <c r="BG134" i="29"/>
  <c r="BF141" i="29"/>
  <c r="E140" i="29"/>
  <c r="BF145" i="29"/>
  <c r="BG155" i="29"/>
  <c r="BH169" i="23"/>
  <c r="BE169" i="23"/>
  <c r="BC169" i="23"/>
  <c r="BA169" i="23"/>
  <c r="AY169" i="23"/>
  <c r="AW169" i="23"/>
  <c r="AU169" i="23"/>
  <c r="AS169" i="23"/>
  <c r="AQ169" i="23"/>
  <c r="AO169" i="23"/>
  <c r="AM169" i="23"/>
  <c r="AK169" i="23"/>
  <c r="AI169" i="23"/>
  <c r="AG169" i="23"/>
  <c r="AE169" i="23"/>
  <c r="AC169" i="23"/>
  <c r="AA169" i="23"/>
  <c r="Y169" i="23"/>
  <c r="W169" i="23"/>
  <c r="U169" i="23"/>
  <c r="S169" i="23"/>
  <c r="Q169" i="23"/>
  <c r="O169" i="23"/>
  <c r="M169" i="23"/>
  <c r="K169" i="23"/>
  <c r="I169" i="23"/>
  <c r="G169" i="23"/>
  <c r="AG75" i="23"/>
  <c r="AE75" i="23"/>
  <c r="AC75" i="23"/>
  <c r="AA75" i="23"/>
  <c r="Y75" i="23"/>
  <c r="W75" i="23"/>
  <c r="U75" i="23"/>
  <c r="S75" i="23"/>
  <c r="Q75" i="23"/>
  <c r="O75" i="23"/>
  <c r="D13" i="27"/>
  <c r="C10" i="26"/>
  <c r="BD5" i="29"/>
  <c r="BD15" i="29"/>
  <c r="BD76" i="29"/>
  <c r="BD82" i="29"/>
  <c r="BD64" i="29"/>
  <c r="BD117" i="29"/>
  <c r="BB27" i="29"/>
  <c r="BB39" i="29"/>
  <c r="BB31" i="29"/>
  <c r="BB43" i="29"/>
  <c r="BB56" i="29"/>
  <c r="BB76" i="29"/>
  <c r="BB88" i="29"/>
  <c r="BB157" i="29"/>
  <c r="BB153" i="29"/>
  <c r="C53" i="79" s="1"/>
  <c r="BB117" i="29"/>
  <c r="AZ5" i="29"/>
  <c r="AZ15" i="29"/>
  <c r="AZ27" i="29"/>
  <c r="AZ39" i="29"/>
  <c r="AZ76" i="29"/>
  <c r="AZ56" i="29"/>
  <c r="AZ117" i="29"/>
  <c r="AX27" i="29"/>
  <c r="AX39" i="29"/>
  <c r="AX31" i="29"/>
  <c r="AX43" i="29"/>
  <c r="AX56" i="29"/>
  <c r="AX76" i="29"/>
  <c r="AX88" i="29"/>
  <c r="AX99" i="29"/>
  <c r="AX105" i="29"/>
  <c r="AX121" i="29"/>
  <c r="AX157" i="29"/>
  <c r="AX153" i="29"/>
  <c r="C49" i="79" s="1"/>
  <c r="AX131" i="29"/>
  <c r="AX140" i="29"/>
  <c r="AV5" i="29"/>
  <c r="AV15" i="29"/>
  <c r="AV76" i="29"/>
  <c r="AV82" i="29"/>
  <c r="AV64" i="29"/>
  <c r="AV178" i="29" s="1"/>
  <c r="AV117" i="29"/>
  <c r="AT31" i="29"/>
  <c r="AT43" i="29"/>
  <c r="AT64" i="29"/>
  <c r="AT82" i="29"/>
  <c r="AT99" i="29"/>
  <c r="AT105" i="29"/>
  <c r="AT121" i="29"/>
  <c r="AR5" i="29"/>
  <c r="AR15" i="29"/>
  <c r="AR88" i="29"/>
  <c r="AR56" i="29"/>
  <c r="AR117" i="29"/>
  <c r="AP31" i="29"/>
  <c r="AP43" i="29"/>
  <c r="AP64" i="29"/>
  <c r="AP82" i="29"/>
  <c r="AP99" i="29"/>
  <c r="AP105" i="29"/>
  <c r="AP121" i="29"/>
  <c r="AP157" i="29"/>
  <c r="AP153" i="29"/>
  <c r="C41" i="79" s="1"/>
  <c r="AP131" i="29"/>
  <c r="AP140" i="29"/>
  <c r="AN5" i="29"/>
  <c r="AN15" i="29"/>
  <c r="AN76" i="29"/>
  <c r="AN82" i="29"/>
  <c r="AN64" i="29"/>
  <c r="AN99" i="29"/>
  <c r="AN105" i="29"/>
  <c r="AN121" i="29"/>
  <c r="AN131" i="29"/>
  <c r="AN140" i="29"/>
  <c r="AN157" i="29"/>
  <c r="AN153" i="29"/>
  <c r="C39" i="79" s="1"/>
  <c r="AL31" i="29"/>
  <c r="AL43" i="29"/>
  <c r="AL64" i="29"/>
  <c r="AL82" i="29"/>
  <c r="AL117" i="29"/>
  <c r="AL131" i="29"/>
  <c r="AL140" i="29"/>
  <c r="AJ5" i="29"/>
  <c r="AJ15" i="29"/>
  <c r="AJ76" i="29"/>
  <c r="AJ56" i="29"/>
  <c r="AJ99" i="29"/>
  <c r="AJ105" i="29"/>
  <c r="AJ121" i="29"/>
  <c r="AJ131" i="29"/>
  <c r="AJ140" i="29"/>
  <c r="AJ157" i="29"/>
  <c r="AJ153" i="29"/>
  <c r="C35" i="79" s="1"/>
  <c r="AH27" i="29"/>
  <c r="AH39" i="29"/>
  <c r="AH5" i="29"/>
  <c r="AH15" i="29"/>
  <c r="AH56" i="29"/>
  <c r="AH76" i="29"/>
  <c r="AH88" i="29"/>
  <c r="AH99" i="29"/>
  <c r="AH105" i="29"/>
  <c r="AH121" i="29"/>
  <c r="AF5" i="29"/>
  <c r="AF15" i="29"/>
  <c r="AF76" i="29"/>
  <c r="AF56" i="29"/>
  <c r="AF99" i="29"/>
  <c r="AF105" i="29"/>
  <c r="AF121" i="29"/>
  <c r="AF131" i="29"/>
  <c r="AF140" i="29"/>
  <c r="AF157" i="29"/>
  <c r="AF153" i="29"/>
  <c r="C31" i="79" s="1"/>
  <c r="AD27" i="29"/>
  <c r="AD39" i="29"/>
  <c r="AD5" i="29"/>
  <c r="AD15" i="29"/>
  <c r="AD157" i="29"/>
  <c r="AD153" i="29"/>
  <c r="C29" i="79" s="1"/>
  <c r="AD56" i="29"/>
  <c r="AD76" i="29"/>
  <c r="AD88" i="29"/>
  <c r="AD99" i="29"/>
  <c r="AD105" i="29"/>
  <c r="AD121" i="29"/>
  <c r="AD131" i="29"/>
  <c r="AD140" i="29"/>
  <c r="AB5" i="29"/>
  <c r="AB15" i="29"/>
  <c r="AB76" i="29"/>
  <c r="AB56" i="29"/>
  <c r="AB99" i="29"/>
  <c r="AB105" i="29"/>
  <c r="AB121" i="29"/>
  <c r="AB131" i="29"/>
  <c r="AB140" i="29"/>
  <c r="AB157" i="29"/>
  <c r="AB153" i="29"/>
  <c r="C27" i="79" s="1"/>
  <c r="Z5" i="29"/>
  <c r="Z15" i="29"/>
  <c r="Z64" i="29"/>
  <c r="Z178" i="29" s="1"/>
  <c r="Z82" i="29"/>
  <c r="Z99" i="29"/>
  <c r="Z105" i="29"/>
  <c r="Z121" i="29"/>
  <c r="X5" i="29"/>
  <c r="BH6" i="29"/>
  <c r="X15" i="29"/>
  <c r="X76" i="29"/>
  <c r="BH77" i="29"/>
  <c r="BH97" i="29"/>
  <c r="BH12" i="29"/>
  <c r="BH22" i="29"/>
  <c r="BH69" i="29"/>
  <c r="BH93" i="29"/>
  <c r="BH109" i="29"/>
  <c r="BH11" i="29"/>
  <c r="BH17" i="29"/>
  <c r="BH21" i="29"/>
  <c r="BH25" i="29"/>
  <c r="BH33" i="29"/>
  <c r="BH37" i="29"/>
  <c r="BH45" i="29"/>
  <c r="BH49" i="29"/>
  <c r="BH57" i="29"/>
  <c r="X56" i="29"/>
  <c r="BH61" i="29"/>
  <c r="BH67" i="29"/>
  <c r="BH79" i="29"/>
  <c r="BH91" i="29"/>
  <c r="BH111" i="29"/>
  <c r="BH123" i="29"/>
  <c r="BH84" i="29"/>
  <c r="BH100" i="29"/>
  <c r="X99" i="29"/>
  <c r="X105" i="29"/>
  <c r="X121" i="29"/>
  <c r="BH133" i="29"/>
  <c r="BH142" i="29"/>
  <c r="X131" i="29"/>
  <c r="BH135" i="29"/>
  <c r="X140" i="29"/>
  <c r="BH141" i="29"/>
  <c r="BH145" i="29"/>
  <c r="X157" i="29"/>
  <c r="X153" i="29"/>
  <c r="C23" i="79" s="1"/>
  <c r="BH154" i="29"/>
  <c r="V5" i="29"/>
  <c r="V15" i="29"/>
  <c r="V64" i="29"/>
  <c r="V82" i="29"/>
  <c r="V117" i="29"/>
  <c r="V131" i="29"/>
  <c r="V140" i="29"/>
  <c r="T5" i="29"/>
  <c r="T15" i="29"/>
  <c r="T76" i="29"/>
  <c r="T56" i="29"/>
  <c r="T99" i="29"/>
  <c r="T105" i="29"/>
  <c r="T121" i="29"/>
  <c r="T131" i="29"/>
  <c r="T140" i="29"/>
  <c r="T157" i="29"/>
  <c r="T153" i="29"/>
  <c r="C19" i="79" s="1"/>
  <c r="R5" i="29"/>
  <c r="R15" i="29"/>
  <c r="R64" i="29"/>
  <c r="R82" i="29"/>
  <c r="R99" i="29"/>
  <c r="R105" i="29"/>
  <c r="R121" i="29"/>
  <c r="P5" i="29"/>
  <c r="P15" i="29"/>
  <c r="P76" i="29"/>
  <c r="P56" i="29"/>
  <c r="P99" i="29"/>
  <c r="P105" i="29"/>
  <c r="P121" i="29"/>
  <c r="P131" i="29"/>
  <c r="P140" i="29"/>
  <c r="P157" i="29"/>
  <c r="P153" i="29"/>
  <c r="C15" i="79" s="1"/>
  <c r="N27" i="29"/>
  <c r="N39" i="29"/>
  <c r="N5" i="29"/>
  <c r="N15" i="29"/>
  <c r="N157" i="29"/>
  <c r="N153" i="29"/>
  <c r="C13" i="79" s="1"/>
  <c r="N56" i="29"/>
  <c r="N76" i="29"/>
  <c r="N88" i="29"/>
  <c r="N117" i="29"/>
  <c r="L5" i="29"/>
  <c r="L15" i="29"/>
  <c r="L76" i="29"/>
  <c r="L56" i="29"/>
  <c r="L117" i="29"/>
  <c r="J27" i="29"/>
  <c r="J39" i="29"/>
  <c r="J5" i="29"/>
  <c r="J15" i="29"/>
  <c r="J56" i="29"/>
  <c r="J76" i="29"/>
  <c r="J88" i="29"/>
  <c r="J117" i="29"/>
  <c r="J157" i="29"/>
  <c r="J153" i="29"/>
  <c r="C9" i="79" s="1"/>
  <c r="J131" i="29"/>
  <c r="J140" i="29"/>
  <c r="H5" i="29"/>
  <c r="H15" i="29"/>
  <c r="H76" i="29"/>
  <c r="H56" i="29"/>
  <c r="H99" i="29"/>
  <c r="H105" i="29"/>
  <c r="H121" i="29"/>
  <c r="F27" i="29"/>
  <c r="F39" i="29"/>
  <c r="F5" i="29"/>
  <c r="F15" i="29"/>
  <c r="F56" i="29"/>
  <c r="F76" i="29"/>
  <c r="F88" i="29"/>
  <c r="F157" i="29"/>
  <c r="F153" i="29"/>
  <c r="C5" i="79" s="1"/>
  <c r="F117" i="29"/>
  <c r="BE99" i="29"/>
  <c r="BE121" i="29"/>
  <c r="BE140" i="29"/>
  <c r="BE5" i="29"/>
  <c r="BE15" i="29"/>
  <c r="BE31" i="29"/>
  <c r="BE43" i="29"/>
  <c r="BE76" i="29"/>
  <c r="BE82" i="29"/>
  <c r="BE88" i="29"/>
  <c r="BE153" i="29"/>
  <c r="C56" i="79" s="1"/>
  <c r="BC64" i="29"/>
  <c r="BC27" i="29"/>
  <c r="BC39" i="29"/>
  <c r="BC99" i="29"/>
  <c r="BC121" i="29"/>
  <c r="BC157" i="29"/>
  <c r="BA99" i="29"/>
  <c r="BA121" i="29"/>
  <c r="BA5" i="29"/>
  <c r="BA15" i="29"/>
  <c r="BA31" i="29"/>
  <c r="BA43" i="29"/>
  <c r="BA117" i="29"/>
  <c r="BA140" i="29"/>
  <c r="BA157" i="29"/>
  <c r="AY64" i="29"/>
  <c r="AY27" i="29"/>
  <c r="AY39" i="29"/>
  <c r="AY99" i="29"/>
  <c r="AY121" i="29"/>
  <c r="AY76" i="29"/>
  <c r="AY82" i="29"/>
  <c r="AY88" i="29"/>
  <c r="AY131" i="29"/>
  <c r="AY140" i="29"/>
  <c r="AY157" i="29"/>
  <c r="AW99" i="29"/>
  <c r="AW121" i="29"/>
  <c r="AW140" i="29"/>
  <c r="AW27" i="29"/>
  <c r="AW39" i="29"/>
  <c r="AW131" i="29"/>
  <c r="AU64" i="29"/>
  <c r="AU27" i="29"/>
  <c r="AU39" i="29"/>
  <c r="AU99" i="29"/>
  <c r="AU121" i="29"/>
  <c r="AU157" i="29"/>
  <c r="AS99" i="29"/>
  <c r="AS121" i="29"/>
  <c r="AS5" i="29"/>
  <c r="AS15" i="29"/>
  <c r="AS31" i="29"/>
  <c r="AS43" i="29"/>
  <c r="AS117" i="29"/>
  <c r="AS140" i="29"/>
  <c r="AS157" i="29"/>
  <c r="AQ64" i="29"/>
  <c r="AQ5" i="29"/>
  <c r="AQ15" i="29"/>
  <c r="AQ31" i="29"/>
  <c r="AQ43" i="29"/>
  <c r="AQ105" i="29"/>
  <c r="AQ76" i="29"/>
  <c r="AQ82" i="29"/>
  <c r="AQ88" i="29"/>
  <c r="AQ131" i="29"/>
  <c r="AQ140" i="29"/>
  <c r="AQ178" i="29" s="1"/>
  <c r="AQ157" i="29"/>
  <c r="AQ160" i="29" s="1"/>
  <c r="AO99" i="29"/>
  <c r="AO121" i="29"/>
  <c r="AO140" i="29"/>
  <c r="AO5" i="29"/>
  <c r="AO15" i="29"/>
  <c r="AO31" i="29"/>
  <c r="AO43" i="29"/>
  <c r="AO76" i="29"/>
  <c r="AO82" i="29"/>
  <c r="AO88" i="29"/>
  <c r="AO153" i="29"/>
  <c r="C40" i="79" s="1"/>
  <c r="AM64" i="29"/>
  <c r="AM27" i="29"/>
  <c r="AM39" i="29"/>
  <c r="AM99" i="29"/>
  <c r="AM121" i="29"/>
  <c r="AM76" i="29"/>
  <c r="AM82" i="29"/>
  <c r="AM88" i="29"/>
  <c r="AM131" i="29"/>
  <c r="AM140" i="29"/>
  <c r="AM157" i="29"/>
  <c r="AM160" i="29" s="1"/>
  <c r="BI7" i="29"/>
  <c r="BI17" i="29"/>
  <c r="BI25" i="29"/>
  <c r="BI37" i="29"/>
  <c r="BI49" i="29"/>
  <c r="BI61" i="29"/>
  <c r="BI78" i="29"/>
  <c r="BI100" i="29"/>
  <c r="AK99" i="29"/>
  <c r="BI13" i="29"/>
  <c r="BI23" i="29"/>
  <c r="BI35" i="29"/>
  <c r="BI47" i="29"/>
  <c r="BI59" i="29"/>
  <c r="BI70" i="29"/>
  <c r="BI94" i="29"/>
  <c r="BI110" i="29"/>
  <c r="BI122" i="29"/>
  <c r="AK121" i="29"/>
  <c r="BI135" i="29"/>
  <c r="BI6" i="29"/>
  <c r="AK5" i="29"/>
  <c r="BI10" i="29"/>
  <c r="BI16" i="29"/>
  <c r="AK15" i="29"/>
  <c r="BI20" i="29"/>
  <c r="BI24" i="29"/>
  <c r="BI32" i="29"/>
  <c r="AK31" i="29"/>
  <c r="BI36" i="29"/>
  <c r="BI44" i="29"/>
  <c r="AK43" i="29"/>
  <c r="BI48" i="29"/>
  <c r="BI54" i="29"/>
  <c r="BI53" i="29" s="1"/>
  <c r="AK53" i="29"/>
  <c r="BI60" i="29"/>
  <c r="BI66" i="29"/>
  <c r="BI72" i="29"/>
  <c r="BI86" i="29"/>
  <c r="BI96" i="29"/>
  <c r="BI108" i="29"/>
  <c r="BI118" i="29"/>
  <c r="AK117" i="29"/>
  <c r="BI141" i="29"/>
  <c r="AK140" i="29"/>
  <c r="BI69" i="29"/>
  <c r="BI77" i="29"/>
  <c r="AK76" i="29"/>
  <c r="BI83" i="29"/>
  <c r="AK82" i="29"/>
  <c r="BI89" i="29"/>
  <c r="AK88" i="29"/>
  <c r="BI93" i="29"/>
  <c r="BI97" i="29"/>
  <c r="BI103" i="29"/>
  <c r="BI109" i="29"/>
  <c r="BI113" i="29"/>
  <c r="BI119" i="29"/>
  <c r="BI134" i="29"/>
  <c r="BI143" i="29"/>
  <c r="BI125" i="29"/>
  <c r="BI133" i="29"/>
  <c r="BI138" i="29"/>
  <c r="BI144" i="29"/>
  <c r="BI148" i="29"/>
  <c r="BI154" i="29"/>
  <c r="AK157" i="29"/>
  <c r="AI64" i="29"/>
  <c r="AI5" i="29"/>
  <c r="AI15" i="29"/>
  <c r="AI31" i="29"/>
  <c r="AI43" i="29"/>
  <c r="AI99" i="29"/>
  <c r="AI121" i="29"/>
  <c r="AI76" i="29"/>
  <c r="AI82" i="29"/>
  <c r="AI88" i="29"/>
  <c r="AI131" i="29"/>
  <c r="AI140" i="29"/>
  <c r="AI157" i="29"/>
  <c r="AG99" i="29"/>
  <c r="AG121" i="29"/>
  <c r="AG140" i="29"/>
  <c r="AG27" i="29"/>
  <c r="AG39" i="29"/>
  <c r="AG131" i="29"/>
  <c r="AG76" i="29"/>
  <c r="AG82" i="29"/>
  <c r="AG88" i="29"/>
  <c r="AE64" i="29"/>
  <c r="AE56" i="29"/>
  <c r="AE27" i="29"/>
  <c r="AE39" i="29"/>
  <c r="AE105" i="29"/>
  <c r="AE76" i="29"/>
  <c r="AE82" i="29"/>
  <c r="AE88" i="29"/>
  <c r="AE131" i="29"/>
  <c r="AE140" i="29"/>
  <c r="AE157" i="29"/>
  <c r="AE160" i="29" s="1"/>
  <c r="AC99" i="29"/>
  <c r="AC121" i="29"/>
  <c r="AC27" i="29"/>
  <c r="AC39" i="29"/>
  <c r="AC76" i="29"/>
  <c r="AC82" i="29"/>
  <c r="AC88" i="29"/>
  <c r="AC157" i="29"/>
  <c r="AA64" i="29"/>
  <c r="AA27" i="29"/>
  <c r="AA39" i="29"/>
  <c r="AA105" i="29"/>
  <c r="AA76" i="29"/>
  <c r="AA82" i="29"/>
  <c r="AA88" i="29"/>
  <c r="AA131" i="29"/>
  <c r="AA140" i="29"/>
  <c r="AA157" i="29"/>
  <c r="AA160" i="29" s="1"/>
  <c r="BH7" i="29"/>
  <c r="BH70" i="29"/>
  <c r="BH94" i="29"/>
  <c r="BH13" i="29"/>
  <c r="BH78" i="29"/>
  <c r="Y99" i="29"/>
  <c r="BH110" i="29"/>
  <c r="BH122" i="29"/>
  <c r="Y121" i="29"/>
  <c r="Y140" i="29"/>
  <c r="Y5" i="29"/>
  <c r="BH10" i="29"/>
  <c r="BH16" i="29"/>
  <c r="Y15" i="29"/>
  <c r="BH20" i="29"/>
  <c r="BH24" i="29"/>
  <c r="BH32" i="29"/>
  <c r="Y31" i="29"/>
  <c r="BH36" i="29"/>
  <c r="BH44" i="29"/>
  <c r="Y43" i="29"/>
  <c r="BH48" i="29"/>
  <c r="BH60" i="29"/>
  <c r="BH72" i="29"/>
  <c r="BH108" i="29"/>
  <c r="Y76" i="29"/>
  <c r="BH83" i="29"/>
  <c r="Y82" i="29"/>
  <c r="Y88" i="29"/>
  <c r="BH103" i="29"/>
  <c r="BH119" i="29"/>
  <c r="BH134" i="29"/>
  <c r="BH129" i="29"/>
  <c r="BH128" i="29" s="1"/>
  <c r="Y128" i="29"/>
  <c r="BH155" i="29"/>
  <c r="W64" i="29"/>
  <c r="W56" i="29"/>
  <c r="W5" i="29"/>
  <c r="W15" i="29"/>
  <c r="W31" i="29"/>
  <c r="W43" i="29"/>
  <c r="W99" i="29"/>
  <c r="W121" i="29"/>
  <c r="W76" i="29"/>
  <c r="W82" i="29"/>
  <c r="W88" i="29"/>
  <c r="W131" i="29"/>
  <c r="W140" i="29"/>
  <c r="W157" i="29"/>
  <c r="U99" i="29"/>
  <c r="U121" i="29"/>
  <c r="U5" i="29"/>
  <c r="U15" i="29"/>
  <c r="U31" i="29"/>
  <c r="U43" i="29"/>
  <c r="U117" i="29"/>
  <c r="U140" i="29"/>
  <c r="U157" i="29"/>
  <c r="U160" i="29" s="1"/>
  <c r="S64" i="29"/>
  <c r="S5" i="29"/>
  <c r="S15" i="29"/>
  <c r="S31" i="29"/>
  <c r="S43" i="29"/>
  <c r="S99" i="29"/>
  <c r="S121" i="29"/>
  <c r="S76" i="29"/>
  <c r="S82" i="29"/>
  <c r="S88" i="29"/>
  <c r="S131" i="29"/>
  <c r="S140" i="29"/>
  <c r="S157" i="29"/>
  <c r="S160" i="29" s="1"/>
  <c r="Q99" i="29"/>
  <c r="Q121" i="29"/>
  <c r="Q140" i="29"/>
  <c r="Q5" i="29"/>
  <c r="Q15" i="29"/>
  <c r="Q31" i="29"/>
  <c r="Q43" i="29"/>
  <c r="Q117" i="29"/>
  <c r="Q157" i="29"/>
  <c r="O64" i="29"/>
  <c r="O56" i="29"/>
  <c r="O27" i="29"/>
  <c r="O39" i="29"/>
  <c r="O105" i="29"/>
  <c r="O76" i="29"/>
  <c r="O82" i="29"/>
  <c r="O88" i="29"/>
  <c r="O131" i="29"/>
  <c r="O140" i="29"/>
  <c r="O157" i="29"/>
  <c r="O160" i="29" s="1"/>
  <c r="M99" i="29"/>
  <c r="M121" i="29"/>
  <c r="M5" i="29"/>
  <c r="M15" i="29"/>
  <c r="M31" i="29"/>
  <c r="M43" i="29"/>
  <c r="M117" i="29"/>
  <c r="M140" i="29"/>
  <c r="M157" i="29"/>
  <c r="K64" i="29"/>
  <c r="K27" i="29"/>
  <c r="K39" i="29"/>
  <c r="K105" i="29"/>
  <c r="K76" i="29"/>
  <c r="K82" i="29"/>
  <c r="K88" i="29"/>
  <c r="K131" i="29"/>
  <c r="K140" i="29"/>
  <c r="K153" i="29"/>
  <c r="C10" i="79" s="1"/>
  <c r="K157" i="29"/>
  <c r="I99" i="29"/>
  <c r="I121" i="29"/>
  <c r="I140" i="29"/>
  <c r="I5" i="29"/>
  <c r="I15" i="29"/>
  <c r="I31" i="29"/>
  <c r="I43" i="29"/>
  <c r="I117" i="29"/>
  <c r="I157" i="29"/>
  <c r="I153" i="29"/>
  <c r="C8" i="79" s="1"/>
  <c r="BG19" i="29"/>
  <c r="BF29" i="29"/>
  <c r="BF41" i="29"/>
  <c r="BG51" i="29"/>
  <c r="BF65" i="29"/>
  <c r="G64" i="29"/>
  <c r="BF80" i="29"/>
  <c r="BG102" i="29"/>
  <c r="BF11" i="29"/>
  <c r="BG21" i="29"/>
  <c r="BG33" i="29"/>
  <c r="BG45" i="29"/>
  <c r="BG57" i="29"/>
  <c r="G56" i="29"/>
  <c r="BG67" i="29"/>
  <c r="BG86" i="29"/>
  <c r="BF108" i="29"/>
  <c r="BG118" i="29"/>
  <c r="G117" i="29"/>
  <c r="BF137" i="29"/>
  <c r="BG6" i="29"/>
  <c r="G5" i="29"/>
  <c r="BF10" i="29"/>
  <c r="BF16" i="29"/>
  <c r="G15" i="29"/>
  <c r="BF20" i="29"/>
  <c r="BF24" i="29"/>
  <c r="BF32" i="29"/>
  <c r="G31" i="29"/>
  <c r="BF36" i="29"/>
  <c r="BF44" i="29"/>
  <c r="G43" i="29"/>
  <c r="BG54" i="29"/>
  <c r="BG53" i="29" s="1"/>
  <c r="G53" i="29"/>
  <c r="BF60" i="29"/>
  <c r="BG66" i="29"/>
  <c r="BF78" i="29"/>
  <c r="BF90" i="29"/>
  <c r="BG100" i="29"/>
  <c r="G99" i="29"/>
  <c r="BF110" i="29"/>
  <c r="BF122" i="29"/>
  <c r="G121" i="29"/>
  <c r="BG143" i="29"/>
  <c r="BG69" i="29"/>
  <c r="BG77" i="29"/>
  <c r="G76" i="29"/>
  <c r="BF83" i="29"/>
  <c r="G82" i="29"/>
  <c r="BG89" i="29"/>
  <c r="G88" i="29"/>
  <c r="BG93" i="29"/>
  <c r="BG97" i="29"/>
  <c r="BF103" i="29"/>
  <c r="BG109" i="29"/>
  <c r="BG113" i="29"/>
  <c r="BF119" i="29"/>
  <c r="BF132" i="29"/>
  <c r="G131" i="29"/>
  <c r="BG141" i="29"/>
  <c r="G140" i="29"/>
  <c r="BF155" i="29"/>
  <c r="BG125" i="29"/>
  <c r="BG133" i="29"/>
  <c r="BG138" i="29"/>
  <c r="BF144" i="29"/>
  <c r="G157" i="29"/>
  <c r="G153" i="29"/>
  <c r="C6" i="79" s="1"/>
  <c r="BG18" i="29"/>
  <c r="E27" i="29"/>
  <c r="BF28" i="29"/>
  <c r="E39" i="29"/>
  <c r="BF40" i="29"/>
  <c r="BG50" i="29"/>
  <c r="BG62" i="29"/>
  <c r="BF79" i="29"/>
  <c r="BG101" i="29"/>
  <c r="BG10" i="29"/>
  <c r="BG20" i="29"/>
  <c r="BG32" i="29"/>
  <c r="E31" i="29"/>
  <c r="BG44" i="29"/>
  <c r="E43" i="29"/>
  <c r="E53" i="29"/>
  <c r="BF54" i="29"/>
  <c r="BF53" i="29" s="1"/>
  <c r="BF66" i="29"/>
  <c r="BG85" i="29"/>
  <c r="BF107" i="29"/>
  <c r="BF115" i="29"/>
  <c r="BF133" i="29"/>
  <c r="BF146" i="29"/>
  <c r="BG146" i="29"/>
  <c r="BF7" i="29"/>
  <c r="BG11" i="29"/>
  <c r="BF17" i="29"/>
  <c r="BF21" i="29"/>
  <c r="BF25" i="29"/>
  <c r="BF33" i="29"/>
  <c r="BF37" i="29"/>
  <c r="BF45" i="29"/>
  <c r="BF49" i="29"/>
  <c r="BF57" i="29"/>
  <c r="E56" i="29"/>
  <c r="BF61" i="29"/>
  <c r="BF67" i="29"/>
  <c r="BF77" i="29"/>
  <c r="E76" i="29"/>
  <c r="BF89" i="29"/>
  <c r="E88" i="29"/>
  <c r="BF97" i="29"/>
  <c r="BF109" i="29"/>
  <c r="BG119" i="29"/>
  <c r="BF142" i="29"/>
  <c r="BG142" i="29"/>
  <c r="BG70" i="29"/>
  <c r="BG78" i="29"/>
  <c r="BF84" i="29"/>
  <c r="BG90" i="29"/>
  <c r="BG94" i="29"/>
  <c r="E99" i="29"/>
  <c r="BF100" i="29"/>
  <c r="BG106" i="29"/>
  <c r="E105" i="29"/>
  <c r="BG110" i="29"/>
  <c r="BG114" i="29"/>
  <c r="BG122" i="29"/>
  <c r="E121" i="29"/>
  <c r="BG135" i="29"/>
  <c r="BG144" i="29"/>
  <c r="E157" i="29"/>
  <c r="BG154" i="29"/>
  <c r="E153" i="29"/>
  <c r="C4" i="79" s="1"/>
  <c r="BF154" i="29"/>
  <c r="BG124" i="29"/>
  <c r="BG132" i="29"/>
  <c r="E131" i="29"/>
  <c r="BG137" i="29"/>
  <c r="BF143" i="29"/>
  <c r="BF147" i="29"/>
  <c r="BF121" i="23"/>
  <c r="B22" i="80" s="1"/>
  <c r="BF131" i="23"/>
  <c r="C30" i="26"/>
  <c r="D54" i="27"/>
  <c r="C55" i="25"/>
  <c r="D76" i="27"/>
  <c r="C42" i="26"/>
  <c r="BF76" i="23"/>
  <c r="B16" i="80" s="1"/>
  <c r="BF153" i="23"/>
  <c r="D8" i="27" s="1"/>
  <c r="BF157" i="23"/>
  <c r="D30" i="27"/>
  <c r="C18" i="26"/>
  <c r="BF140" i="23"/>
  <c r="B25" i="80" s="1"/>
  <c r="BF105" i="23"/>
  <c r="BF99" i="23"/>
  <c r="B19" i="80" s="1"/>
  <c r="M75" i="23"/>
  <c r="BF88" i="23"/>
  <c r="B18" i="80" s="1"/>
  <c r="BF82" i="23"/>
  <c r="B17" i="80" s="1"/>
  <c r="C30" i="25"/>
  <c r="BF64" i="23"/>
  <c r="B13" i="80" s="1"/>
  <c r="BF56" i="23"/>
  <c r="BF43" i="23"/>
  <c r="B10" i="80" s="1"/>
  <c r="BF39" i="23"/>
  <c r="B9" i="80" s="1"/>
  <c r="BF31" i="23"/>
  <c r="B8" i="80" s="1"/>
  <c r="BF27" i="23"/>
  <c r="B7" i="80" s="1"/>
  <c r="BF15" i="23"/>
  <c r="B6" i="80" s="1"/>
  <c r="BI75" i="23"/>
  <c r="BH75" i="23"/>
  <c r="BG75" i="23"/>
  <c r="F5" i="23"/>
  <c r="F171" i="23" s="1"/>
  <c r="G5" i="23"/>
  <c r="G171" i="23" s="1"/>
  <c r="H5" i="23"/>
  <c r="H171" i="23" s="1"/>
  <c r="I5" i="23"/>
  <c r="I171" i="23" s="1"/>
  <c r="J5" i="23"/>
  <c r="J171" i="23" s="1"/>
  <c r="K5" i="23"/>
  <c r="K171" i="23" s="1"/>
  <c r="L5" i="23"/>
  <c r="L171" i="23" s="1"/>
  <c r="M5" i="23"/>
  <c r="M171" i="23" s="1"/>
  <c r="N5" i="23"/>
  <c r="N171" i="23" s="1"/>
  <c r="O5" i="23"/>
  <c r="O171" i="23" s="1"/>
  <c r="P5" i="23"/>
  <c r="P171" i="23" s="1"/>
  <c r="Q5" i="23"/>
  <c r="Q171" i="23" s="1"/>
  <c r="R5" i="23"/>
  <c r="R171" i="23" s="1"/>
  <c r="S5" i="23"/>
  <c r="S171" i="23" s="1"/>
  <c r="T5" i="23"/>
  <c r="T171" i="23" s="1"/>
  <c r="U5" i="23"/>
  <c r="U171" i="23" s="1"/>
  <c r="V5" i="23"/>
  <c r="V171" i="23" s="1"/>
  <c r="W5" i="23"/>
  <c r="X5" i="23"/>
  <c r="X171" i="23" s="1"/>
  <c r="Y5" i="23"/>
  <c r="Y171" i="23" s="1"/>
  <c r="Z5" i="23"/>
  <c r="Z171" i="23" s="1"/>
  <c r="AA5" i="23"/>
  <c r="AA171" i="23" s="1"/>
  <c r="C8" i="45" s="1"/>
  <c r="AB5" i="23"/>
  <c r="AB171" i="23" s="1"/>
  <c r="AC5" i="23"/>
  <c r="AC171" i="23" s="1"/>
  <c r="AD5" i="23"/>
  <c r="AD171" i="23" s="1"/>
  <c r="AE5" i="23"/>
  <c r="AE171" i="23" s="1"/>
  <c r="AF5" i="23"/>
  <c r="AF171" i="23" s="1"/>
  <c r="AG5" i="23"/>
  <c r="AG171" i="23" s="1"/>
  <c r="AH5" i="23"/>
  <c r="AH171" i="23" s="1"/>
  <c r="AI5" i="23"/>
  <c r="AI171" i="23" s="1"/>
  <c r="AJ5" i="23"/>
  <c r="AJ171" i="23" s="1"/>
  <c r="AK5" i="23"/>
  <c r="AK171" i="23" s="1"/>
  <c r="AL5" i="23"/>
  <c r="AL171" i="23" s="1"/>
  <c r="AM5" i="23"/>
  <c r="AM171" i="23" s="1"/>
  <c r="AN5" i="23"/>
  <c r="AN171" i="23" s="1"/>
  <c r="AO5" i="23"/>
  <c r="AO171" i="23" s="1"/>
  <c r="AP5" i="23"/>
  <c r="AP171" i="23" s="1"/>
  <c r="AQ5" i="23"/>
  <c r="AQ171" i="23" s="1"/>
  <c r="AR5" i="23"/>
  <c r="AR171" i="23" s="1"/>
  <c r="AS5" i="23"/>
  <c r="AS171" i="23" s="1"/>
  <c r="AT5" i="23"/>
  <c r="AT171" i="23" s="1"/>
  <c r="AU5" i="23"/>
  <c r="AU171" i="23" s="1"/>
  <c r="AV5" i="23"/>
  <c r="AV171" i="23" s="1"/>
  <c r="AW5" i="23"/>
  <c r="AW171" i="23" s="1"/>
  <c r="AX5" i="23"/>
  <c r="AX171" i="23" s="1"/>
  <c r="AY5" i="23"/>
  <c r="AY171" i="23" s="1"/>
  <c r="AZ5" i="23"/>
  <c r="AZ171" i="23" s="1"/>
  <c r="BA5" i="23"/>
  <c r="BA171" i="23" s="1"/>
  <c r="BB5" i="23"/>
  <c r="BB171" i="23" s="1"/>
  <c r="BC5" i="23"/>
  <c r="BC171" i="23" s="1"/>
  <c r="BD5" i="23"/>
  <c r="BD171" i="23" s="1"/>
  <c r="BE5" i="23"/>
  <c r="BE171" i="23" s="1"/>
  <c r="BF5" i="23"/>
  <c r="B5" i="80" s="1"/>
  <c r="BG5" i="23"/>
  <c r="BH5" i="23"/>
  <c r="BH4" i="23" s="1"/>
  <c r="BI5" i="23"/>
  <c r="F4" i="23"/>
  <c r="G4" i="23"/>
  <c r="H4" i="23"/>
  <c r="I4" i="23"/>
  <c r="I159" i="23" s="1"/>
  <c r="I160" i="23" s="1"/>
  <c r="L4" i="23"/>
  <c r="R4" i="23"/>
  <c r="S4" i="23"/>
  <c r="U4" i="23"/>
  <c r="V4" i="23"/>
  <c r="W4" i="23"/>
  <c r="X4" i="23"/>
  <c r="Y4" i="23"/>
  <c r="AB4" i="23"/>
  <c r="AH4" i="23"/>
  <c r="AI4" i="23"/>
  <c r="AK4" i="23"/>
  <c r="AL4" i="23"/>
  <c r="AM4" i="23"/>
  <c r="AN4" i="23"/>
  <c r="AO4" i="23"/>
  <c r="AR4" i="23"/>
  <c r="AX4" i="23"/>
  <c r="AY4" i="23"/>
  <c r="AY159" i="23" s="1"/>
  <c r="AY160" i="23" s="1"/>
  <c r="BA4" i="23"/>
  <c r="BB4" i="23"/>
  <c r="BC4" i="23"/>
  <c r="BD4" i="23"/>
  <c r="BE4" i="23"/>
  <c r="E153" i="23"/>
  <c r="E157" i="23"/>
  <c r="E161" i="48" s="1"/>
  <c r="E140" i="23"/>
  <c r="E131" i="23"/>
  <c r="E128" i="23"/>
  <c r="E121" i="23"/>
  <c r="E117" i="23"/>
  <c r="E105" i="23"/>
  <c r="E99" i="23"/>
  <c r="E88" i="23"/>
  <c r="E82" i="23"/>
  <c r="E76" i="23"/>
  <c r="E64" i="23"/>
  <c r="E169" i="23" s="1"/>
  <c r="E56" i="23"/>
  <c r="E53" i="23"/>
  <c r="E43" i="23"/>
  <c r="E39" i="23"/>
  <c r="E31" i="23"/>
  <c r="E27" i="23"/>
  <c r="E15" i="23"/>
  <c r="E5" i="23"/>
  <c r="BC159" i="23" l="1"/>
  <c r="BC160" i="23" s="1"/>
  <c r="BG157" i="29"/>
  <c r="AZ4" i="23"/>
  <c r="AJ4" i="23"/>
  <c r="AJ159" i="23" s="1"/>
  <c r="AJ160" i="23" s="1"/>
  <c r="T4" i="23"/>
  <c r="AS160" i="29"/>
  <c r="AV4" i="23"/>
  <c r="AU4" i="23"/>
  <c r="AU159" i="23" s="1"/>
  <c r="AU160" i="23" s="1"/>
  <c r="AE4" i="23"/>
  <c r="AE159" i="23" s="1"/>
  <c r="AE160" i="23" s="1"/>
  <c r="O4" i="23"/>
  <c r="M160" i="29"/>
  <c r="BD178" i="29"/>
  <c r="AF4" i="23"/>
  <c r="AF159" i="23" s="1"/>
  <c r="AF160" i="23" s="1"/>
  <c r="P4" i="23"/>
  <c r="P159" i="23" s="1"/>
  <c r="P160" i="23" s="1"/>
  <c r="AT4" i="23"/>
  <c r="AT159" i="23" s="1"/>
  <c r="AT160" i="23" s="1"/>
  <c r="AD4" i="23"/>
  <c r="AD159" i="23" s="1"/>
  <c r="AD160" i="23" s="1"/>
  <c r="N4" i="23"/>
  <c r="AY160" i="29"/>
  <c r="AS4" i="23"/>
  <c r="AC4" i="23"/>
  <c r="M4" i="23"/>
  <c r="AW4" i="23"/>
  <c r="AG4" i="23"/>
  <c r="Q4" i="23"/>
  <c r="Q159" i="23" s="1"/>
  <c r="Q160" i="23" s="1"/>
  <c r="AQ4" i="23"/>
  <c r="AA4" i="23"/>
  <c r="K4" i="23"/>
  <c r="K159" i="23" s="1"/>
  <c r="K160" i="23" s="1"/>
  <c r="E92" i="49"/>
  <c r="R159" i="23"/>
  <c r="R160" i="23" s="1"/>
  <c r="W160" i="29"/>
  <c r="AP4" i="23"/>
  <c r="AP159" i="23" s="1"/>
  <c r="AP160" i="23" s="1"/>
  <c r="Z4" i="23"/>
  <c r="Z159" i="23" s="1"/>
  <c r="Z160" i="23" s="1"/>
  <c r="J4" i="23"/>
  <c r="AU160" i="29"/>
  <c r="E125" i="49"/>
  <c r="C66" i="25"/>
  <c r="D41" i="27"/>
  <c r="C41" i="25"/>
  <c r="E47" i="49"/>
  <c r="E144" i="49"/>
  <c r="E135" i="49"/>
  <c r="E60" i="49"/>
  <c r="E19" i="49"/>
  <c r="E9" i="49"/>
  <c r="E109" i="49"/>
  <c r="AX159" i="23"/>
  <c r="AX160" i="23" s="1"/>
  <c r="AH159" i="23"/>
  <c r="AH160" i="23" s="1"/>
  <c r="E35" i="49"/>
  <c r="D34" i="43"/>
  <c r="BE160" i="29"/>
  <c r="B12" i="80"/>
  <c r="B57" i="79"/>
  <c r="B24" i="80"/>
  <c r="B20" i="80"/>
  <c r="C35" i="25"/>
  <c r="C60" i="25"/>
  <c r="BB159" i="23"/>
  <c r="BB160" i="23" s="1"/>
  <c r="AL159" i="23"/>
  <c r="AL160" i="23" s="1"/>
  <c r="V159" i="23"/>
  <c r="V160" i="23" s="1"/>
  <c r="BC160" i="29"/>
  <c r="D65" i="27"/>
  <c r="D69" i="27" s="1"/>
  <c r="C14" i="45"/>
  <c r="C81" i="25"/>
  <c r="D87" i="27"/>
  <c r="D91" i="27" s="1"/>
  <c r="C20" i="45"/>
  <c r="C20" i="73"/>
  <c r="C14" i="73"/>
  <c r="C10" i="73"/>
  <c r="C10" i="74"/>
  <c r="C16" i="74" s="1"/>
  <c r="C22" i="74" s="1"/>
  <c r="E19" i="46"/>
  <c r="E23" i="46" s="1"/>
  <c r="P160" i="29"/>
  <c r="T160" i="29"/>
  <c r="AX160" i="29"/>
  <c r="BB160" i="29"/>
  <c r="AZ160" i="29"/>
  <c r="C87" i="25"/>
  <c r="AM159" i="23"/>
  <c r="AM160" i="23" s="1"/>
  <c r="C18" i="25"/>
  <c r="C6" i="26"/>
  <c r="D11" i="27"/>
  <c r="AZ159" i="23"/>
  <c r="AZ160" i="23" s="1"/>
  <c r="C13" i="25"/>
  <c r="C19" i="25"/>
  <c r="E19" i="62"/>
  <c r="E23" i="62" s="1"/>
  <c r="W171" i="23"/>
  <c r="E9" i="48"/>
  <c r="AI159" i="23"/>
  <c r="AI160" i="23" s="1"/>
  <c r="AF160" i="29"/>
  <c r="Y160" i="29"/>
  <c r="AR160" i="29"/>
  <c r="AR159" i="23"/>
  <c r="AR160" i="23" s="1"/>
  <c r="AQ159" i="23"/>
  <c r="AQ160" i="23" s="1"/>
  <c r="AW160" i="29"/>
  <c r="N160" i="29"/>
  <c r="T159" i="23"/>
  <c r="T160" i="23" s="1"/>
  <c r="AB159" i="23"/>
  <c r="AB160" i="23" s="1"/>
  <c r="V160" i="29"/>
  <c r="AD160" i="29"/>
  <c r="BH117" i="29"/>
  <c r="C54" i="25"/>
  <c r="C56" i="25" s="1"/>
  <c r="BH171" i="23"/>
  <c r="AK160" i="29"/>
  <c r="E161" i="49"/>
  <c r="H159" i="23"/>
  <c r="H160" i="23" s="1"/>
  <c r="K160" i="29"/>
  <c r="G159" i="23"/>
  <c r="G160" i="23" s="1"/>
  <c r="BD160" i="29"/>
  <c r="C75" i="25"/>
  <c r="BI171" i="23"/>
  <c r="L159" i="23"/>
  <c r="L160" i="23" s="1"/>
  <c r="N159" i="23"/>
  <c r="N160" i="23" s="1"/>
  <c r="E172" i="23"/>
  <c r="BF172" i="23"/>
  <c r="BF171" i="23"/>
  <c r="E171" i="23"/>
  <c r="C29" i="25"/>
  <c r="C31" i="25" s="1"/>
  <c r="BG171" i="23"/>
  <c r="E160" i="29"/>
  <c r="AO160" i="29"/>
  <c r="G160" i="29"/>
  <c r="I160" i="29"/>
  <c r="Q160" i="29"/>
  <c r="AC160" i="29"/>
  <c r="AI160" i="29"/>
  <c r="BA160" i="29"/>
  <c r="F160" i="29"/>
  <c r="J160" i="29"/>
  <c r="X160" i="29"/>
  <c r="AB160" i="29"/>
  <c r="AJ160" i="29"/>
  <c r="AN160" i="29"/>
  <c r="AP160" i="29"/>
  <c r="H160" i="29"/>
  <c r="L160" i="29"/>
  <c r="R160" i="29"/>
  <c r="AH160" i="29"/>
  <c r="AL160" i="29"/>
  <c r="AT160" i="29"/>
  <c r="AV160" i="29"/>
  <c r="Z160" i="29"/>
  <c r="C77" i="25"/>
  <c r="BF76" i="29"/>
  <c r="AU178" i="29"/>
  <c r="BE159" i="23"/>
  <c r="BE160" i="23" s="1"/>
  <c r="BA159" i="23"/>
  <c r="BA160" i="23" s="1"/>
  <c r="AW159" i="23"/>
  <c r="AW160" i="23" s="1"/>
  <c r="AS159" i="23"/>
  <c r="AS160" i="23" s="1"/>
  <c r="AO159" i="23"/>
  <c r="AO160" i="23" s="1"/>
  <c r="AK159" i="23"/>
  <c r="AK160" i="23" s="1"/>
  <c r="AA159" i="23"/>
  <c r="AA160" i="23" s="1"/>
  <c r="W159" i="23"/>
  <c r="W160" i="23" s="1"/>
  <c r="S159" i="23"/>
  <c r="S160" i="23" s="1"/>
  <c r="O159" i="23"/>
  <c r="O160" i="23" s="1"/>
  <c r="BD159" i="23"/>
  <c r="BD160" i="23" s="1"/>
  <c r="AV159" i="23"/>
  <c r="AV160" i="23" s="1"/>
  <c r="AN159" i="23"/>
  <c r="AN160" i="23" s="1"/>
  <c r="X159" i="23"/>
  <c r="X160" i="23" s="1"/>
  <c r="J159" i="23"/>
  <c r="J160" i="23" s="1"/>
  <c r="F159" i="23"/>
  <c r="F160" i="23" s="1"/>
  <c r="BH121" i="29"/>
  <c r="AI178" i="29"/>
  <c r="BI121" i="29"/>
  <c r="BI99" i="29"/>
  <c r="AY178" i="29"/>
  <c r="BC178" i="29"/>
  <c r="H4" i="29"/>
  <c r="AB4" i="29"/>
  <c r="AJ4" i="29"/>
  <c r="AT178" i="29"/>
  <c r="BH27" i="29"/>
  <c r="AC178" i="29"/>
  <c r="AK178" i="29"/>
  <c r="AS178" i="29"/>
  <c r="AW75" i="29"/>
  <c r="X178" i="29"/>
  <c r="BG43" i="29"/>
  <c r="BG31" i="29"/>
  <c r="BF117" i="29"/>
  <c r="BG99" i="29"/>
  <c r="BG56" i="29"/>
  <c r="BF39" i="29"/>
  <c r="L4" i="29"/>
  <c r="BH140" i="29"/>
  <c r="AF4" i="29"/>
  <c r="AN178" i="29"/>
  <c r="AP75" i="29"/>
  <c r="BD75" i="29"/>
  <c r="V75" i="29"/>
  <c r="AD178" i="29"/>
  <c r="AH178" i="29"/>
  <c r="AR75" i="29"/>
  <c r="C12" i="25"/>
  <c r="BG121" i="29"/>
  <c r="BG105" i="29"/>
  <c r="BF88" i="29"/>
  <c r="BF56" i="29"/>
  <c r="G75" i="29"/>
  <c r="BF43" i="29"/>
  <c r="BF64" i="29"/>
  <c r="K75" i="29"/>
  <c r="K178" i="29"/>
  <c r="O75" i="29"/>
  <c r="Q4" i="29"/>
  <c r="S75" i="29"/>
  <c r="S4" i="29"/>
  <c r="U4" i="29"/>
  <c r="Y75" i="29"/>
  <c r="BH43" i="29"/>
  <c r="AA75" i="29"/>
  <c r="AA178" i="29"/>
  <c r="AE75" i="29"/>
  <c r="AG75" i="29"/>
  <c r="AK75" i="29"/>
  <c r="BI140" i="29"/>
  <c r="BI117" i="29"/>
  <c r="BI31" i="29"/>
  <c r="BI15" i="29"/>
  <c r="AK4" i="29"/>
  <c r="AM75" i="29"/>
  <c r="AQ4" i="29"/>
  <c r="AS4" i="29"/>
  <c r="AY75" i="29"/>
  <c r="BA4" i="29"/>
  <c r="F75" i="29"/>
  <c r="H75" i="29"/>
  <c r="J75" i="29"/>
  <c r="L75" i="29"/>
  <c r="N75" i="29"/>
  <c r="V178" i="29"/>
  <c r="V4" i="29"/>
  <c r="BH157" i="29"/>
  <c r="BH153" i="29"/>
  <c r="C59" i="79" s="1"/>
  <c r="BH56" i="29"/>
  <c r="X75" i="29"/>
  <c r="BH5" i="29"/>
  <c r="Z4" i="29"/>
  <c r="AB75" i="29"/>
  <c r="AD4" i="29"/>
  <c r="AF75" i="29"/>
  <c r="AH4" i="29"/>
  <c r="AJ75" i="29"/>
  <c r="AN75" i="29"/>
  <c r="AN4" i="29"/>
  <c r="AX75" i="29"/>
  <c r="BB75" i="29"/>
  <c r="BD4" i="29"/>
  <c r="BG64" i="29"/>
  <c r="BF105" i="29"/>
  <c r="BG27" i="29"/>
  <c r="I178" i="29"/>
  <c r="K4" i="29"/>
  <c r="M75" i="29"/>
  <c r="Q75" i="29"/>
  <c r="U75" i="29"/>
  <c r="BH64" i="29"/>
  <c r="AE4" i="29"/>
  <c r="AG178" i="29"/>
  <c r="BI105" i="29"/>
  <c r="BI56" i="29"/>
  <c r="AU75" i="29"/>
  <c r="AW4" i="29"/>
  <c r="AY4" i="29"/>
  <c r="BA75" i="29"/>
  <c r="BC4" i="29"/>
  <c r="BE178" i="29"/>
  <c r="H178" i="29"/>
  <c r="N178" i="29"/>
  <c r="AJ178" i="29"/>
  <c r="AL75" i="29"/>
  <c r="AT4" i="29"/>
  <c r="AZ178" i="29"/>
  <c r="BB178" i="29"/>
  <c r="BB4" i="29"/>
  <c r="E4" i="23"/>
  <c r="E8" i="48" s="1"/>
  <c r="AG159" i="23"/>
  <c r="AG160" i="23" s="1"/>
  <c r="AC159" i="23"/>
  <c r="AC160" i="23" s="1"/>
  <c r="Y159" i="23"/>
  <c r="Y160" i="23" s="1"/>
  <c r="U159" i="23"/>
  <c r="U160" i="23" s="1"/>
  <c r="D9" i="27"/>
  <c r="D10" i="27"/>
  <c r="BG131" i="29"/>
  <c r="BF153" i="29"/>
  <c r="C57" i="79" s="1"/>
  <c r="BF157" i="29"/>
  <c r="BF99" i="29"/>
  <c r="E75" i="29"/>
  <c r="BG140" i="29"/>
  <c r="BF131" i="29"/>
  <c r="BG88" i="29"/>
  <c r="BF82" i="29"/>
  <c r="BG76" i="29"/>
  <c r="BF121" i="29"/>
  <c r="BF31" i="29"/>
  <c r="BF15" i="29"/>
  <c r="G4" i="29"/>
  <c r="BG117" i="29"/>
  <c r="G178" i="29"/>
  <c r="BF27" i="29"/>
  <c r="I4" i="29"/>
  <c r="M4" i="29"/>
  <c r="O178" i="29"/>
  <c r="S178" i="29"/>
  <c r="W75" i="29"/>
  <c r="W4" i="29"/>
  <c r="W178" i="29"/>
  <c r="BH82" i="29"/>
  <c r="BH31" i="29"/>
  <c r="BH15" i="29"/>
  <c r="Y4" i="29"/>
  <c r="AC75" i="29"/>
  <c r="AE178" i="29"/>
  <c r="AI75" i="29"/>
  <c r="AI4" i="29"/>
  <c r="BI157" i="29"/>
  <c r="BI153" i="29"/>
  <c r="C60" i="79" s="1"/>
  <c r="BI88" i="29"/>
  <c r="BI82" i="29"/>
  <c r="BI76" i="29"/>
  <c r="BI43" i="29"/>
  <c r="BI5" i="29"/>
  <c r="AM178" i="29"/>
  <c r="AO75" i="29"/>
  <c r="AO4" i="29"/>
  <c r="AQ75" i="29"/>
  <c r="BE75" i="29"/>
  <c r="BE4" i="29"/>
  <c r="F4" i="29"/>
  <c r="J4" i="29"/>
  <c r="N4" i="29"/>
  <c r="P75" i="29"/>
  <c r="P4" i="29"/>
  <c r="R178" i="29"/>
  <c r="R4" i="29"/>
  <c r="T75" i="29"/>
  <c r="T4" i="29"/>
  <c r="BH99" i="29"/>
  <c r="BH76" i="29"/>
  <c r="X4" i="29"/>
  <c r="AD75" i="29"/>
  <c r="AH75" i="29"/>
  <c r="AL178" i="29"/>
  <c r="AP178" i="29"/>
  <c r="AR4" i="29"/>
  <c r="AV75" i="29"/>
  <c r="AV4" i="29"/>
  <c r="AZ75" i="29"/>
  <c r="AZ4" i="29"/>
  <c r="BG153" i="29"/>
  <c r="C58" i="79" s="1"/>
  <c r="BF140" i="29"/>
  <c r="BG82" i="29"/>
  <c r="E178" i="29"/>
  <c r="BG15" i="29"/>
  <c r="BG39" i="29"/>
  <c r="I75" i="29"/>
  <c r="M178" i="29"/>
  <c r="O4" i="29"/>
  <c r="Q178" i="29"/>
  <c r="U178" i="29"/>
  <c r="BH131" i="29"/>
  <c r="BH105" i="29"/>
  <c r="Y178" i="29"/>
  <c r="AA4" i="29"/>
  <c r="AC4" i="29"/>
  <c r="AG4" i="29"/>
  <c r="BI131" i="29"/>
  <c r="BI64" i="29"/>
  <c r="AM4" i="29"/>
  <c r="AO178" i="29"/>
  <c r="AS75" i="29"/>
  <c r="AU4" i="29"/>
  <c r="AW178" i="29"/>
  <c r="BA178" i="29"/>
  <c r="BC75" i="29"/>
  <c r="F178" i="29"/>
  <c r="J178" i="29"/>
  <c r="L178" i="29"/>
  <c r="P178" i="29"/>
  <c r="R75" i="29"/>
  <c r="T178" i="29"/>
  <c r="BH88" i="29"/>
  <c r="Z75" i="29"/>
  <c r="AB178" i="29"/>
  <c r="AF178" i="29"/>
  <c r="AL4" i="29"/>
  <c r="AP4" i="29"/>
  <c r="AR178" i="29"/>
  <c r="AT75" i="29"/>
  <c r="AX178" i="29"/>
  <c r="AX4" i="29"/>
  <c r="C9" i="25"/>
  <c r="BI4" i="23"/>
  <c r="BI159" i="23" s="1"/>
  <c r="BI160" i="23" s="1"/>
  <c r="BG4" i="23"/>
  <c r="BG159" i="23" s="1"/>
  <c r="BG160" i="23" s="1"/>
  <c r="D45" i="27"/>
  <c r="BF169" i="23"/>
  <c r="BF75" i="23"/>
  <c r="M159" i="23"/>
  <c r="M160" i="23" s="1"/>
  <c r="BF4" i="23"/>
  <c r="C8" i="25"/>
  <c r="BH159" i="23"/>
  <c r="BH160" i="23" s="1"/>
  <c r="E75" i="23"/>
  <c r="E79" i="48" s="1"/>
  <c r="BI178" i="29" l="1"/>
  <c r="C62" i="25"/>
  <c r="C68" i="25" s="1"/>
  <c r="E8" i="49"/>
  <c r="E79" i="49"/>
  <c r="C37" i="25"/>
  <c r="C43" i="25" s="1"/>
  <c r="C83" i="25"/>
  <c r="C89" i="25" s="1"/>
  <c r="C20" i="25"/>
  <c r="C20" i="59"/>
  <c r="C14" i="59"/>
  <c r="C16" i="73"/>
  <c r="C22" i="73" s="1"/>
  <c r="C14" i="25"/>
  <c r="C10" i="45"/>
  <c r="C16" i="45" s="1"/>
  <c r="C22" i="45" s="1"/>
  <c r="C10" i="60"/>
  <c r="C16" i="60" s="1"/>
  <c r="C22" i="60" s="1"/>
  <c r="C10" i="59"/>
  <c r="D19" i="61"/>
  <c r="D23" i="61" s="1"/>
  <c r="BF159" i="23"/>
  <c r="BF160" i="23" s="1"/>
  <c r="D19" i="27"/>
  <c r="D23" i="27" s="1"/>
  <c r="C10" i="25"/>
  <c r="BF75" i="29"/>
  <c r="BH178" i="29"/>
  <c r="BF178" i="29"/>
  <c r="BH4" i="29"/>
  <c r="E159" i="23"/>
  <c r="E160" i="23" s="1"/>
  <c r="BH75" i="29"/>
  <c r="BI4" i="29"/>
  <c r="BI75" i="29"/>
  <c r="BG75" i="29"/>
  <c r="BG178" i="29"/>
  <c r="BH160" i="29" l="1"/>
  <c r="C16" i="59"/>
  <c r="C22" i="59" s="1"/>
  <c r="C16" i="25"/>
  <c r="C22" i="25" s="1"/>
  <c r="BI160" i="29"/>
  <c r="F17" i="1"/>
  <c r="F18" i="1" s="1"/>
  <c r="C13" i="1" l="1"/>
  <c r="C14" i="1" s="1"/>
  <c r="I18" i="1"/>
  <c r="L17" i="1"/>
  <c r="L18" i="1" s="1"/>
  <c r="R11" i="1"/>
  <c r="O26" i="1"/>
  <c r="O54" i="13" l="1"/>
  <c r="O53" i="13"/>
  <c r="O52" i="13"/>
  <c r="O51" i="13"/>
  <c r="O50" i="13"/>
  <c r="O49" i="13"/>
  <c r="O48" i="13"/>
  <c r="O47" i="13"/>
  <c r="O46" i="13"/>
  <c r="O45" i="13"/>
  <c r="O44" i="13"/>
  <c r="O43" i="13"/>
  <c r="O42" i="13"/>
  <c r="O41" i="13"/>
  <c r="O40" i="13"/>
  <c r="O39" i="13"/>
  <c r="O38" i="13"/>
  <c r="O37" i="13"/>
  <c r="O36" i="13"/>
  <c r="O35" i="13"/>
  <c r="O34" i="13"/>
  <c r="O33" i="13"/>
  <c r="O32" i="13"/>
  <c r="O31" i="13"/>
  <c r="O30" i="13"/>
  <c r="O29" i="13"/>
  <c r="O28" i="13"/>
  <c r="O27" i="13"/>
  <c r="O26" i="13"/>
  <c r="O25" i="13"/>
  <c r="O24" i="13"/>
  <c r="O23" i="13"/>
  <c r="O22" i="13"/>
  <c r="O21" i="13"/>
  <c r="O20" i="13"/>
  <c r="O19" i="13"/>
  <c r="O18" i="13"/>
  <c r="O17" i="13"/>
  <c r="O16" i="13"/>
  <c r="O15" i="13"/>
  <c r="O14" i="13"/>
  <c r="O13" i="13"/>
  <c r="O12" i="13"/>
  <c r="O11" i="13"/>
  <c r="O10" i="13"/>
  <c r="O9" i="13"/>
  <c r="O8" i="13"/>
  <c r="O7" i="13"/>
  <c r="O6" i="13"/>
  <c r="O5" i="13"/>
  <c r="O4" i="13"/>
  <c r="O3" i="13"/>
  <c r="O2" i="13"/>
  <c r="O55" i="13" l="1"/>
  <c r="H8" i="13"/>
  <c r="H7" i="13"/>
  <c r="H6" i="13"/>
  <c r="H9" i="13" l="1"/>
  <c r="C26" i="1" l="1"/>
  <c r="O8" i="1" l="1"/>
  <c r="S14" i="1" s="1"/>
  <c r="S15" i="1" l="1"/>
  <c r="U17" i="1"/>
  <c r="B21" i="1"/>
  <c r="E26" i="1" l="1"/>
  <c r="C25" i="1" l="1"/>
  <c r="E25" i="1" s="1"/>
  <c r="C28" i="1"/>
  <c r="E28" i="1" s="1"/>
  <c r="R12" i="1"/>
  <c r="C29" i="1" l="1"/>
  <c r="E29" i="1" s="1"/>
  <c r="O9" i="1"/>
  <c r="C24" i="1"/>
  <c r="E24" i="1" s="1"/>
  <c r="F25" i="1" s="1"/>
  <c r="C27" i="1"/>
  <c r="E27" i="1" s="1"/>
  <c r="C30" i="1" l="1"/>
  <c r="E30" i="1" s="1"/>
  <c r="BG13" i="29"/>
  <c r="BF13" i="29"/>
  <c r="BF9" i="29"/>
  <c r="BG9" i="29"/>
  <c r="BF12" i="29"/>
  <c r="BG12" i="29"/>
  <c r="BF8" i="29"/>
  <c r="E5" i="29"/>
  <c r="E4" i="29" s="1"/>
  <c r="BG8" i="29"/>
  <c r="BF5" i="29" l="1"/>
  <c r="BF4" i="29" s="1"/>
  <c r="BF160" i="29" s="1"/>
  <c r="BG5" i="29"/>
  <c r="BG4" i="29" s="1"/>
  <c r="BG160" i="29" s="1"/>
</calcChain>
</file>

<file path=xl/sharedStrings.xml><?xml version="1.0" encoding="utf-8"?>
<sst xmlns="http://schemas.openxmlformats.org/spreadsheetml/2006/main" count="5454" uniqueCount="865">
  <si>
    <t>moins de 200 habitants</t>
  </si>
  <si>
    <t>201 à 500 habitants</t>
  </si>
  <si>
    <t>501 à 1'000 habitants</t>
  </si>
  <si>
    <t>1'001 à 2'000 habitants</t>
  </si>
  <si>
    <t>2001 à 3'000 habitant</t>
  </si>
  <si>
    <t>plus de 3'000 habitant</t>
  </si>
  <si>
    <t>Saint-Brais</t>
  </si>
  <si>
    <t>Muriaux</t>
  </si>
  <si>
    <t>Cornol</t>
  </si>
  <si>
    <t>Courgenay</t>
  </si>
  <si>
    <t>Courroux</t>
  </si>
  <si>
    <t>La Chaux</t>
  </si>
  <si>
    <t>Saulcy</t>
  </si>
  <si>
    <t>Mervelier</t>
  </si>
  <si>
    <t>La Baroche</t>
  </si>
  <si>
    <t>Courtételle</t>
  </si>
  <si>
    <t>Porrentruy</t>
  </si>
  <si>
    <t>Mettembert</t>
  </si>
  <si>
    <t>Bourrignon</t>
  </si>
  <si>
    <t>Les Genevez</t>
  </si>
  <si>
    <t>Les Bois</t>
  </si>
  <si>
    <t>Saignelégier</t>
  </si>
  <si>
    <t>Haute-Sorne</t>
  </si>
  <si>
    <t>Ederswiler</t>
  </si>
  <si>
    <t>Courchavon</t>
  </si>
  <si>
    <t>Vendlincourt</t>
  </si>
  <si>
    <t>Boncourt</t>
  </si>
  <si>
    <t>Val Terbi</t>
  </si>
  <si>
    <t>Delémont</t>
  </si>
  <si>
    <t>Beurnevésin</t>
  </si>
  <si>
    <t>Le Bémont</t>
  </si>
  <si>
    <t>Rossemaison</t>
  </si>
  <si>
    <t>Basse-Allaine</t>
  </si>
  <si>
    <t>Courrendlin</t>
  </si>
  <si>
    <t>Soubey</t>
  </si>
  <si>
    <t>Fahy</t>
  </si>
  <si>
    <t>Montfaucon</t>
  </si>
  <si>
    <t>Clos du Doubs</t>
  </si>
  <si>
    <t>moyenne</t>
  </si>
  <si>
    <t>Les Enfers</t>
  </si>
  <si>
    <t>Pleigne</t>
  </si>
  <si>
    <t>Lajoux</t>
  </si>
  <si>
    <t>Develier</t>
  </si>
  <si>
    <t>Movelier</t>
  </si>
  <si>
    <t>Bure</t>
  </si>
  <si>
    <t>Les Breuleux</t>
  </si>
  <si>
    <t>Damphreux</t>
  </si>
  <si>
    <t>Grandfontaine</t>
  </si>
  <si>
    <t>Bonfol</t>
  </si>
  <si>
    <t>Fontenais</t>
  </si>
  <si>
    <t>Lugnez</t>
  </si>
  <si>
    <t>Coeuve</t>
  </si>
  <si>
    <t>Alle</t>
  </si>
  <si>
    <t>Courchapoix</t>
  </si>
  <si>
    <t>Courdedoux</t>
  </si>
  <si>
    <t>Le Noirmont</t>
  </si>
  <si>
    <t>Boécourt</t>
  </si>
  <si>
    <t>Châtillon</t>
  </si>
  <si>
    <t>Haute-Ajoie</t>
  </si>
  <si>
    <t>Soyhières</t>
  </si>
  <si>
    <t>Charges</t>
  </si>
  <si>
    <t>Charges du personnel</t>
  </si>
  <si>
    <t>Courtedoux</t>
  </si>
  <si>
    <t>Par Disctrict</t>
  </si>
  <si>
    <t>Franches-Montagnes</t>
  </si>
  <si>
    <t>Total</t>
  </si>
  <si>
    <t>MOINS DE 1000 HABITANTS</t>
  </si>
  <si>
    <t>Communes</t>
  </si>
  <si>
    <t>Contrôle</t>
  </si>
  <si>
    <t>Variation de fortune</t>
  </si>
  <si>
    <t>N°</t>
  </si>
  <si>
    <t>La Chaux-B.</t>
  </si>
  <si>
    <t>Population par district</t>
  </si>
  <si>
    <t>13 communes de 200 à 500 habitants</t>
  </si>
  <si>
    <t>12 communes de 1'001 à 2'000 habitants</t>
  </si>
  <si>
    <t>3 communes de 2'001 à 3'000 habitants</t>
  </si>
  <si>
    <t>6 communes de plus 3'000 habitants</t>
  </si>
  <si>
    <t>8 communes de moins 200 habitants</t>
  </si>
  <si>
    <t>11 communes de 501 à 1'000 habitants</t>
  </si>
  <si>
    <t>Revenus fiscaux</t>
  </si>
  <si>
    <t>Autorités et commissions</t>
  </si>
  <si>
    <t>Personnel administratif et d'exploitation</t>
  </si>
  <si>
    <t>Enseignants</t>
  </si>
  <si>
    <t>Personnel temporaire administratif et d'exploitation</t>
  </si>
  <si>
    <t>Charges de l'employeur</t>
  </si>
  <si>
    <t>Prestations sociales de l'employeur</t>
  </si>
  <si>
    <t>Autres charges du personnel</t>
  </si>
  <si>
    <t>Charges de biens et de services et autres charges d'exploitation</t>
  </si>
  <si>
    <t>Charges de matériel et de marchandises</t>
  </si>
  <si>
    <t>Immobilisation ne pouvant être portées à l'actif</t>
  </si>
  <si>
    <t>Alimentations et éliminations des biens-fonds du PA</t>
  </si>
  <si>
    <t>Prestations de services et honoraires</t>
  </si>
  <si>
    <t>Gros entretien et entretien courtant du PA</t>
  </si>
  <si>
    <t>Entretien des biens mobiliers et des immobilisations corporelles du PA</t>
  </si>
  <si>
    <t>Loyers - crédits-bails (leasing) - baux à fermes - taxes d'utilisation</t>
  </si>
  <si>
    <t>Indemnités et dédommagements</t>
  </si>
  <si>
    <t>Réévaluations de créances</t>
  </si>
  <si>
    <t>Divers charges d'exploitation</t>
  </si>
  <si>
    <t>Amortissements du patrimoine administratif</t>
  </si>
  <si>
    <t>Amortissements des immobilisations incorporelles du PA</t>
  </si>
  <si>
    <t>Amortissements des immobilisations corporelles du PA</t>
  </si>
  <si>
    <t>Charges financières</t>
  </si>
  <si>
    <t>Charges d'intérets</t>
  </si>
  <si>
    <t>Pertes sur les placements financiers et les immobilisations du PF</t>
  </si>
  <si>
    <t>Frais d'acquisitions des capitaux et frais administratifs</t>
  </si>
  <si>
    <t>Charges pour les biens-fonds du PF</t>
  </si>
  <si>
    <t>Réévaluations des immobilisations du PF</t>
  </si>
  <si>
    <t>Autres charges financières</t>
  </si>
  <si>
    <t>Attributions aux financements spéciaux du capital propres</t>
  </si>
  <si>
    <t>Attributions aux financements spéciaux des capitaux de tiers</t>
  </si>
  <si>
    <t>Charges de transferts</t>
  </si>
  <si>
    <t>Parts de revenus destinés à des collectivités publiques</t>
  </si>
  <si>
    <t>Dédommagements aux collectivités publiques</t>
  </si>
  <si>
    <t>Péréquation financière et compensation de charges</t>
  </si>
  <si>
    <t>Subventions à des collectivités publiques et des tiers</t>
  </si>
  <si>
    <t>Réévaluations des prets du PA</t>
  </si>
  <si>
    <t>Réévaluations des participations du PA</t>
  </si>
  <si>
    <t>Amortissements des subventions des investissements</t>
  </si>
  <si>
    <t>Différentes charges de transfert à des collectivités publiques et tiers</t>
  </si>
  <si>
    <t>Subventions à redistribuer</t>
  </si>
  <si>
    <t>Subventions à redistribuer à des collectivités publiques et des tiers</t>
  </si>
  <si>
    <t>Charges extraordinaires</t>
  </si>
  <si>
    <t>Charges extraordinaires du personnel administratif et d'exploitation</t>
  </si>
  <si>
    <t>charges extraordinaires de biens et de services d'exploitation</t>
  </si>
  <si>
    <t>Charges extraordinaires financières et comptables</t>
  </si>
  <si>
    <t>Attributions extraordinaires aux financements spéciaux</t>
  </si>
  <si>
    <t>Charges de transfert extraordinaires au collectivités et aux tiers</t>
  </si>
  <si>
    <t>Attributions au captial propre</t>
  </si>
  <si>
    <t>Imputations internes</t>
  </si>
  <si>
    <t>Approvisionnement en matériel et en marchandises</t>
  </si>
  <si>
    <t>Prestations de services</t>
  </si>
  <si>
    <t>Loyer, baux à ferme et frais d'utilisation</t>
  </si>
  <si>
    <t>Frais administratifs et d'exploitation</t>
  </si>
  <si>
    <t>Intérêts et charges financières théoriques</t>
  </si>
  <si>
    <t>Amortissements planifiés et non planifiés du PA</t>
  </si>
  <si>
    <t>Virements comptabiles</t>
  </si>
  <si>
    <t>Autres imputations internes</t>
  </si>
  <si>
    <t>Revenus</t>
  </si>
  <si>
    <t>Impôts directs des personnes physiques</t>
  </si>
  <si>
    <t>Impôts directs des personnes morales</t>
  </si>
  <si>
    <t>Autres impôts directs</t>
  </si>
  <si>
    <t>Impôts sur la possession et les dépenses</t>
  </si>
  <si>
    <t>Revenus de patentes et de concessions</t>
  </si>
  <si>
    <t xml:space="preserve">Revenus de patentes  </t>
  </si>
  <si>
    <t>Revenus de la Banque Nationale</t>
  </si>
  <si>
    <t>Revenus des concessions</t>
  </si>
  <si>
    <t>Parts des revenus de loterie et paris</t>
  </si>
  <si>
    <t>Taxes</t>
  </si>
  <si>
    <t>Taxes d'exemption et de compensation</t>
  </si>
  <si>
    <t>Emoluments administratif</t>
  </si>
  <si>
    <t>Taxes et émoluments hospitaliers et médico-sociaux et foyers</t>
  </si>
  <si>
    <t>Frais d'écolage</t>
  </si>
  <si>
    <t>Taxes d'utilisation et de prestation de services</t>
  </si>
  <si>
    <t>Revenus des ventes</t>
  </si>
  <si>
    <t>remboursements</t>
  </si>
  <si>
    <t>Amendes</t>
  </si>
  <si>
    <t>Autres taxes et compensations</t>
  </si>
  <si>
    <t>Revenus divers</t>
  </si>
  <si>
    <t>Revenus divers d'exploitation</t>
  </si>
  <si>
    <t>Inscriptions de prestations propres portées à l'actif</t>
  </si>
  <si>
    <t>Variation de stock</t>
  </si>
  <si>
    <t>Autres revenus divers</t>
  </si>
  <si>
    <t>Revenus financiers</t>
  </si>
  <si>
    <t>Revenus des intérets</t>
  </si>
  <si>
    <t>Gains réalisés du PF</t>
  </si>
  <si>
    <t>Revenus de participations du PF</t>
  </si>
  <si>
    <t>Revenus des biens-fonds, des bâtiments et immeubles du PF</t>
  </si>
  <si>
    <t>Revenus financiers de prêts et de participation du PA</t>
  </si>
  <si>
    <t>Revenus financiers d'entreprises publiques</t>
  </si>
  <si>
    <t>Revenus des biens-fonds, des bâtiments et immeubles du PA</t>
  </si>
  <si>
    <t>Revenus des biens-fonds loués</t>
  </si>
  <si>
    <t>Autres revenus financiers</t>
  </si>
  <si>
    <t>Prélèvements sur les financements spéciaux des capitaux de tiers</t>
  </si>
  <si>
    <t>Prélèvements sur les financements spéciaux du capital propre</t>
  </si>
  <si>
    <t>Prélèvements sur les financements spéciaux</t>
  </si>
  <si>
    <t>Revenus de transfert</t>
  </si>
  <si>
    <t>Parts à des revenus des collectivités publiques</t>
  </si>
  <si>
    <t>Dédommagements des collectivités publiques</t>
  </si>
  <si>
    <t>Subventions de collectivités publiques et de tiers</t>
  </si>
  <si>
    <t>Différents revenus et transferts de collectivités publiques et de tiers</t>
  </si>
  <si>
    <t>Subventions à redistribuer des collectivités publiques et de tiers</t>
  </si>
  <si>
    <t>Revenus extraordinaires</t>
  </si>
  <si>
    <t>Revenus extraordinaires de patentes et de concessions</t>
  </si>
  <si>
    <t>Contributions extraordinaires</t>
  </si>
  <si>
    <t>Revenus divers extraordinaires</t>
  </si>
  <si>
    <t>Revenus financiers extraordinaires</t>
  </si>
  <si>
    <t>Prélèvements extraordinaires sur les financements spéciaux</t>
  </si>
  <si>
    <t>Parts aux revenus extraordinaires de transferts des collectivités et tiers</t>
  </si>
  <si>
    <t>Prélèvement sur le capital propre</t>
  </si>
  <si>
    <t>Fermages, loyers et frais d'utilisation</t>
  </si>
  <si>
    <t>Frais administratifs et d'exploitations</t>
  </si>
  <si>
    <t>Amortissements planifiés et non planifiés</t>
  </si>
  <si>
    <t>Virements comptables</t>
  </si>
  <si>
    <t>Dépenses d'investissements</t>
  </si>
  <si>
    <t>Comptes de clôture</t>
  </si>
  <si>
    <t>Clôture du compte de résultats</t>
  </si>
  <si>
    <t>Compte général (+ / -)</t>
  </si>
  <si>
    <t>Financements spéciaux (+ / -)</t>
  </si>
  <si>
    <t>Résultat global</t>
  </si>
  <si>
    <t>Ensemble des communes jurassiennes</t>
  </si>
  <si>
    <t xml:space="preserve">Comptes  </t>
  </si>
  <si>
    <t>Libellés</t>
  </si>
  <si>
    <t>CHF</t>
  </si>
  <si>
    <t>Charges d'exploitation</t>
  </si>
  <si>
    <t>Revenus d'exploitation</t>
  </si>
  <si>
    <t>Résultat de l'activité d'exploitation</t>
  </si>
  <si>
    <t>Résultat opérationnel</t>
  </si>
  <si>
    <t>Résultat extraordinaire</t>
  </si>
  <si>
    <t>Résultat total, compte de résultats</t>
  </si>
  <si>
    <t>30, 31 33, 35, 36, 37</t>
  </si>
  <si>
    <t>40, 41, 42, 43, 45, 46, 47</t>
  </si>
  <si>
    <t>District de Delémont</t>
  </si>
  <si>
    <t>District des Franches-Montagnes</t>
  </si>
  <si>
    <t>District de Porrentruy</t>
  </si>
  <si>
    <t>Impôts fonciers</t>
  </si>
  <si>
    <t>Revalorisation du PF</t>
  </si>
  <si>
    <t>Comptes</t>
  </si>
  <si>
    <t>5 ./. 6</t>
  </si>
  <si>
    <t>Clôture du compte général</t>
  </si>
  <si>
    <t>Compte général</t>
  </si>
  <si>
    <t>Clôture des financements spéciaux</t>
  </si>
  <si>
    <t>Investissements nets</t>
  </si>
  <si>
    <t>Résultat du financement (autofinancement)</t>
  </si>
  <si>
    <t>comptes</t>
  </si>
  <si>
    <t>690 ./. 590</t>
  </si>
  <si>
    <t>+</t>
  </si>
  <si>
    <t>-</t>
  </si>
  <si>
    <t>Attributions aux financements spéciaux</t>
  </si>
  <si>
    <t>Attributions aux capitaux propres</t>
  </si>
  <si>
    <t>Autofinancement (Cash flow)</t>
  </si>
  <si>
    <t>Résultat du compte d'investissements</t>
  </si>
  <si>
    <t>Résultat de financement (+ = excédent / - = découvert de financement)</t>
  </si>
  <si>
    <t>Amortissements des subventions d'investissements</t>
  </si>
  <si>
    <t>Prélèvements sur les capitaux propres</t>
  </si>
  <si>
    <t>Réévaluations des prêts du patrimoine administratif</t>
  </si>
  <si>
    <t>Réévaluations des participations du patrimoine administratif</t>
  </si>
  <si>
    <t>Revalorisations du patrimoine financier</t>
  </si>
  <si>
    <t>Contrôle des imputations internes</t>
  </si>
  <si>
    <t>Résultat provenant du financement</t>
  </si>
  <si>
    <t>Actif</t>
  </si>
  <si>
    <t>Patrimoine financier</t>
  </si>
  <si>
    <t>Disponibilité et placements à court terme</t>
  </si>
  <si>
    <t>Créances</t>
  </si>
  <si>
    <t>Placements financiers à court terme</t>
  </si>
  <si>
    <t>Actifs de régularisation</t>
  </si>
  <si>
    <t>Marchandises, fournitures et travaux en cours</t>
  </si>
  <si>
    <t>Immobilisation corporelles du PF</t>
  </si>
  <si>
    <t>Patrimoine administratif</t>
  </si>
  <si>
    <t>Immobilisation incorporelles du PA</t>
  </si>
  <si>
    <t>Immobilisation corporelles du PA</t>
  </si>
  <si>
    <t>Prêts</t>
  </si>
  <si>
    <t>Passif</t>
  </si>
  <si>
    <t>Capitaux de tiers</t>
  </si>
  <si>
    <t>Engagements courants</t>
  </si>
  <si>
    <t>Engagements financiers à court terme</t>
  </si>
  <si>
    <t>Passifs de régularisation</t>
  </si>
  <si>
    <t>Provisions à court terme</t>
  </si>
  <si>
    <t>Engagements financiers à long terme</t>
  </si>
  <si>
    <t>Provisions à long terme</t>
  </si>
  <si>
    <t>Engagements envers les financements spéciaux et capitaux de tiers</t>
  </si>
  <si>
    <t>Capital propre</t>
  </si>
  <si>
    <t>Financement spéciaux du capital propre</t>
  </si>
  <si>
    <t>Fonds du capital propres</t>
  </si>
  <si>
    <t>Réserves des domaines de l'enveloppe budgétaire</t>
  </si>
  <si>
    <t>Préfinancements</t>
  </si>
  <si>
    <t>Réserves de politique budgétaire</t>
  </si>
  <si>
    <t>Réserves liées à la réévaluation (introduction MCH2)</t>
  </si>
  <si>
    <t>Réserves liées à la réévaluation du PF</t>
  </si>
  <si>
    <t>Autres capitaux propres</t>
  </si>
  <si>
    <t>Instruments financiers dérivés</t>
  </si>
  <si>
    <t>Clôture du compte de résultats / excédent de produits</t>
  </si>
  <si>
    <t>Péréquation financière horizontal</t>
  </si>
  <si>
    <t>Contributions des communes-centres</t>
  </si>
  <si>
    <t>Prélèvement sur la réserve liée à la réévaluation</t>
  </si>
  <si>
    <t>Clôture d'autres capitaux propres / excédent de produits</t>
  </si>
  <si>
    <t>Indicateurs financiers</t>
  </si>
  <si>
    <t>Charges de personnel</t>
  </si>
  <si>
    <t>Charges de biens et services et autres charges d'exploitation</t>
  </si>
  <si>
    <t>Impôts directs, personnes physiques</t>
  </si>
  <si>
    <t>Réévaluation de créances</t>
  </si>
  <si>
    <t>Impôts directs, personnes morales</t>
  </si>
  <si>
    <t>Revenus des intérêts</t>
  </si>
  <si>
    <t>Charges d'intérêts</t>
  </si>
  <si>
    <t>Gains réalisés du patrimoine financier</t>
  </si>
  <si>
    <t>Revenus de participations du patrimoine financier</t>
  </si>
  <si>
    <t>Revenus des biens fonds, bâtiments et immeubles du PF</t>
  </si>
  <si>
    <t>Charges de transfert</t>
  </si>
  <si>
    <t>Péréquation financière horizontale</t>
  </si>
  <si>
    <t>Contributions aux communes-centres</t>
  </si>
  <si>
    <t>Prélèvement sur les financements spéciaux</t>
  </si>
  <si>
    <t>Attributions au capital propre</t>
  </si>
  <si>
    <t>Prélèvement sur les capitaux propres</t>
  </si>
  <si>
    <t>Attributions aux autres capitaux propres</t>
  </si>
  <si>
    <t>Clôture du compte de résultats / excédent de charges</t>
  </si>
  <si>
    <t>Clôture d'autres capitaux propres / excédent de charges</t>
  </si>
  <si>
    <t>Dépenses</t>
  </si>
  <si>
    <t>Recettes</t>
  </si>
  <si>
    <t>Réévalutation de créances</t>
  </si>
  <si>
    <t>Clôtures du compte de résultats / excédent de charge</t>
  </si>
  <si>
    <t>Administration générale</t>
  </si>
  <si>
    <t>1</t>
  </si>
  <si>
    <t>Ordre et sécurité publics - Défense</t>
  </si>
  <si>
    <t>Formation</t>
  </si>
  <si>
    <t>Culture - Sports - Loisirs - Eglises</t>
  </si>
  <si>
    <t>Santé</t>
  </si>
  <si>
    <t>Prévoyance sociale</t>
  </si>
  <si>
    <t>Traffic - Transports - Télécommunications</t>
  </si>
  <si>
    <t>Protection de l'environnement - Aménagement du territoire</t>
  </si>
  <si>
    <t>Economie publique</t>
  </si>
  <si>
    <t>Finances - Impôts</t>
  </si>
  <si>
    <t>dont charges</t>
  </si>
  <si>
    <t>dont revenus</t>
  </si>
  <si>
    <t>Récapitulation générale</t>
  </si>
  <si>
    <t>Caisse</t>
  </si>
  <si>
    <t>Poste</t>
  </si>
  <si>
    <t>Placement à court terme sur le marché monétaire</t>
  </si>
  <si>
    <t>Carte de débit ou crédit</t>
  </si>
  <si>
    <t>Autres disponibilité</t>
  </si>
  <si>
    <t>Créances résultant de liraison et de prestations envers des tiers</t>
  </si>
  <si>
    <t>Créances fiscales</t>
  </si>
  <si>
    <t>Acomptes à des tiers</t>
  </si>
  <si>
    <t>Créances sur transferts</t>
  </si>
  <si>
    <t>Banques</t>
  </si>
  <si>
    <t>Comptes courants internes</t>
  </si>
  <si>
    <t>Avances pour les frais administratifs</t>
  </si>
  <si>
    <t>Autres créances et TVA</t>
  </si>
  <si>
    <t>Prêts à court terme</t>
  </si>
  <si>
    <t>Placements à intérêts à court terme</t>
  </si>
  <si>
    <t>Dépôts à terme</t>
  </si>
  <si>
    <t>Autres placements financiers à court terme</t>
  </si>
  <si>
    <t>Charges de biens et de services et autres charges d'exploitations</t>
  </si>
  <si>
    <t>Impôts</t>
  </si>
  <si>
    <t>Transferts du compte de résultats</t>
  </si>
  <si>
    <t>Charges financiers / revenus financiers</t>
  </si>
  <si>
    <t>Autres revenus d'exploitations</t>
  </si>
  <si>
    <t>Actifs de régularisation du comptes des investissements</t>
  </si>
  <si>
    <t>Autres actifs de régularisation du comptes de résultats</t>
  </si>
  <si>
    <t>Articles de commerces</t>
  </si>
  <si>
    <t>Matières premières et auxiliaires</t>
  </si>
  <si>
    <t>Produits semi-finis et finis</t>
  </si>
  <si>
    <t>Travaux en cours</t>
  </si>
  <si>
    <t>Avances et acomptes versés</t>
  </si>
  <si>
    <t>Actions et parts sociales</t>
  </si>
  <si>
    <t>Placements à intérêts à long terme</t>
  </si>
  <si>
    <t>Cérances à long terme</t>
  </si>
  <si>
    <t>Autres placements financiers à long terme</t>
  </si>
  <si>
    <t>Placements financiers</t>
  </si>
  <si>
    <t>Terrains du PF</t>
  </si>
  <si>
    <t>Bâtiments, locaux et équipement du PF</t>
  </si>
  <si>
    <t>Biens mobiliers du PF</t>
  </si>
  <si>
    <t>Installations et constructions du PF</t>
  </si>
  <si>
    <t>Avances terrains, bâtiments, mobilier du PF</t>
  </si>
  <si>
    <t>Autres immobilisations corporelles du PF</t>
  </si>
  <si>
    <t>Créances envers les financements spéciaux et fonds du capital de tiers</t>
  </si>
  <si>
    <t>Créances envres les fonds des capitaux de tiers</t>
  </si>
  <si>
    <t xml:space="preserve">Créances envers les legs et fondations </t>
  </si>
  <si>
    <t>Créances envers d'autres capitaux de tiers</t>
  </si>
  <si>
    <t>Terrains non bâtis et terrains bâtis du PA</t>
  </si>
  <si>
    <t>Routes et voies de communications du PA</t>
  </si>
  <si>
    <t>Aménagement des plans d'eau et cours d'eau du PA</t>
  </si>
  <si>
    <t>Autres ouvrages de génie civil du PA - Collecteurs, canalisations</t>
  </si>
  <si>
    <t>Bâtiments, locaux et équipement du PA</t>
  </si>
  <si>
    <t>Forêts du PA</t>
  </si>
  <si>
    <t>Biens mobilier du PA</t>
  </si>
  <si>
    <t>Immobilisations en construction du PA</t>
  </si>
  <si>
    <t>Autres immobilisations corporelles du PA</t>
  </si>
  <si>
    <t>Logiciels</t>
  </si>
  <si>
    <t>Brevets et licenses</t>
  </si>
  <si>
    <t>Prêts à la Confédération</t>
  </si>
  <si>
    <t>Prêts aux communes et associations intercommunales</t>
  </si>
  <si>
    <t>Prêts aux cantons et concordats</t>
  </si>
  <si>
    <t>Prêts aux assurances sociales publiques</t>
  </si>
  <si>
    <t>Prêts aux entreprises publiques</t>
  </si>
  <si>
    <t>Prêts aux entreprises privées</t>
  </si>
  <si>
    <t>Prêts aux organisations privées à but non lucratif</t>
  </si>
  <si>
    <t>Prêts aux ménages privés</t>
  </si>
  <si>
    <t>Prêts à l'étranger</t>
  </si>
  <si>
    <t>Participations aux cantons et concordats</t>
  </si>
  <si>
    <t>Participations à la Confédération</t>
  </si>
  <si>
    <t>Participations et capital social</t>
  </si>
  <si>
    <t>Participations aux communes et associations intercommunales</t>
  </si>
  <si>
    <t>Participations aux assurances sociales publiques</t>
  </si>
  <si>
    <t>Participations aux entreprises publiques</t>
  </si>
  <si>
    <t>Participations aux entreprises privées</t>
  </si>
  <si>
    <t>Participations aux organisations privées à but non lucratif</t>
  </si>
  <si>
    <t>Participations aux ménages privés</t>
  </si>
  <si>
    <t>Participations à l'étranger</t>
  </si>
  <si>
    <t>Subventions d'investissements aux communes et associations</t>
  </si>
  <si>
    <t>Subventions d'investissements aux assurances sociales publiques</t>
  </si>
  <si>
    <t>Subventions d'investissements aux entreprises publiques</t>
  </si>
  <si>
    <t>Subventions d'investissements aux entreprises privées</t>
  </si>
  <si>
    <t>Subventions d'investissements aux ménages privés</t>
  </si>
  <si>
    <t>Subventions d'investissements à l'étranger</t>
  </si>
  <si>
    <t>Subventions d'investissements aux immobilisations en construction</t>
  </si>
  <si>
    <t>Subventions d'investissements à la Confédération</t>
  </si>
  <si>
    <t>Subventions d'investissements aux cantons et concordats</t>
  </si>
  <si>
    <t>Subventions d'investissements aux organisations privées à but non luc.</t>
  </si>
  <si>
    <t>Subventions d'investissements</t>
  </si>
  <si>
    <t>Engagements courants provenant de livraison et de prestations de tiers</t>
  </si>
  <si>
    <t>Comptes courants avec des tiers</t>
  </si>
  <si>
    <t>Impôts et TVA</t>
  </si>
  <si>
    <t>Acomptes de tiers</t>
  </si>
  <si>
    <t>Engagements de transferts</t>
  </si>
  <si>
    <t>Dépôts et caution</t>
  </si>
  <si>
    <t>Autres engagements courants</t>
  </si>
  <si>
    <t>Engagements à court terme envers la Poste</t>
  </si>
  <si>
    <t>Engagements à court terme envers les collectivités et associations</t>
  </si>
  <si>
    <t>Engagements à court terme envers des entités consolidées</t>
  </si>
  <si>
    <t>Engagements à court terme envers des entités indépendantes</t>
  </si>
  <si>
    <t>Parts à court terme des dettes de locations (leasing) à long terme</t>
  </si>
  <si>
    <t>Parts à court terme d'engagement à long terme</t>
  </si>
  <si>
    <t>Autres engagements financiers à court terme</t>
  </si>
  <si>
    <t>Charges financières / revenus financiers</t>
  </si>
  <si>
    <t>Passifs de régularisation du compte des investissements</t>
  </si>
  <si>
    <t>Autres passifs de régularisation et du compte de résultats</t>
  </si>
  <si>
    <t>Provisions à court terme pour les prestations supp. du personnel</t>
  </si>
  <si>
    <t>Provisions à court terme pour les autres droits du personnel</t>
  </si>
  <si>
    <t>Provisions à court terme pour les procès</t>
  </si>
  <si>
    <t>Provisions à court terme pour les autres activités d'exploitation</t>
  </si>
  <si>
    <t>Provisions à court terme pour les cautions et garantie</t>
  </si>
  <si>
    <t>Provisions à court terme pour les engagements de prévoyance</t>
  </si>
  <si>
    <t>Provisions à court terme pour les dommages non assurés</t>
  </si>
  <si>
    <t>Provisions à court terme pour les charges financières</t>
  </si>
  <si>
    <t>Provisions à court terme du compte des investissements</t>
  </si>
  <si>
    <t>Autres provisions à court terme</t>
  </si>
  <si>
    <t>Hypothèques</t>
  </si>
  <si>
    <t>Bons de caisse</t>
  </si>
  <si>
    <t>Emprunts</t>
  </si>
  <si>
    <t>Emprunts et reconnaissance de dettes</t>
  </si>
  <si>
    <t>Contrats de location</t>
  </si>
  <si>
    <t>Autres engagements financiers à long terme</t>
  </si>
  <si>
    <t>Provisions à long terme pour les prétentions du personnel</t>
  </si>
  <si>
    <t>Provisions à long terme pour les procès</t>
  </si>
  <si>
    <t>Provisions à long terme pour les dommages non assurés</t>
  </si>
  <si>
    <t>Provisions à long terme pour les cautions et garanties</t>
  </si>
  <si>
    <t>Provisions à long terme pour les engagements de prévoyance</t>
  </si>
  <si>
    <t>Provisions à long terme pour les autres activités d'exploitation</t>
  </si>
  <si>
    <t>Provisions à long terme pour les charges financières</t>
  </si>
  <si>
    <t>Provisions à long terme du compte des investissements</t>
  </si>
  <si>
    <t>Autres provisions à long terme du compte de résultats</t>
  </si>
  <si>
    <t>Engagements envers les fonds des capitaux de tiers</t>
  </si>
  <si>
    <t>Engagements envers les legs et fondations des capitaux de tiers</t>
  </si>
  <si>
    <t>Engagements envrers d'autres capitaux de tiers affectés</t>
  </si>
  <si>
    <t>Legs et fondations sans personnalité juridique du capital propre</t>
  </si>
  <si>
    <t>Résultat annuel (excédent de charges ou produits)</t>
  </si>
  <si>
    <t>Résultats cumulés (fortune nette ou découvert)</t>
  </si>
  <si>
    <t>Jura</t>
  </si>
  <si>
    <t>Dépôts et cautions</t>
  </si>
  <si>
    <t>Emprunts et reconnaissances de dettes</t>
  </si>
  <si>
    <t>Par habitant</t>
  </si>
  <si>
    <t>Ensemble des communes</t>
  </si>
  <si>
    <t>Engagements courant</t>
  </si>
  <si>
    <t>Immobilisations ne pouvant être portées à l'actif</t>
  </si>
  <si>
    <t>Comptes supplémentaires pour les indicateurs financiers</t>
  </si>
  <si>
    <t>Immobilisations corporelles</t>
  </si>
  <si>
    <t>Investissement pour le compte de tiers</t>
  </si>
  <si>
    <t>Terrains</t>
  </si>
  <si>
    <t>Routes et voies de communications</t>
  </si>
  <si>
    <t>Aménagements des cours d'eau</t>
  </si>
  <si>
    <t>Autres travaux et ouvrages de génie civil</t>
  </si>
  <si>
    <t>Bâtiments</t>
  </si>
  <si>
    <t>Forêts</t>
  </si>
  <si>
    <t>Biens mobiliers</t>
  </si>
  <si>
    <t>Autres immobilisation corporelles</t>
  </si>
  <si>
    <t>Immobilisations incorporelles</t>
  </si>
  <si>
    <t>Autres immobilisations incorporelles</t>
  </si>
  <si>
    <t>Confédération</t>
  </si>
  <si>
    <t>Cantons et concordats</t>
  </si>
  <si>
    <t>Communes et associations intercommunales</t>
  </si>
  <si>
    <t>Assurances sociales publiques</t>
  </si>
  <si>
    <t>Entreprises publiques</t>
  </si>
  <si>
    <t>Entreprises privées</t>
  </si>
  <si>
    <t>Organisations privées à but non lucratif</t>
  </si>
  <si>
    <t>Ménages privés</t>
  </si>
  <si>
    <t>Etrangers</t>
  </si>
  <si>
    <t>Propres suventions des investissements</t>
  </si>
  <si>
    <t>Subventions des investissements à redistribuer</t>
  </si>
  <si>
    <t>Investissements extraordinaires</t>
  </si>
  <si>
    <t>Subventions</t>
  </si>
  <si>
    <t>Autres investissements extraordinaires</t>
  </si>
  <si>
    <t>Report au bilan des recettes d'investissement</t>
  </si>
  <si>
    <t>Recettes des investissements</t>
  </si>
  <si>
    <t>Transferts d'immobilisation corporelles dans le patrimoine financier</t>
  </si>
  <si>
    <t>Remboursement de tiers</t>
  </si>
  <si>
    <t>Transferts d'immobilisation incorporelles dans le patrimoin financier</t>
  </si>
  <si>
    <t>Subventions acquiss des investissements</t>
  </si>
  <si>
    <t>Remboursement de prêts</t>
  </si>
  <si>
    <t>Transferts de participations et de capital social dans le PF</t>
  </si>
  <si>
    <t>Remboursements de propres subventions des investissements</t>
  </si>
  <si>
    <t>Recettes extraordinaires des investissements</t>
  </si>
  <si>
    <t>Subventions exraordinaires acquises des investissements</t>
  </si>
  <si>
    <t>Propres subventions des investissements</t>
  </si>
  <si>
    <t>Autres recettes extraordinaires des investissements</t>
  </si>
  <si>
    <t>Report au bilan des dépenses d'investissements</t>
  </si>
  <si>
    <t>Annexe aux comptes annuels H - Les indicateurs financiers</t>
  </si>
  <si>
    <t>I. Quotient d'endettement net</t>
  </si>
  <si>
    <t>Groupe</t>
  </si>
  <si>
    <t>Montant</t>
  </si>
  <si>
    <t>Endettement net</t>
  </si>
  <si>
    <t>Péréquation financière</t>
  </si>
  <si>
    <t>+/-</t>
  </si>
  <si>
    <t>4622/3622</t>
  </si>
  <si>
    <t>Compensation communes-centres</t>
  </si>
  <si>
    <t>Impôts directs PP et PM et péréquation financière</t>
  </si>
  <si>
    <t>Quotient d'endettement net</t>
  </si>
  <si>
    <t>(Endettement net / impôts directs PP et PM et PF*100)</t>
  </si>
  <si>
    <t>II. Degré d'autofinancement</t>
  </si>
  <si>
    <t>Résultat global du compte de résultat</t>
  </si>
  <si>
    <t>Réévaluation, prêts du patrimoine administratif</t>
  </si>
  <si>
    <t>Réévaluations, participations du patrimoine administratif</t>
  </si>
  <si>
    <t>Amortissements, subventions d'investissement</t>
  </si>
  <si>
    <t>Attributions aux captiaux propres</t>
  </si>
  <si>
    <t>Revalorisations PA</t>
  </si>
  <si>
    <t>Autofiancement</t>
  </si>
  <si>
    <t>Dépenses reportées au bilan</t>
  </si>
  <si>
    <t>Recettes reportées au bilan</t>
  </si>
  <si>
    <t>Degré d'autofiancement</t>
  </si>
  <si>
    <t>(Autofinancement/Investissements nets*100)</t>
  </si>
  <si>
    <t>III. Quotité de la charge des intérets</t>
  </si>
  <si>
    <t>Charge nette des intérêts</t>
  </si>
  <si>
    <t>Prélèvements sur la réserves liée à la réévaluation</t>
  </si>
  <si>
    <t>Revenus courants</t>
  </si>
  <si>
    <t>Quotité de la charge des intérêts</t>
  </si>
  <si>
    <t>(Charge nette des intérêts / revenus courants*100)</t>
  </si>
  <si>
    <t>IV. Dette brute par rapport aux revenus</t>
  </si>
  <si>
    <t>Dette brute</t>
  </si>
  <si>
    <t>Dette brute par rapports au revenus</t>
  </si>
  <si>
    <t>Dette brute/revenus courants*100)</t>
  </si>
  <si>
    <t>V. Quotité d'investissement</t>
  </si>
  <si>
    <r>
      <t>Investissements bruts (</t>
    </r>
    <r>
      <rPr>
        <b/>
        <sz val="9"/>
        <color theme="1"/>
        <rFont val="Calibri"/>
        <family val="2"/>
        <scheme val="minor"/>
      </rPr>
      <t>total des dépenses d'investissement</t>
    </r>
    <r>
      <rPr>
        <b/>
        <sz val="11"/>
        <color theme="1"/>
        <rFont val="Calibri"/>
        <family val="2"/>
        <scheme val="minor"/>
      </rPr>
      <t>)</t>
    </r>
  </si>
  <si>
    <t>Charges de biens et services et autres charges exploitation</t>
  </si>
  <si>
    <t>Réévaluations des prêts du PA</t>
  </si>
  <si>
    <t>Amortissements des subventions d'investissement</t>
  </si>
  <si>
    <t>Charges globales</t>
  </si>
  <si>
    <t>Quotité d'investissement</t>
  </si>
  <si>
    <t>(Investissements burts / charges globales*100)</t>
  </si>
  <si>
    <t>VI. Quotité de la charge fiancière</t>
  </si>
  <si>
    <t>Amortissement du patrimoine administratif</t>
  </si>
  <si>
    <t>Amortissement des subventions d'investissement</t>
  </si>
  <si>
    <t>Charge financière</t>
  </si>
  <si>
    <t>Quotité de la charge financière</t>
  </si>
  <si>
    <t>(charge financière / revenus courants*100)</t>
  </si>
  <si>
    <t>VII. Endettement net en francs par habitant</t>
  </si>
  <si>
    <t xml:space="preserve">Population </t>
  </si>
  <si>
    <t>Endettement net en francs par habitant</t>
  </si>
  <si>
    <t>(Endettement net / population)</t>
  </si>
  <si>
    <t>VIII. Quotité d'autofinancement (capacité)</t>
  </si>
  <si>
    <t>Autofinancement</t>
  </si>
  <si>
    <t>Quotité d'autofinancement (capacité)</t>
  </si>
  <si>
    <t>(Autofinancement/revenus courants*100)</t>
  </si>
  <si>
    <t>IX. Quotité de la charge des intérêts nets</t>
  </si>
  <si>
    <t>Gains réalisés PF</t>
  </si>
  <si>
    <t>Revenus de participations PF</t>
  </si>
  <si>
    <t>Revenus des biens fonds PF</t>
  </si>
  <si>
    <t>Réévaluations des immobilisation du PF</t>
  </si>
  <si>
    <t>Charges financières nettes</t>
  </si>
  <si>
    <t>Impôts sur le revenu des personnes physiques</t>
  </si>
  <si>
    <t>Impôts directs,personnes morales</t>
  </si>
  <si>
    <t>Revenus fiscaux (impôts directs)=</t>
  </si>
  <si>
    <t>Quotité de la charge des intérêts nets</t>
  </si>
  <si>
    <t>(Charges financières nettes / revenus fiscaux*100)</t>
  </si>
  <si>
    <t>X. Quotient excédent du bilan</t>
  </si>
  <si>
    <t>Excendent / Découvert du bilan</t>
  </si>
  <si>
    <t>Excédent / découvert au bilan</t>
  </si>
  <si>
    <t>Quotient de l'excédent du bilan</t>
  </si>
  <si>
    <t>(Excédent, découvert au bilan/impôts directs PP et PM et PF*100)</t>
  </si>
  <si>
    <t>RECAPITULATIF</t>
  </si>
  <si>
    <t>Endettement brut</t>
  </si>
  <si>
    <t>Degré d'autofinancement</t>
  </si>
  <si>
    <t>III. Quotité de la charge des intérêts</t>
  </si>
  <si>
    <t>IV. Dettes brutes par rapport aux revenus</t>
  </si>
  <si>
    <t>VI. Quotité de la charge financière</t>
  </si>
  <si>
    <t>X. Quotient de l'excédent du bilan</t>
  </si>
  <si>
    <t>Commune de :</t>
  </si>
  <si>
    <t>Excédent (+) / découvert (-)</t>
  </si>
  <si>
    <t>Réévaluations des immobilisation du patrimoine financier</t>
  </si>
  <si>
    <t>Produits</t>
  </si>
  <si>
    <t>Réévaluation des immobilisation du patrimoine financier</t>
  </si>
  <si>
    <t>Rééavaluation du patrimoine administratif</t>
  </si>
  <si>
    <t>Prélèvement sur la réserve liée de réévaluation</t>
  </si>
  <si>
    <t>Immobilisations incorporalles en cours de développement</t>
  </si>
  <si>
    <t>Immobilisations incorporelles du PA</t>
  </si>
  <si>
    <r>
      <t xml:space="preserve">Résultats cumulés (fortune nette ou </t>
    </r>
    <r>
      <rPr>
        <sz val="11"/>
        <color rgb="FFFF0000"/>
        <rFont val="Calibri"/>
        <family val="2"/>
        <scheme val="minor"/>
      </rPr>
      <t>découvert</t>
    </r>
    <r>
      <rPr>
        <sz val="11"/>
        <color theme="1"/>
        <rFont val="Calibri"/>
        <family val="2"/>
        <scheme val="minor"/>
      </rPr>
      <t>)</t>
    </r>
  </si>
  <si>
    <t>Allocations et indemnités</t>
  </si>
  <si>
    <r>
      <t xml:space="preserve">Endettement brut </t>
    </r>
    <r>
      <rPr>
        <sz val="9"/>
        <rFont val="Calibri"/>
        <family val="2"/>
        <scheme val="minor"/>
      </rPr>
      <t>(sans les financements spéciaux)</t>
    </r>
  </si>
  <si>
    <r>
      <t xml:space="preserve">Endettement net </t>
    </r>
    <r>
      <rPr>
        <sz val="9"/>
        <rFont val="Calibri"/>
        <family val="2"/>
        <scheme val="minor"/>
      </rPr>
      <t>(sans les financements spéciaux)</t>
    </r>
  </si>
  <si>
    <t>Résutlats des financements spéciaux</t>
  </si>
  <si>
    <t>Contrôle de la variation de fortune</t>
  </si>
  <si>
    <t>Contrôle général</t>
  </si>
  <si>
    <t>Réslutat final du compte de résultats global</t>
  </si>
  <si>
    <t>Résutlats annuel du compte de résultats général</t>
  </si>
  <si>
    <t>690-590</t>
  </si>
  <si>
    <t>Charges d'exploitation (30, 31, 33, 35, 36, 37)</t>
  </si>
  <si>
    <t>Revenus d'exploitation (40, 41, 42, 43, 45, 46, 47)</t>
  </si>
  <si>
    <t>Veuillez choisir votre commune ci-dessous</t>
  </si>
  <si>
    <t>Population</t>
  </si>
  <si>
    <t>Vue d'ensemble</t>
  </si>
  <si>
    <t>Vue d'ensemble par commune</t>
  </si>
  <si>
    <t>Autofinancement par commune</t>
  </si>
  <si>
    <t>Compte de résultat</t>
  </si>
  <si>
    <t>Compte de résultats par fonction</t>
  </si>
  <si>
    <t>Compte de résultats par fonction par commune</t>
  </si>
  <si>
    <t>Bilan</t>
  </si>
  <si>
    <t>Tableau de l'endettement</t>
  </si>
  <si>
    <t>Tableau de l'endettement par commune</t>
  </si>
  <si>
    <t>Sommaire</t>
  </si>
  <si>
    <t>Compte de résultats par nature par commune</t>
  </si>
  <si>
    <t>Compte de résultats pas nature en Fr. par habitant</t>
  </si>
  <si>
    <t>Investissements</t>
  </si>
  <si>
    <t>Bilan par commune</t>
  </si>
  <si>
    <t>Bilan de l'ensemble des communes</t>
  </si>
  <si>
    <t>Investissements de l'ensemble des communes</t>
  </si>
  <si>
    <t>Comptes des investissements</t>
  </si>
  <si>
    <t>Récapitulatif de l'ensemble des communes</t>
  </si>
  <si>
    <t>Récapitulatif par commune</t>
  </si>
  <si>
    <t>Quotité de la charge des intérêts et dette brute par rapport aux revenus</t>
  </si>
  <si>
    <t>Quotité d'investissement et quotité de la charge financière</t>
  </si>
  <si>
    <t xml:space="preserve">Quotité d'autofinancement et quotité de la charge des intérêts nets </t>
  </si>
  <si>
    <t>Quotient de l'excédent au bilan</t>
  </si>
  <si>
    <t>Quotient de l'endettement net et degré d'autofinancement</t>
  </si>
  <si>
    <t>Compte de résultats</t>
  </si>
  <si>
    <t>Compte de résultats en Fr. par habitant</t>
  </si>
  <si>
    <t>Résultats à 3 niveaux</t>
  </si>
  <si>
    <t>Résultats à 3 nivaux par commune</t>
  </si>
  <si>
    <t>Résultats à 3 niveaux par commune</t>
  </si>
  <si>
    <t>Compte de résultats fonctionnel par commune</t>
  </si>
  <si>
    <t>Endettement</t>
  </si>
  <si>
    <t>Dette brute par rapport aux revenus</t>
  </si>
  <si>
    <t>Quotités d'investissement et charges financière</t>
  </si>
  <si>
    <t>Quotité d''autofinancement</t>
  </si>
  <si>
    <t>Quotient excédent du bilan</t>
  </si>
  <si>
    <t>Récapitulatif</t>
  </si>
  <si>
    <t>Report au bilan des recettes</t>
  </si>
  <si>
    <t>Report au bilan des dépenses</t>
  </si>
  <si>
    <t>Communes :</t>
  </si>
  <si>
    <t>Commune :</t>
  </si>
  <si>
    <t>Endettement sans les financements spéciaux</t>
  </si>
  <si>
    <t>Endettement brut y compris les financements spéciaux</t>
  </si>
  <si>
    <t>Endettement net y compris les financements spéciaux</t>
  </si>
  <si>
    <t>Endettement brut sans les financements spéciaux</t>
  </si>
  <si>
    <t>Endettement net y sans les financements spéciaux</t>
  </si>
  <si>
    <t>Compte de résultats par nature en Fr. par habitant par commune</t>
  </si>
  <si>
    <t>Investissements par commune</t>
  </si>
  <si>
    <t>Compte de résultats en Fr. par commune</t>
  </si>
  <si>
    <t>Définition :</t>
  </si>
  <si>
    <t>Le quotient d'endettement net indique la part des revenus fiscaux (impôts directs des personnes physiques et des personnes morales) ainsi que des prestations de la péréquation financière qui serait nécessaire pour amortir la dette nette. Une valeur négative atteste de l'existence d'une fortune nette.</t>
  </si>
  <si>
    <t xml:space="preserve">Echelle : </t>
  </si>
  <si>
    <t>&lt; 0%</t>
  </si>
  <si>
    <t>Très faible endettement net</t>
  </si>
  <si>
    <t>1% à 50%</t>
  </si>
  <si>
    <t>Faible endettement net</t>
  </si>
  <si>
    <t>51% à 100%</t>
  </si>
  <si>
    <t>Endettement net moyen</t>
  </si>
  <si>
    <t>101% à 150%</t>
  </si>
  <si>
    <t>Endettement net élevé</t>
  </si>
  <si>
    <t>&gt; 150%</t>
  </si>
  <si>
    <t>Endettement net très élevé</t>
  </si>
  <si>
    <t>Le degré d'autofinancement détermine la part des revenus affectée au financement des investissements nouveaux. S'il est de supérieur à 100%, il permet le financement d'investissements ou conduit à un désendettement, tandis que s'il est inférieur à 100%, il entraîne un nouvel endettement ou emprunt. Cet indicateur peut considérablement varier d'une année à l'autre, en particulier dans les petites corporations dès lors qu'elles investissent à intervalles irréguliers. Il ne peut donc être apprécié que sur plusieurs années.</t>
  </si>
  <si>
    <t>Echelle :</t>
  </si>
  <si>
    <r>
      <rPr>
        <u/>
        <sz val="11"/>
        <color theme="1"/>
        <rFont val="Calibri"/>
        <family val="2"/>
        <scheme val="minor"/>
      </rPr>
      <t xml:space="preserve">&gt; </t>
    </r>
    <r>
      <rPr>
        <sz val="11"/>
        <color theme="1"/>
        <rFont val="Calibri"/>
        <family val="2"/>
        <scheme val="minor"/>
      </rPr>
      <t>100%</t>
    </r>
  </si>
  <si>
    <t>Idéal</t>
  </si>
  <si>
    <t>70% à 100%</t>
  </si>
  <si>
    <t>acceptable à bon</t>
  </si>
  <si>
    <t>&lt; 70%</t>
  </si>
  <si>
    <t>Problématique</t>
  </si>
  <si>
    <t>La quotité de la charge des intérêts indique la part des revenus qui est absorbée par les intérets nets. Plus elle est élevée et plus l'endettement est important. A l'inverse, moins elle est élevée et plus grande est la marge de  manœuvre financière de la collectivité. Une quotité de la charge des intérêts négative signifie que les revenus du patrimoine sont supérieurs au montant des intérêts de la dette.</t>
  </si>
  <si>
    <t>&lt; -1%</t>
  </si>
  <si>
    <t>Charge extrêmement faible</t>
  </si>
  <si>
    <t>-1% à 0%</t>
  </si>
  <si>
    <t>Charge très faible</t>
  </si>
  <si>
    <t>0% à 1%</t>
  </si>
  <si>
    <t>Charge faible</t>
  </si>
  <si>
    <t>1% à 2%</t>
  </si>
  <si>
    <t>Charge moyenne</t>
  </si>
  <si>
    <r>
      <rPr>
        <u/>
        <sz val="11"/>
        <color theme="1"/>
        <rFont val="Calibri"/>
        <family val="2"/>
        <scheme val="minor"/>
      </rPr>
      <t>&gt;</t>
    </r>
    <r>
      <rPr>
        <sz val="11"/>
        <color theme="1"/>
        <rFont val="Calibri"/>
        <family val="2"/>
        <scheme val="minor"/>
      </rPr>
      <t xml:space="preserve"> 2%</t>
    </r>
  </si>
  <si>
    <t>Charge élevée</t>
  </si>
  <si>
    <t>La dette brute par rapport aux revenus permet d'évaluer la situation d'endettement, et en particulier de déterminer si l'endettement est proportionné compte tenu des revenus obtenus. Cet indicateur renseigne sur le pourcentage des revenus qui est nécessaire au remboursement de la dette brute en une seule fois.</t>
  </si>
  <si>
    <r>
      <rPr>
        <u/>
        <sz val="11"/>
        <color theme="1"/>
        <rFont val="Calibri"/>
        <family val="2"/>
        <scheme val="minor"/>
      </rPr>
      <t xml:space="preserve">&lt; </t>
    </r>
    <r>
      <rPr>
        <sz val="11"/>
        <color theme="1"/>
        <rFont val="Calibri"/>
        <family val="2"/>
        <scheme val="minor"/>
      </rPr>
      <t>50%</t>
    </r>
  </si>
  <si>
    <t>Très bon</t>
  </si>
  <si>
    <t>50,1% à 100%</t>
  </si>
  <si>
    <t>Bon</t>
  </si>
  <si>
    <t>100,1% à 150%</t>
  </si>
  <si>
    <t>Moyen</t>
  </si>
  <si>
    <t>150,1% à 200%</t>
  </si>
  <si>
    <t>Mauvais</t>
  </si>
  <si>
    <t>&gt; 200%</t>
  </si>
  <si>
    <t>Critique</t>
  </si>
  <si>
    <t>La quotité d'investissement renseigne sur le rapport entre les activitéss d'investissement et les charges annuelles globales. Cet indicateur ne permet toutefois pas à lui seul de tirer des conclusions sur la situation financière de la commune.</t>
  </si>
  <si>
    <r>
      <rPr>
        <u/>
        <sz val="11"/>
        <color theme="1"/>
        <rFont val="Calibri"/>
        <family val="2"/>
        <scheme val="minor"/>
      </rPr>
      <t xml:space="preserve">&lt; </t>
    </r>
    <r>
      <rPr>
        <sz val="11"/>
        <color theme="1"/>
        <rFont val="Calibri"/>
        <family val="2"/>
        <scheme val="minor"/>
      </rPr>
      <t>10%</t>
    </r>
  </si>
  <si>
    <t>Peu important</t>
  </si>
  <si>
    <t>10,1% à 20%</t>
  </si>
  <si>
    <t>Importance moyenne</t>
  </si>
  <si>
    <t>20,1% à 30%</t>
  </si>
  <si>
    <t>Importantes</t>
  </si>
  <si>
    <t>&gt; 30%</t>
  </si>
  <si>
    <t>Très importante</t>
  </si>
  <si>
    <t>La quotité de la charge financière indique l'incidence des frais financiers sur le budget. On entend par charge financière la somme des intérêts nets, des amortissements et des réévaluations. Cet indicateur permet de constater dans quelle mesure les revenus courants sont absorbés par le service de la dette et les amortissements planifiés. Une hausse de ce taux équivaut à une réduction de la marge budgétaire.</t>
  </si>
  <si>
    <t>&lt; 5%</t>
  </si>
  <si>
    <t>Faible charge</t>
  </si>
  <si>
    <t>5% à 15%</t>
  </si>
  <si>
    <t>Charge supportable</t>
  </si>
  <si>
    <t>15% à 25%</t>
  </si>
  <si>
    <t>Charge élevée à très élevée</t>
  </si>
  <si>
    <t>&gt; 25%</t>
  </si>
  <si>
    <t>Charge à peine supportable</t>
  </si>
  <si>
    <t>L'endettement net en francs par habitant sert à mesurer l'importance de la dette et doit être apprécié en même temps que la capacité financière de la commune (quotité d'autofinancement). Une valeur négative reflète l'existence d'une fortune nette par habitant.</t>
  </si>
  <si>
    <t>&lt; 0</t>
  </si>
  <si>
    <t>Fortune nette</t>
  </si>
  <si>
    <t>0 à 1'000</t>
  </si>
  <si>
    <t xml:space="preserve">Endettement faible </t>
  </si>
  <si>
    <t xml:space="preserve">1'001 à 3'000 </t>
  </si>
  <si>
    <t>Endettement moyen</t>
  </si>
  <si>
    <t>3'001 à 5'000</t>
  </si>
  <si>
    <t>Endettement haut</t>
  </si>
  <si>
    <t>&gt; 5'000</t>
  </si>
  <si>
    <t>Endettement critique</t>
  </si>
  <si>
    <t>VIII. Quotité d'autofinancement (capacité d'autofinancement)</t>
  </si>
  <si>
    <t>La quotité d'autofinancement, également appelée capacité d'autofinancement, reflète la capacité d'une commune ainsi que sa marge de manœuvre budgétaire. Cet indicateur renseigne sur la part des revenus pouvant être affectée au financement d'investissements ou au désendettement.</t>
  </si>
  <si>
    <t>&gt; 20 %</t>
  </si>
  <si>
    <t>Bonne</t>
  </si>
  <si>
    <t>10% à 20%</t>
  </si>
  <si>
    <t>Moyenne</t>
  </si>
  <si>
    <t>&lt; 10%</t>
  </si>
  <si>
    <t>Faible</t>
  </si>
  <si>
    <t>La quotité de la charge des intérêts indique la part de revenus qui est absorbée par les intérêts nets. Plus elle est élevée et plus l'endettement est important. A l'inverse, moins elle est élevée et plus grande est la marge de manœuvre financière de la collectivité. Une quotité de la charge des intérêts négative signifie que les revenus du patrimoine sont supérieurs au montant des intérêts de la dette. Cet indicateur reflète donc la situation financière de la commune.</t>
  </si>
  <si>
    <t>&lt; 2%</t>
  </si>
  <si>
    <t>2% à 5%</t>
  </si>
  <si>
    <t>5% à 8%</t>
  </si>
  <si>
    <t>Forte</t>
  </si>
  <si>
    <t>&gt; 8%</t>
  </si>
  <si>
    <t>Très forte</t>
  </si>
  <si>
    <t>X. Quotient de l'excédent au bilan</t>
  </si>
  <si>
    <t>Le quotient de l'excédent du bilan est en quelque sorte le thermomètre renseignant sur l'état de santé des capitaux propres. Une valeur négative signifie un découvert au bilan. L'évolution de cet indicateur doit être observée sur plusieurs années.</t>
  </si>
  <si>
    <r>
      <rPr>
        <u/>
        <sz val="11"/>
        <color theme="1"/>
        <rFont val="Calibri"/>
        <family val="2"/>
        <scheme val="minor"/>
      </rPr>
      <t>&gt;</t>
    </r>
    <r>
      <rPr>
        <sz val="11"/>
        <color theme="1"/>
        <rFont val="Calibri"/>
        <family val="2"/>
        <scheme val="minor"/>
      </rPr>
      <t xml:space="preserve"> 60&amp;</t>
    </r>
  </si>
  <si>
    <t>Elevé</t>
  </si>
  <si>
    <t>30% à 60%</t>
  </si>
  <si>
    <t>&lt; 30%</t>
  </si>
  <si>
    <t>Endettement par commune</t>
  </si>
  <si>
    <t>Tableau du bilan</t>
  </si>
  <si>
    <t>Définition des indicateurs financiers</t>
  </si>
  <si>
    <t>Ne pas effectuer de tri avec cette feuille, c'est la base de donnée.</t>
  </si>
  <si>
    <t>Résultat du financement (autofinancement) par commune</t>
  </si>
  <si>
    <t>Récapitulation générale ( - = excédent de revenus )</t>
  </si>
  <si>
    <t>Subventions acquis des investissements</t>
  </si>
  <si>
    <t>Commune de : Ensemble des communes jurassiennes</t>
  </si>
  <si>
    <t>Taxe des chiens</t>
  </si>
  <si>
    <t>Bourgeoisies</t>
  </si>
  <si>
    <t>Syndicats</t>
  </si>
  <si>
    <t>Syndicat :</t>
  </si>
  <si>
    <t>Bourgeoisie :</t>
  </si>
  <si>
    <t>Corban</t>
  </si>
  <si>
    <t>Montavon</t>
  </si>
  <si>
    <t>Les Riedes-Dessus</t>
  </si>
  <si>
    <t>Sceut</t>
  </si>
  <si>
    <t>Undervelier</t>
  </si>
  <si>
    <t>2ème section Les Bois</t>
  </si>
  <si>
    <t>Ensemble des Bourgeoisies</t>
  </si>
  <si>
    <t>Ensemble des bourgeoisies</t>
  </si>
  <si>
    <t>Veuillez choisir votre bourgeoisie ci-dessous</t>
  </si>
  <si>
    <t>Clôture du compte de résutlats global par commune (90)</t>
  </si>
  <si>
    <t>Compte 90</t>
  </si>
  <si>
    <t>Compte 90 par hab.</t>
  </si>
  <si>
    <t>30 Charges du personnel</t>
  </si>
  <si>
    <t>31 Charges de biens et de services et autres charges d'exploitation</t>
  </si>
  <si>
    <t>33 Amortissements du patrimoine administratif</t>
  </si>
  <si>
    <t>34 Charges financières</t>
  </si>
  <si>
    <t>35 Attributions aux financements spéciaux des capitaux de tiers</t>
  </si>
  <si>
    <t>36 Charges de transferts</t>
  </si>
  <si>
    <t>37 Subventions à redistribuer</t>
  </si>
  <si>
    <t>38 Charges extraordinaires</t>
  </si>
  <si>
    <t>39 Imputations internes</t>
  </si>
  <si>
    <t>40 Revenus fiscaux</t>
  </si>
  <si>
    <t>41 Revenus de patentes et de concessions</t>
  </si>
  <si>
    <t>42 Taxes</t>
  </si>
  <si>
    <t>43 Revenus divers</t>
  </si>
  <si>
    <t>44 Revenus financiers</t>
  </si>
  <si>
    <t>45 Prélèvements sur les financements spéciaux</t>
  </si>
  <si>
    <t>46 Revenus de transfert</t>
  </si>
  <si>
    <t>47 Subventions à redistribuer</t>
  </si>
  <si>
    <t>48 Revenus extraordinaires</t>
  </si>
  <si>
    <t>49 Imputations internes</t>
  </si>
  <si>
    <t>0 Administration générale</t>
  </si>
  <si>
    <t>1 Ordre et sécurité publics - Défense</t>
  </si>
  <si>
    <t>2 Formation</t>
  </si>
  <si>
    <t>3 Culture - Sports - Loisirs - Eglises</t>
  </si>
  <si>
    <t>4 Santé</t>
  </si>
  <si>
    <t>5 Prévoyance sociale</t>
  </si>
  <si>
    <t>6 Traffic - Transports - Télécommunications</t>
  </si>
  <si>
    <t>7 Protection de l'environnement - Aménagement du territoire</t>
  </si>
  <si>
    <t>8 Economie publique</t>
  </si>
  <si>
    <t>9 Finances - Impôts</t>
  </si>
  <si>
    <t>Clôture globale</t>
  </si>
  <si>
    <t>Brut</t>
  </si>
  <si>
    <t>Net</t>
  </si>
  <si>
    <t>Brut par habitant</t>
  </si>
  <si>
    <t>Net par habitant</t>
  </si>
  <si>
    <t>Comptes consolidés de l'ensemble des communes et par district</t>
  </si>
  <si>
    <t>Veuillez cliquer sur la cellule ci-dessous pour choisir la commune :</t>
  </si>
  <si>
    <t>Clôture du compte global</t>
  </si>
  <si>
    <t>Clôture du compte de résultats (global)</t>
  </si>
  <si>
    <t>Résultat du financement (autofinancement) par bourgeoisie</t>
  </si>
  <si>
    <t>ESVT</t>
  </si>
  <si>
    <t>SEDE</t>
  </si>
  <si>
    <t>Sépulture Courren</t>
  </si>
  <si>
    <t>SEOD</t>
  </si>
  <si>
    <t>ZAM</t>
  </si>
  <si>
    <t>ESHS</t>
  </si>
  <si>
    <t>Collège Delémont</t>
  </si>
  <si>
    <t>Collège Courren.</t>
  </si>
  <si>
    <t>Agglo.</t>
  </si>
  <si>
    <t>SEF</t>
  </si>
  <si>
    <t>Sépult. Breuleux</t>
  </si>
  <si>
    <t>Sépult. Montfaucon</t>
  </si>
  <si>
    <t>Sépulture Saigne.</t>
  </si>
  <si>
    <t>Sépulture Saint-Brais</t>
  </si>
  <si>
    <t>SCFM</t>
  </si>
  <si>
    <t>GLM</t>
  </si>
  <si>
    <t>Ecole Les Bois</t>
  </si>
  <si>
    <t>Ecole FM</t>
  </si>
  <si>
    <t>SEHA</t>
  </si>
  <si>
    <t>SIDP</t>
  </si>
  <si>
    <t>SEV</t>
  </si>
  <si>
    <t>SEPE</t>
  </si>
  <si>
    <t>SEVEBO</t>
  </si>
  <si>
    <t>SEBA</t>
  </si>
  <si>
    <t>Ecole Ajoie</t>
  </si>
  <si>
    <t>SECO</t>
  </si>
  <si>
    <t>Ensemble des syndicats</t>
  </si>
  <si>
    <t>Veuillez choisir votre syndicat ci-dessous</t>
  </si>
  <si>
    <t>Syndicat</t>
  </si>
  <si>
    <t>Eaux Val Terbi</t>
  </si>
  <si>
    <t>Créances résultant de livraison et de prestations envers des tiers</t>
  </si>
  <si>
    <t>Résultats des financements spéciaux</t>
  </si>
  <si>
    <t>Résultats annuel du compte de résultats général</t>
  </si>
  <si>
    <t>Résultat final du compte de résultats global</t>
  </si>
  <si>
    <t>Rapport sur les finances communales - exercice 2021</t>
  </si>
  <si>
    <t>Ok, contrôlé le 28.02.2023</t>
  </si>
  <si>
    <t>Comptes de résultats par natures 2021</t>
  </si>
  <si>
    <t>Comptes de résultats par natures 2021 en Fr. par habitant</t>
  </si>
  <si>
    <t>Vue d'ensemble 2021</t>
  </si>
  <si>
    <t>comptes 2021</t>
  </si>
  <si>
    <t>Vue d'ensemble 2021 par commune</t>
  </si>
  <si>
    <t>Comptes de résultats par natures à trois niveaux 2021</t>
  </si>
  <si>
    <t>Comptes 2021 à trois niveaux</t>
  </si>
  <si>
    <t>Autofinancement 2021</t>
  </si>
  <si>
    <t>Comptes de résultats par fonction 2021</t>
  </si>
  <si>
    <t>Comptes de résultats par fonction 2021 par commune</t>
  </si>
  <si>
    <t>Comptes de résultats par fonctions 2021</t>
  </si>
  <si>
    <t>Bilan 2021</t>
  </si>
  <si>
    <t>Bilan 2021 par commune</t>
  </si>
  <si>
    <t>Tableau de l'endettement 2021</t>
  </si>
  <si>
    <t>Tableau de l'endettement 2021 par commune</t>
  </si>
  <si>
    <t>Comptes des investissements 2021</t>
  </si>
  <si>
    <t>Comptes des investissements 2021 par commune</t>
  </si>
  <si>
    <t>Exercice 2021</t>
  </si>
  <si>
    <t>Annexe aux comptes annuels H - Les indicateurs financiers 2021</t>
  </si>
  <si>
    <t>Vue d'ensemble 2021 par bourgeoisie</t>
  </si>
  <si>
    <t>Bilan 2021 par bourgeoisie</t>
  </si>
  <si>
    <t>Tableau de l'endettement 2021 par Bourgeoisie</t>
  </si>
  <si>
    <t>Comptes des investissements 2021 par bourgeoisie</t>
  </si>
  <si>
    <t>Vue d'ensemble 2021 par syndicat</t>
  </si>
  <si>
    <t>Bilan 2021 par syndicat</t>
  </si>
  <si>
    <t>Tableau de l'endettement 2021 par syndicat</t>
  </si>
  <si>
    <t>ct</t>
  </si>
  <si>
    <t>Comptes consolidés total et par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</si>
</sst>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Red]\-#,##0.00\ "/>
    <numFmt numFmtId="165" formatCode="dd/mm/yyyy;@"/>
  </numFmts>
  <fonts count="33" x14ac:knownFonts="1">
    <font>
      <sz val="11"/>
      <color theme="1"/>
      <name val="Calibri"/>
      <family val="2"/>
      <scheme val="minor"/>
    </font>
    <font>
      <b/>
      <sz val="11"/>
      <color theme="1"/>
      <name val="Calibri"/>
      <family val="2"/>
      <scheme val="minor"/>
    </font>
    <font>
      <b/>
      <sz val="10"/>
      <name val="Arial"/>
      <family val="2"/>
    </font>
    <font>
      <sz val="10"/>
      <color indexed="10"/>
      <name val="Arial"/>
      <family val="2"/>
    </font>
    <font>
      <u/>
      <sz val="11"/>
      <color theme="1"/>
      <name val="Calibri"/>
      <family val="2"/>
      <scheme val="minor"/>
    </font>
    <font>
      <b/>
      <sz val="11"/>
      <color rgb="FFFF0000"/>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
      <sz val="10"/>
      <color theme="4" tint="-0.499984740745262"/>
      <name val="Calibri"/>
      <family val="2"/>
      <scheme val="minor"/>
    </font>
    <font>
      <sz val="10"/>
      <color theme="7" tint="-0.249977111117893"/>
      <name val="Calibri"/>
      <family val="2"/>
      <scheme val="minor"/>
    </font>
    <font>
      <sz val="10"/>
      <color theme="8" tint="-0.249977111117893"/>
      <name val="Calibri"/>
      <family val="2"/>
      <scheme val="minor"/>
    </font>
    <font>
      <sz val="10"/>
      <color theme="7" tint="-0.499984740745262"/>
      <name val="Calibri"/>
      <family val="2"/>
      <scheme val="minor"/>
    </font>
    <font>
      <b/>
      <sz val="16"/>
      <color theme="1"/>
      <name val="Calibri"/>
      <family val="2"/>
      <scheme val="minor"/>
    </font>
    <font>
      <b/>
      <sz val="20"/>
      <color theme="1"/>
      <name val="Calibri"/>
      <family val="2"/>
      <scheme val="minor"/>
    </font>
    <font>
      <sz val="10"/>
      <color rgb="FF00B050"/>
      <name val="Calibri"/>
      <family val="2"/>
      <scheme val="minor"/>
    </font>
    <font>
      <sz val="10"/>
      <color theme="4"/>
      <name val="Calibri"/>
      <family val="2"/>
      <scheme val="minor"/>
    </font>
    <font>
      <sz val="11"/>
      <name val="Calibri"/>
      <family val="2"/>
      <scheme val="minor"/>
    </font>
    <font>
      <sz val="8"/>
      <color theme="1"/>
      <name val="Calibri"/>
      <family val="2"/>
      <scheme val="minor"/>
    </font>
    <font>
      <sz val="16"/>
      <color theme="1"/>
      <name val="Calibri"/>
      <family val="2"/>
      <scheme val="minor"/>
    </font>
    <font>
      <b/>
      <sz val="12"/>
      <color theme="1"/>
      <name val="Calibri"/>
      <family val="2"/>
      <scheme val="minor"/>
    </font>
    <font>
      <b/>
      <sz val="14"/>
      <color theme="1"/>
      <name val="Calibri"/>
      <family val="2"/>
      <scheme val="minor"/>
    </font>
    <font>
      <b/>
      <sz val="9"/>
      <color theme="1"/>
      <name val="Calibri"/>
      <family val="2"/>
      <scheme val="minor"/>
    </font>
    <font>
      <sz val="9"/>
      <name val="Calibri"/>
      <family val="2"/>
      <scheme val="minor"/>
    </font>
    <font>
      <u/>
      <sz val="11"/>
      <color theme="10"/>
      <name val="Calibri"/>
      <family val="2"/>
      <scheme val="minor"/>
    </font>
    <font>
      <u/>
      <sz val="11"/>
      <name val="Calibri"/>
      <family val="2"/>
      <scheme val="minor"/>
    </font>
    <font>
      <sz val="12"/>
      <color theme="1"/>
      <name val="Calibri"/>
      <family val="2"/>
      <scheme val="minor"/>
    </font>
    <font>
      <b/>
      <u/>
      <sz val="11"/>
      <color theme="1"/>
      <name val="Calibri"/>
      <family val="2"/>
      <scheme val="minor"/>
    </font>
    <font>
      <sz val="10"/>
      <name val="Calibri"/>
      <family val="2"/>
      <scheme val="minor"/>
    </font>
    <font>
      <b/>
      <sz val="18"/>
      <color theme="1"/>
      <name val="Calibri"/>
      <family val="2"/>
      <scheme val="minor"/>
    </font>
    <font>
      <sz val="9"/>
      <color rgb="FFFF0000"/>
      <name val="Calibri"/>
      <family val="2"/>
      <scheme val="minor"/>
    </font>
    <font>
      <b/>
      <sz val="10"/>
      <name val="Calibri"/>
      <family val="2"/>
      <scheme val="minor"/>
    </font>
  </fonts>
  <fills count="23">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rgb="FFFF66CC"/>
        <bgColor indexed="64"/>
      </patternFill>
    </fill>
    <fill>
      <patternFill patternType="solid">
        <fgColor theme="4" tint="0.39997558519241921"/>
        <bgColor indexed="64"/>
      </patternFill>
    </fill>
    <fill>
      <patternFill patternType="solid">
        <fgColor rgb="FF7030A0"/>
        <bgColor indexed="64"/>
      </patternFill>
    </fill>
    <fill>
      <patternFill patternType="solid">
        <fgColor rgb="FFC0000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s>
  <borders count="12">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5" fillId="0" borderId="0" applyNumberFormat="0" applyFill="0" applyBorder="0" applyAlignment="0" applyProtection="0"/>
  </cellStyleXfs>
  <cellXfs count="190">
    <xf numFmtId="0" fontId="0" fillId="0" borderId="0" xfId="0"/>
    <xf numFmtId="3" fontId="0" fillId="0" borderId="0" xfId="0" applyNumberFormat="1"/>
    <xf numFmtId="3" fontId="2" fillId="0" borderId="0" xfId="0" applyNumberFormat="1" applyFont="1"/>
    <xf numFmtId="0" fontId="0" fillId="0" borderId="0" xfId="0" applyAlignment="1">
      <alignment horizontal="right"/>
    </xf>
    <xf numFmtId="4" fontId="0" fillId="0" borderId="0" xfId="0" applyNumberFormat="1"/>
    <xf numFmtId="3" fontId="3" fillId="0" borderId="0" xfId="0" applyNumberFormat="1" applyFont="1"/>
    <xf numFmtId="2" fontId="0" fillId="0" borderId="0" xfId="0" applyNumberFormat="1"/>
    <xf numFmtId="0" fontId="1" fillId="0" borderId="0" xfId="0" applyFont="1"/>
    <xf numFmtId="3" fontId="4" fillId="0" borderId="0" xfId="0" applyNumberFormat="1" applyFont="1"/>
    <xf numFmtId="3" fontId="1" fillId="0" borderId="0" xfId="0" applyNumberFormat="1" applyFont="1"/>
    <xf numFmtId="0" fontId="7" fillId="0" borderId="0" xfId="0" applyFont="1"/>
    <xf numFmtId="3" fontId="7" fillId="0" borderId="0" xfId="0" applyNumberFormat="1" applyFont="1"/>
    <xf numFmtId="0" fontId="8" fillId="0" borderId="0" xfId="0" applyFont="1" applyAlignment="1">
      <alignment horizontal="center"/>
    </xf>
    <xf numFmtId="3" fontId="7" fillId="0" borderId="1" xfId="0" applyNumberFormat="1" applyFont="1" applyBorder="1"/>
    <xf numFmtId="3" fontId="5" fillId="0" borderId="0" xfId="0" applyNumberFormat="1" applyFont="1"/>
    <xf numFmtId="3" fontId="9" fillId="0" borderId="0" xfId="0" applyNumberFormat="1" applyFont="1"/>
    <xf numFmtId="0" fontId="9" fillId="0" borderId="0" xfId="0" applyFont="1"/>
    <xf numFmtId="0" fontId="8" fillId="0" borderId="0" xfId="0" applyFont="1"/>
    <xf numFmtId="3" fontId="8" fillId="0" borderId="0" xfId="0" applyNumberFormat="1" applyFont="1"/>
    <xf numFmtId="0" fontId="10" fillId="0" borderId="0" xfId="0" applyFont="1"/>
    <xf numFmtId="3" fontId="10" fillId="0" borderId="0" xfId="0" applyNumberFormat="1" applyFont="1"/>
    <xf numFmtId="0" fontId="11" fillId="0" borderId="0" xfId="0" applyFont="1"/>
    <xf numFmtId="3" fontId="11" fillId="0" borderId="0" xfId="0" applyNumberFormat="1" applyFont="1"/>
    <xf numFmtId="0" fontId="12" fillId="0" borderId="0" xfId="0" applyFont="1"/>
    <xf numFmtId="3" fontId="12" fillId="0" borderId="0" xfId="0" applyNumberFormat="1" applyFont="1"/>
    <xf numFmtId="3" fontId="9" fillId="0" borderId="1" xfId="0" applyNumberFormat="1" applyFont="1" applyBorder="1"/>
    <xf numFmtId="0" fontId="13" fillId="0" borderId="0" xfId="0" applyFont="1"/>
    <xf numFmtId="3" fontId="13" fillId="0" borderId="0" xfId="0" applyNumberFormat="1" applyFont="1"/>
    <xf numFmtId="4" fontId="0" fillId="0" borderId="0" xfId="0" applyNumberFormat="1" applyAlignment="1">
      <alignment horizontal="right"/>
    </xf>
    <xf numFmtId="2" fontId="0" fillId="0" borderId="0" xfId="0" applyNumberFormat="1" applyAlignment="1">
      <alignment horizontal="right"/>
    </xf>
    <xf numFmtId="4" fontId="6" fillId="0" borderId="0" xfId="0" applyNumberFormat="1" applyFont="1"/>
    <xf numFmtId="4" fontId="1" fillId="0" borderId="0" xfId="0" applyNumberFormat="1" applyFont="1"/>
    <xf numFmtId="0" fontId="15" fillId="0" borderId="0" xfId="0" applyFont="1"/>
    <xf numFmtId="0" fontId="12" fillId="0" borderId="0" xfId="0" applyFont="1" applyAlignment="1">
      <alignment horizontal="center"/>
    </xf>
    <xf numFmtId="0" fontId="11" fillId="0" borderId="0" xfId="0" applyFont="1" applyAlignment="1">
      <alignment horizontal="center"/>
    </xf>
    <xf numFmtId="0" fontId="9"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5" fillId="0" borderId="0" xfId="0" applyFont="1" applyAlignment="1">
      <alignment horizontal="center"/>
    </xf>
    <xf numFmtId="0" fontId="1" fillId="2" borderId="5" xfId="0" applyFont="1" applyFill="1" applyBorder="1" applyAlignment="1">
      <alignment horizontal="center"/>
    </xf>
    <xf numFmtId="0" fontId="0" fillId="0" borderId="5" xfId="0" applyBorder="1" applyAlignment="1">
      <alignment horizontal="right"/>
    </xf>
    <xf numFmtId="0" fontId="0" fillId="0" borderId="5" xfId="0" applyBorder="1"/>
    <xf numFmtId="0" fontId="0" fillId="2" borderId="5" xfId="0" applyFill="1" applyBorder="1"/>
    <xf numFmtId="0" fontId="1" fillId="2" borderId="5" xfId="0" applyFont="1" applyFill="1" applyBorder="1"/>
    <xf numFmtId="4" fontId="0" fillId="0" borderId="5" xfId="0" applyNumberFormat="1" applyBorder="1"/>
    <xf numFmtId="3" fontId="7" fillId="0" borderId="0" xfId="0" applyNumberFormat="1" applyFont="1" applyAlignment="1">
      <alignment horizontal="center"/>
    </xf>
    <xf numFmtId="0" fontId="0" fillId="0" borderId="5" xfId="0" applyBorder="1" applyAlignment="1">
      <alignment horizontal="center"/>
    </xf>
    <xf numFmtId="49" fontId="0" fillId="0" borderId="5" xfId="0" applyNumberFormat="1" applyBorder="1" applyAlignment="1">
      <alignment horizontal="center"/>
    </xf>
    <xf numFmtId="0" fontId="6" fillId="0" borderId="0" xfId="0" applyFont="1" applyAlignment="1">
      <alignment horizontal="center"/>
    </xf>
    <xf numFmtId="164" fontId="18" fillId="0" borderId="0" xfId="0" applyNumberFormat="1" applyFont="1"/>
    <xf numFmtId="164" fontId="1" fillId="2" borderId="5" xfId="0" applyNumberFormat="1" applyFont="1" applyFill="1" applyBorder="1"/>
    <xf numFmtId="0" fontId="20" fillId="0" borderId="0" xfId="0" applyFont="1"/>
    <xf numFmtId="49" fontId="1" fillId="0" borderId="0" xfId="0" applyNumberFormat="1" applyFont="1" applyAlignment="1">
      <alignment horizontal="center"/>
    </xf>
    <xf numFmtId="0" fontId="1" fillId="0" borderId="0" xfId="0" applyFont="1" applyAlignment="1">
      <alignment horizontal="center"/>
    </xf>
    <xf numFmtId="0" fontId="20" fillId="0" borderId="0" xfId="0" applyFont="1" applyAlignment="1">
      <alignment horizontal="center"/>
    </xf>
    <xf numFmtId="49" fontId="1" fillId="2" borderId="0" xfId="0" applyNumberFormat="1" applyFont="1" applyFill="1" applyAlignment="1">
      <alignment horizontal="center"/>
    </xf>
    <xf numFmtId="0" fontId="1" fillId="2" borderId="0" xfId="0" applyFont="1" applyFill="1"/>
    <xf numFmtId="4" fontId="1" fillId="2" borderId="0" xfId="0" applyNumberFormat="1" applyFont="1" applyFill="1"/>
    <xf numFmtId="0" fontId="1" fillId="2" borderId="0" xfId="0" applyFont="1" applyFill="1" applyAlignment="1">
      <alignment horizontal="center"/>
    </xf>
    <xf numFmtId="0" fontId="14" fillId="5" borderId="0" xfId="0" applyFont="1" applyFill="1"/>
    <xf numFmtId="0" fontId="1" fillId="6" borderId="0" xfId="0" applyFont="1" applyFill="1"/>
    <xf numFmtId="4" fontId="1" fillId="6" borderId="0" xfId="0" applyNumberFormat="1" applyFont="1" applyFill="1"/>
    <xf numFmtId="0" fontId="1" fillId="7" borderId="0" xfId="0" applyFont="1" applyFill="1"/>
    <xf numFmtId="4" fontId="1" fillId="7" borderId="0" xfId="0" applyNumberFormat="1" applyFont="1" applyFill="1"/>
    <xf numFmtId="0" fontId="14" fillId="8" borderId="0" xfId="0" applyFont="1" applyFill="1"/>
    <xf numFmtId="4" fontId="1" fillId="8" borderId="0" xfId="0" applyNumberFormat="1" applyFont="1" applyFill="1"/>
    <xf numFmtId="0" fontId="1" fillId="4" borderId="0" xfId="0" applyFont="1" applyFill="1"/>
    <xf numFmtId="4" fontId="1" fillId="4" borderId="0" xfId="0" applyNumberFormat="1" applyFont="1" applyFill="1"/>
    <xf numFmtId="0" fontId="1" fillId="9" borderId="0" xfId="0" applyFont="1" applyFill="1"/>
    <xf numFmtId="4" fontId="1" fillId="9" borderId="0" xfId="0" applyNumberFormat="1" applyFont="1" applyFill="1"/>
    <xf numFmtId="4" fontId="21" fillId="5" borderId="0" xfId="0" applyNumberFormat="1" applyFont="1" applyFill="1"/>
    <xf numFmtId="4" fontId="21" fillId="8" borderId="0" xfId="0" applyNumberFormat="1" applyFont="1" applyFill="1"/>
    <xf numFmtId="4" fontId="0" fillId="2" borderId="0" xfId="0" applyNumberFormat="1" applyFill="1"/>
    <xf numFmtId="4" fontId="1" fillId="10" borderId="0" xfId="0" applyNumberFormat="1" applyFont="1" applyFill="1"/>
    <xf numFmtId="0" fontId="14" fillId="11" borderId="0" xfId="0" applyFont="1" applyFill="1"/>
    <xf numFmtId="4" fontId="1" fillId="11" borderId="0" xfId="0" applyNumberFormat="1" applyFont="1" applyFill="1"/>
    <xf numFmtId="0" fontId="1" fillId="12" borderId="0" xfId="0" applyFont="1" applyFill="1"/>
    <xf numFmtId="4" fontId="1" fillId="12" borderId="0" xfId="0" applyNumberFormat="1" applyFont="1" applyFill="1"/>
    <xf numFmtId="0" fontId="1" fillId="10" borderId="0" xfId="0" applyFont="1" applyFill="1"/>
    <xf numFmtId="4" fontId="1" fillId="13" borderId="0" xfId="0" applyNumberFormat="1" applyFont="1" applyFill="1"/>
    <xf numFmtId="0" fontId="14" fillId="13" borderId="0" xfId="0" applyFont="1" applyFill="1"/>
    <xf numFmtId="0" fontId="1" fillId="3" borderId="0" xfId="0" applyFont="1" applyFill="1"/>
    <xf numFmtId="4" fontId="1" fillId="3" borderId="0" xfId="0" applyNumberFormat="1" applyFont="1" applyFill="1"/>
    <xf numFmtId="164" fontId="0" fillId="0" borderId="0" xfId="0" applyNumberFormat="1"/>
    <xf numFmtId="0" fontId="14" fillId="3" borderId="0" xfId="0" applyFont="1" applyFill="1"/>
    <xf numFmtId="4" fontId="1" fillId="14" borderId="0" xfId="0" applyNumberFormat="1" applyFont="1" applyFill="1"/>
    <xf numFmtId="0" fontId="14" fillId="12" borderId="0" xfId="0" applyFont="1" applyFill="1"/>
    <xf numFmtId="0" fontId="1" fillId="14" borderId="0" xfId="0" applyFont="1" applyFill="1"/>
    <xf numFmtId="0" fontId="1" fillId="15" borderId="0" xfId="0" applyFont="1" applyFill="1"/>
    <xf numFmtId="4" fontId="0" fillId="15" borderId="0" xfId="0" applyNumberFormat="1" applyFill="1"/>
    <xf numFmtId="4" fontId="1" fillId="15" borderId="0" xfId="0" applyNumberFormat="1" applyFont="1" applyFill="1"/>
    <xf numFmtId="164" fontId="1" fillId="15" borderId="0" xfId="0" applyNumberFormat="1" applyFont="1" applyFill="1"/>
    <xf numFmtId="49" fontId="0" fillId="0" borderId="0" xfId="0" applyNumberFormat="1"/>
    <xf numFmtId="0" fontId="0" fillId="0" borderId="1" xfId="0" applyBorder="1"/>
    <xf numFmtId="49" fontId="0" fillId="0" borderId="1" xfId="0" applyNumberFormat="1" applyBorder="1" applyAlignment="1">
      <alignment horizontal="center"/>
    </xf>
    <xf numFmtId="4" fontId="0" fillId="0" borderId="1" xfId="0" applyNumberFormat="1" applyBorder="1"/>
    <xf numFmtId="0" fontId="0" fillId="0" borderId="6" xfId="0" applyBorder="1"/>
    <xf numFmtId="49" fontId="0" fillId="0" borderId="6" xfId="0" applyNumberFormat="1" applyBorder="1" applyAlignment="1">
      <alignment horizontal="center"/>
    </xf>
    <xf numFmtId="4" fontId="0" fillId="0" borderId="6" xfId="0" applyNumberFormat="1" applyBorder="1"/>
    <xf numFmtId="49" fontId="0" fillId="0" borderId="0" xfId="0" applyNumberFormat="1" applyAlignment="1">
      <alignment horizontal="center"/>
    </xf>
    <xf numFmtId="4" fontId="1" fillId="0" borderId="7" xfId="0" applyNumberFormat="1" applyFont="1" applyBorder="1"/>
    <xf numFmtId="0" fontId="0" fillId="0" borderId="6" xfId="0" applyBorder="1" applyAlignment="1">
      <alignment horizontal="right"/>
    </xf>
    <xf numFmtId="0" fontId="19" fillId="0" borderId="0" xfId="0" applyFont="1"/>
    <xf numFmtId="0" fontId="18" fillId="0" borderId="1" xfId="0" applyFont="1" applyBorder="1"/>
    <xf numFmtId="49" fontId="1" fillId="0" borderId="0" xfId="0" applyNumberFormat="1" applyFont="1"/>
    <xf numFmtId="4" fontId="0" fillId="0" borderId="7" xfId="0" applyNumberFormat="1" applyBorder="1"/>
    <xf numFmtId="4" fontId="1" fillId="0" borderId="0" xfId="0" applyNumberFormat="1" applyFont="1" applyAlignment="1">
      <alignment horizontal="center"/>
    </xf>
    <xf numFmtId="0" fontId="0" fillId="0" borderId="1" xfId="0" applyBorder="1" applyAlignment="1">
      <alignment horizontal="right"/>
    </xf>
    <xf numFmtId="4" fontId="1" fillId="0" borderId="7" xfId="0" applyNumberFormat="1" applyFont="1" applyBorder="1" applyAlignment="1">
      <alignment horizontal="right"/>
    </xf>
    <xf numFmtId="4" fontId="1" fillId="0" borderId="0" xfId="0" applyNumberFormat="1" applyFont="1" applyAlignment="1">
      <alignment horizontal="right"/>
    </xf>
    <xf numFmtId="0" fontId="14" fillId="16" borderId="0" xfId="0" applyFont="1" applyFill="1"/>
    <xf numFmtId="4" fontId="1" fillId="16" borderId="0" xfId="0" applyNumberFormat="1" applyFont="1" applyFill="1"/>
    <xf numFmtId="0" fontId="14" fillId="17" borderId="0" xfId="0" applyFont="1" applyFill="1"/>
    <xf numFmtId="4" fontId="1" fillId="17" borderId="0" xfId="0" applyNumberFormat="1" applyFont="1" applyFill="1"/>
    <xf numFmtId="0" fontId="14" fillId="18" borderId="0" xfId="0" applyFont="1" applyFill="1"/>
    <xf numFmtId="4" fontId="1" fillId="18" borderId="0" xfId="0" applyNumberFormat="1" applyFont="1" applyFill="1"/>
    <xf numFmtId="3" fontId="1" fillId="0" borderId="7" xfId="0" applyNumberFormat="1" applyFont="1" applyBorder="1"/>
    <xf numFmtId="4" fontId="1" fillId="0" borderId="8" xfId="0" applyNumberFormat="1" applyFont="1" applyBorder="1"/>
    <xf numFmtId="4" fontId="0" fillId="0" borderId="8" xfId="0" applyNumberFormat="1" applyBorder="1"/>
    <xf numFmtId="3" fontId="12" fillId="0" borderId="0" xfId="0" applyNumberFormat="1" applyFont="1" applyAlignment="1">
      <alignment horizontal="center"/>
    </xf>
    <xf numFmtId="3" fontId="11" fillId="0" borderId="0" xfId="0" applyNumberFormat="1" applyFont="1" applyAlignment="1">
      <alignment horizontal="center"/>
    </xf>
    <xf numFmtId="3" fontId="9" fillId="0" borderId="0" xfId="0" applyNumberFormat="1" applyFont="1" applyAlignment="1">
      <alignment horizontal="center"/>
    </xf>
    <xf numFmtId="3" fontId="0" fillId="0" borderId="0" xfId="0" applyNumberFormat="1" applyAlignment="1">
      <alignment horizontal="center"/>
    </xf>
    <xf numFmtId="0" fontId="22" fillId="0" borderId="0" xfId="0" applyFont="1" applyAlignment="1">
      <alignment horizontal="center"/>
    </xf>
    <xf numFmtId="0" fontId="0" fillId="0" borderId="0" xfId="0" applyAlignment="1">
      <alignment horizontal="center"/>
    </xf>
    <xf numFmtId="165" fontId="0" fillId="0" borderId="0" xfId="0" applyNumberFormat="1" applyAlignment="1">
      <alignment horizontal="left"/>
    </xf>
    <xf numFmtId="14" fontId="0" fillId="0" borderId="0" xfId="0" applyNumberFormat="1"/>
    <xf numFmtId="0" fontId="18" fillId="0" borderId="0" xfId="0" applyFont="1"/>
    <xf numFmtId="0" fontId="1" fillId="19" borderId="0" xfId="0" applyFont="1" applyFill="1"/>
    <xf numFmtId="2" fontId="0" fillId="0" borderId="0" xfId="0" applyNumberFormat="1" applyAlignment="1">
      <alignment horizontal="center"/>
    </xf>
    <xf numFmtId="0" fontId="25" fillId="0" borderId="0" xfId="1" applyFill="1" applyAlignment="1">
      <alignment horizontal="center"/>
    </xf>
    <xf numFmtId="0" fontId="26" fillId="21" borderId="0" xfId="1" applyFont="1" applyFill="1" applyAlignment="1">
      <alignment horizontal="center"/>
    </xf>
    <xf numFmtId="0" fontId="18" fillId="0" borderId="0" xfId="0" applyFont="1" applyAlignment="1">
      <alignment horizontal="center"/>
    </xf>
    <xf numFmtId="0" fontId="26" fillId="14" borderId="0" xfId="1" quotePrefix="1" applyFont="1" applyFill="1" applyAlignment="1">
      <alignment horizontal="center"/>
    </xf>
    <xf numFmtId="0" fontId="26" fillId="14" borderId="0" xfId="1" applyFont="1" applyFill="1" applyAlignment="1">
      <alignment horizontal="center"/>
    </xf>
    <xf numFmtId="0" fontId="26" fillId="20" borderId="0" xfId="1" applyFont="1" applyFill="1" applyAlignment="1">
      <alignment horizontal="center"/>
    </xf>
    <xf numFmtId="0" fontId="26" fillId="3" borderId="0" xfId="1" applyFont="1" applyFill="1" applyAlignment="1">
      <alignment horizontal="center"/>
    </xf>
    <xf numFmtId="0" fontId="26" fillId="22" borderId="0" xfId="1" quotePrefix="1" applyFont="1" applyFill="1" applyAlignment="1">
      <alignment horizontal="center"/>
    </xf>
    <xf numFmtId="0" fontId="26" fillId="22" borderId="0" xfId="1" applyFont="1" applyFill="1" applyAlignment="1">
      <alignment horizontal="center"/>
    </xf>
    <xf numFmtId="4" fontId="14" fillId="11" borderId="0" xfId="0" applyNumberFormat="1" applyFont="1" applyFill="1"/>
    <xf numFmtId="4" fontId="14" fillId="13" borderId="0" xfId="0" applyNumberFormat="1" applyFont="1" applyFill="1"/>
    <xf numFmtId="164" fontId="1" fillId="2" borderId="0" xfId="0" applyNumberFormat="1" applyFont="1" applyFill="1"/>
    <xf numFmtId="0" fontId="1" fillId="0" borderId="7" xfId="0" applyFont="1" applyBorder="1" applyAlignment="1">
      <alignment horizontal="center"/>
    </xf>
    <xf numFmtId="4" fontId="14" fillId="5" borderId="0" xfId="0" applyNumberFormat="1" applyFont="1" applyFill="1"/>
    <xf numFmtId="4" fontId="14" fillId="8" borderId="0" xfId="0" applyNumberFormat="1" applyFont="1" applyFill="1"/>
    <xf numFmtId="4" fontId="1" fillId="19" borderId="0" xfId="0" applyNumberFormat="1" applyFont="1" applyFill="1"/>
    <xf numFmtId="0" fontId="1" fillId="0" borderId="7" xfId="0" applyFont="1" applyBorder="1" applyAlignment="1">
      <alignment horizontal="center" vertical="center"/>
    </xf>
    <xf numFmtId="164" fontId="1" fillId="3" borderId="0" xfId="0" applyNumberFormat="1" applyFont="1" applyFill="1"/>
    <xf numFmtId="164" fontId="1" fillId="0" borderId="0" xfId="0" applyNumberFormat="1" applyFont="1"/>
    <xf numFmtId="0" fontId="1" fillId="0" borderId="0" xfId="0" applyFont="1" applyAlignment="1">
      <alignment horizontal="right"/>
    </xf>
    <xf numFmtId="0" fontId="27" fillId="0" borderId="0" xfId="0" applyFont="1"/>
    <xf numFmtId="0" fontId="28" fillId="0" borderId="0" xfId="0" applyFont="1"/>
    <xf numFmtId="4" fontId="14" fillId="3" borderId="0" xfId="0" applyNumberFormat="1" applyFont="1" applyFill="1"/>
    <xf numFmtId="4" fontId="14" fillId="12" borderId="0" xfId="0" applyNumberFormat="1" applyFont="1" applyFill="1"/>
    <xf numFmtId="4" fontId="0" fillId="14" borderId="0" xfId="0" applyNumberFormat="1" applyFill="1"/>
    <xf numFmtId="0" fontId="22" fillId="15" borderId="0" xfId="0" applyFont="1" applyFill="1"/>
    <xf numFmtId="4" fontId="22" fillId="15" borderId="0" xfId="0" applyNumberFormat="1" applyFont="1" applyFill="1"/>
    <xf numFmtId="0" fontId="22" fillId="0" borderId="0" xfId="0" applyFont="1"/>
    <xf numFmtId="49" fontId="0" fillId="0" borderId="0" xfId="0" applyNumberFormat="1" applyAlignment="1">
      <alignment horizontal="right"/>
    </xf>
    <xf numFmtId="9" fontId="0" fillId="0" borderId="0" xfId="0" applyNumberFormat="1" applyAlignment="1">
      <alignment horizontal="right"/>
    </xf>
    <xf numFmtId="0" fontId="29" fillId="0" borderId="0" xfId="0" applyFont="1"/>
    <xf numFmtId="0" fontId="14" fillId="0" borderId="0" xfId="0" applyFont="1" applyAlignment="1">
      <alignment horizontal="center"/>
    </xf>
    <xf numFmtId="0" fontId="30" fillId="0" borderId="0" xfId="0" applyFont="1"/>
    <xf numFmtId="14" fontId="0" fillId="0" borderId="0" xfId="0" applyNumberFormat="1" applyAlignment="1">
      <alignment horizontal="center"/>
    </xf>
    <xf numFmtId="164" fontId="6" fillId="0" borderId="0" xfId="0" applyNumberFormat="1" applyFont="1"/>
    <xf numFmtId="4" fontId="19" fillId="0" borderId="0" xfId="0" applyNumberFormat="1" applyFont="1" applyAlignment="1">
      <alignment horizontal="center"/>
    </xf>
    <xf numFmtId="4" fontId="5" fillId="4" borderId="0" xfId="0" applyNumberFormat="1" applyFont="1" applyFill="1"/>
    <xf numFmtId="0" fontId="14" fillId="0" borderId="0" xfId="0" applyFont="1"/>
    <xf numFmtId="0" fontId="21" fillId="0" borderId="0" xfId="0" applyFont="1"/>
    <xf numFmtId="0" fontId="29" fillId="0" borderId="0" xfId="0" applyFont="1" applyAlignment="1">
      <alignment horizontal="center"/>
    </xf>
    <xf numFmtId="4" fontId="18" fillId="0" borderId="0" xfId="0" applyNumberFormat="1" applyFont="1"/>
    <xf numFmtId="0" fontId="32" fillId="0" borderId="0" xfId="0" applyFont="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9" fillId="0" borderId="4"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2" borderId="10" xfId="0" applyFill="1" applyBorder="1" applyAlignment="1">
      <alignment horizontal="justify" vertical="center" wrapText="1"/>
    </xf>
    <xf numFmtId="0" fontId="0" fillId="2" borderId="6" xfId="0" applyFill="1" applyBorder="1" applyAlignment="1">
      <alignment horizontal="justify" vertical="center" wrapText="1"/>
    </xf>
    <xf numFmtId="0" fontId="0" fillId="2" borderId="11" xfId="0" applyFill="1" applyBorder="1" applyAlignment="1">
      <alignment horizontal="justify" vertical="center" wrapText="1"/>
    </xf>
    <xf numFmtId="0" fontId="22" fillId="0" borderId="0" xfId="0" applyFont="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22" fillId="0" borderId="0" xfId="0" applyFont="1" applyAlignment="1">
      <alignment horizontal="left"/>
    </xf>
    <xf numFmtId="0" fontId="31" fillId="0" borderId="9" xfId="0" applyFont="1" applyBorder="1" applyAlignment="1">
      <alignment horizontal="center"/>
    </xf>
  </cellXfs>
  <cellStyles count="2">
    <cellStyle name="Lien hypertexte" xfId="1" builtinId="8"/>
    <cellStyle name="Normal"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dLbls>
          <c:showLegendKey val="0"/>
          <c:showVal val="0"/>
          <c:showCatName val="0"/>
          <c:showSerName val="0"/>
          <c:showPercent val="0"/>
          <c:showBubbleSize val="0"/>
        </c:dLbls>
        <c:gapWidth val="83"/>
        <c:overlap val="-27"/>
        <c:axId val="197342464"/>
        <c:axId val="197342856"/>
      </c:barChart>
      <c:catAx>
        <c:axId val="19734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7342856"/>
        <c:crosses val="autoZero"/>
        <c:auto val="1"/>
        <c:lblAlgn val="ctr"/>
        <c:lblOffset val="100"/>
        <c:noMultiLvlLbl val="0"/>
      </c:catAx>
      <c:valAx>
        <c:axId val="197342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7342464"/>
        <c:crosses val="autoZero"/>
        <c:crossBetween val="between"/>
      </c:valAx>
      <c:spPr>
        <a:gradFill>
          <a:gsLst>
            <a:gs pos="0">
              <a:schemeClr val="bg1"/>
            </a:gs>
            <a:gs pos="57000">
              <a:schemeClr val="bg1">
                <a:lumMod val="95000"/>
              </a:schemeClr>
            </a:gs>
            <a:gs pos="100000">
              <a:schemeClr val="bg1">
                <a:lumMod val="85000"/>
              </a:schemeClr>
            </a:gs>
          </a:gsLst>
          <a:lin ang="5400000" scaled="1"/>
        </a:grad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dLbl>
              <c:idx val="0"/>
              <c:layout>
                <c:manualLayout>
                  <c:x val="-1.4690003093698E-17"/>
                  <c:y val="-2.336903363832332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1" baseline="0"/>
                      <a:t> </a:t>
                    </a:r>
                    <a:fld id="{B0EF056D-28D1-438B-BD96-0064906F0E48}" type="VALUE">
                      <a:rPr lang="en-US" b="1" baseline="0"/>
                      <a:pPr>
                        <a:defRPr/>
                      </a:pPr>
                      <a:t>[VALEUR]</a:t>
                    </a:fld>
                    <a:endParaRPr lang="en-US" b="1"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0470"/>
                        <a:gd name="adj2" fmla="val 129665"/>
                      </a:avLst>
                    </a:prstGeom>
                    <a:noFill/>
                    <a:ln>
                      <a:noFill/>
                    </a:ln>
                  </c15:spPr>
                  <c15:dlblFieldTable/>
                  <c15:showDataLabelsRange val="0"/>
                </c:ext>
                <c:ext xmlns:c16="http://schemas.microsoft.com/office/drawing/2014/chart" uri="{C3380CC4-5D6E-409C-BE32-E72D297353CC}">
                  <c16:uniqueId val="{00000000-8227-409C-AC63-931F59D2386B}"/>
                </c:ext>
              </c:extLst>
            </c:dLbl>
            <c:dLbl>
              <c:idx val="1"/>
              <c:layout>
                <c:manualLayout>
                  <c:x val="0"/>
                  <c:y val="-1.81759150520293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473B4AA-2BF4-4059-8419-EC5A376F5B8E}" type="VALUE">
                      <a:rPr lang="en-US" b="1" baseline="0"/>
                      <a:pPr>
                        <a:defRPr/>
                      </a:pPr>
                      <a:t>[VALEUR]</a:t>
                    </a:fld>
                    <a:endParaRPr lang="de-CH"/>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8497"/>
                        <a:gd name="adj2" fmla="val 121876"/>
                      </a:avLst>
                    </a:prstGeom>
                    <a:noFill/>
                    <a:ln>
                      <a:noFill/>
                    </a:ln>
                  </c15:spPr>
                  <c15:dlblFieldTable/>
                  <c15:showDataLabelsRange val="0"/>
                </c:ext>
                <c:ext xmlns:c16="http://schemas.microsoft.com/office/drawing/2014/chart" uri="{C3380CC4-5D6E-409C-BE32-E72D297353CC}">
                  <c16:uniqueId val="{00000001-8227-409C-AC63-931F59D2386B}"/>
                </c:ext>
              </c:extLst>
            </c:dLbl>
            <c:dLbl>
              <c:idx val="2"/>
              <c:layout>
                <c:manualLayout>
                  <c:x val="0"/>
                  <c:y val="-2.336903363832341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8027869-74BF-4B8D-8A25-8A912DF15477}" type="VALUE">
                      <a:rPr lang="en-US" b="1" baseline="0"/>
                      <a:pPr>
                        <a:defRPr/>
                      </a:pPr>
                      <a:t>[VALEUR]</a:t>
                    </a:fld>
                    <a:endParaRPr lang="de-CH"/>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1329"/>
                        <a:gd name="adj2" fmla="val 130728"/>
                      </a:avLst>
                    </a:prstGeom>
                    <a:noFill/>
                    <a:ln>
                      <a:noFill/>
                    </a:ln>
                  </c15:spPr>
                  <c15:dlblFieldTable/>
                  <c15:showDataLabelsRange val="0"/>
                </c:ext>
                <c:ext xmlns:c16="http://schemas.microsoft.com/office/drawing/2014/chart" uri="{C3380CC4-5D6E-409C-BE32-E72D297353CC}">
                  <c16:uniqueId val="{00000002-8227-409C-AC63-931F59D2386B}"/>
                </c:ext>
              </c:extLst>
            </c:dLbl>
            <c:dLbl>
              <c:idx val="3"/>
              <c:layout>
                <c:manualLayout>
                  <c:x val="0"/>
                  <c:y val="-3.375527081091159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14ACABF-C889-4253-B6EE-1C304D95F700}" type="VALUE">
                      <a:rPr lang="en-US" b="1" baseline="0"/>
                      <a:pPr>
                        <a:defRPr/>
                      </a:pPr>
                      <a:t>[VALEUR]</a:t>
                    </a:fld>
                    <a:endParaRPr lang="de-CH"/>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6916"/>
                        <a:gd name="adj2" fmla="val 159053"/>
                      </a:avLst>
                    </a:prstGeom>
                    <a:noFill/>
                    <a:ln>
                      <a:noFill/>
                    </a:ln>
                  </c15:spPr>
                  <c15:dlblFieldTable/>
                  <c15:showDataLabelsRange val="0"/>
                </c:ext>
                <c:ext xmlns:c16="http://schemas.microsoft.com/office/drawing/2014/chart" uri="{C3380CC4-5D6E-409C-BE32-E72D297353CC}">
                  <c16:uniqueId val="{00000003-8227-409C-AC63-931F59D2386B}"/>
                </c:ext>
              </c:extLst>
            </c:dLbl>
            <c:dLbl>
              <c:idx val="4"/>
              <c:layout>
                <c:manualLayout>
                  <c:x val="0"/>
                  <c:y val="-3.635183010405864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CB765B4-A9D6-43A7-A352-83F05219D6D0}" type="VALUE">
                      <a:rPr lang="en-US" b="1" baseline="0"/>
                      <a:pPr>
                        <a:defRPr/>
                      </a:pPr>
                      <a:t>[VALEUR]</a:t>
                    </a:fld>
                    <a:endParaRPr lang="de-CH"/>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4476"/>
                        <a:gd name="adj2" fmla="val 159052"/>
                      </a:avLst>
                    </a:prstGeom>
                    <a:noFill/>
                    <a:ln>
                      <a:noFill/>
                    </a:ln>
                  </c15:spPr>
                  <c15:dlblFieldTable/>
                  <c15:showDataLabelsRange val="0"/>
                </c:ext>
                <c:ext xmlns:c16="http://schemas.microsoft.com/office/drawing/2014/chart" uri="{C3380CC4-5D6E-409C-BE32-E72D297353CC}">
                  <c16:uniqueId val="{00000004-8227-409C-AC63-931F59D2386B}"/>
                </c:ext>
              </c:extLst>
            </c:dLbl>
            <c:dLbl>
              <c:idx val="5"/>
              <c:layout>
                <c:manualLayout>
                  <c:x val="6.4102572191420881E-3"/>
                  <c:y val="-4.673806727664685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CD0327D-B9D7-4F99-BC94-1B83AE60D9C9}" type="VALUE">
                      <a:rPr lang="en-US" b="1" baseline="0"/>
                      <a:pPr>
                        <a:defRPr/>
                      </a:pPr>
                      <a:t>[VALEUR]</a:t>
                    </a:fld>
                    <a:endParaRPr lang="de-CH"/>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6433"/>
                        <a:gd name="adj2" fmla="val 194460"/>
                      </a:avLst>
                    </a:prstGeom>
                    <a:noFill/>
                    <a:ln>
                      <a:noFill/>
                    </a:ln>
                  </c15:spPr>
                  <c15:dlblFieldTable/>
                  <c15:showDataLabelsRange val="0"/>
                </c:ext>
                <c:ext xmlns:c16="http://schemas.microsoft.com/office/drawing/2014/chart" uri="{C3380CC4-5D6E-409C-BE32-E72D297353CC}">
                  <c16:uniqueId val="{00000005-8227-409C-AC63-931F59D2386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Population!$B$24:$B$29</c:f>
              <c:strCache>
                <c:ptCount val="6"/>
                <c:pt idx="0">
                  <c:v>8 communes de moins 200 habitants</c:v>
                </c:pt>
                <c:pt idx="1">
                  <c:v>13 communes de 200 à 500 habitants</c:v>
                </c:pt>
                <c:pt idx="2">
                  <c:v>11 communes de 501 à 1'000 habitants</c:v>
                </c:pt>
                <c:pt idx="3">
                  <c:v>12 communes de 1'001 à 2'000 habitants</c:v>
                </c:pt>
                <c:pt idx="4">
                  <c:v>3 communes de 2'001 à 3'000 habitants</c:v>
                </c:pt>
                <c:pt idx="5">
                  <c:v>6 communes de plus 3'000 habitants</c:v>
                </c:pt>
              </c:strCache>
            </c:strRef>
          </c:cat>
          <c:val>
            <c:numRef>
              <c:f>Population!$C$24:$C$29</c:f>
              <c:numCache>
                <c:formatCode>#,##0</c:formatCode>
                <c:ptCount val="6"/>
                <c:pt idx="0">
                  <c:v>1087</c:v>
                </c:pt>
                <c:pt idx="1">
                  <c:v>4215</c:v>
                </c:pt>
                <c:pt idx="2">
                  <c:v>7803</c:v>
                </c:pt>
                <c:pt idx="3">
                  <c:v>16541</c:v>
                </c:pt>
                <c:pt idx="4">
                  <c:v>7644</c:v>
                </c:pt>
                <c:pt idx="5">
                  <c:v>36508</c:v>
                </c:pt>
              </c:numCache>
            </c:numRef>
          </c:val>
          <c:extLst>
            <c:ext xmlns:c16="http://schemas.microsoft.com/office/drawing/2014/chart" uri="{C3380CC4-5D6E-409C-BE32-E72D297353CC}">
              <c16:uniqueId val="{00000006-8227-409C-AC63-931F59D2386B}"/>
            </c:ext>
          </c:extLst>
        </c:ser>
        <c:dLbls>
          <c:showLegendKey val="0"/>
          <c:showVal val="0"/>
          <c:showCatName val="0"/>
          <c:showSerName val="0"/>
          <c:showPercent val="0"/>
          <c:showBubbleSize val="0"/>
        </c:dLbls>
        <c:gapWidth val="219"/>
        <c:overlap val="-27"/>
        <c:axId val="197343640"/>
        <c:axId val="197344032"/>
      </c:barChart>
      <c:catAx>
        <c:axId val="19734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7344032"/>
        <c:crosses val="autoZero"/>
        <c:auto val="1"/>
        <c:lblAlgn val="ctr"/>
        <c:lblOffset val="100"/>
        <c:noMultiLvlLbl val="0"/>
      </c:catAx>
      <c:valAx>
        <c:axId val="197344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7343640"/>
        <c:crosses val="autoZero"/>
        <c:crossBetween val="between"/>
      </c:valAx>
      <c:spPr>
        <a:noFill/>
        <a:ln>
          <a:noFill/>
        </a:ln>
        <a:effectLst/>
      </c:spPr>
    </c:plotArea>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Charges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473-4627-B6BF-1A2FAE0B92B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473-4627-B6BF-1A2FAE0B92B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473-4627-B6BF-1A2FAE0B92B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473-4627-B6BF-1A2FAE0B92B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473-4627-B6BF-1A2FAE0B92B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4473-4627-B6BF-1A2FAE0B92B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4473-4627-B6BF-1A2FAE0B92B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4473-4627-B6BF-1A2FAE0B92B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4473-4627-B6BF-1A2FAE0B92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'Graphique par nature'!$A$5:$A$13</c:f>
              <c:strCache>
                <c:ptCount val="9"/>
                <c:pt idx="0">
                  <c:v>30 Charges du personnel</c:v>
                </c:pt>
                <c:pt idx="1">
                  <c:v>31 Charges de biens et de services et autres charges d'exploitation</c:v>
                </c:pt>
                <c:pt idx="2">
                  <c:v>33 Amortissements du patrimoine administratif</c:v>
                </c:pt>
                <c:pt idx="3">
                  <c:v>34 Charges financières</c:v>
                </c:pt>
                <c:pt idx="4">
                  <c:v>35 Attributions aux financements spéciaux des capitaux de tiers</c:v>
                </c:pt>
                <c:pt idx="5">
                  <c:v>36 Charges de transferts</c:v>
                </c:pt>
                <c:pt idx="6">
                  <c:v>37 Subventions à redistribuer</c:v>
                </c:pt>
                <c:pt idx="7">
                  <c:v>38 Charges extraordinaires</c:v>
                </c:pt>
                <c:pt idx="8">
                  <c:v>39 Imputations internes</c:v>
                </c:pt>
              </c:strCache>
            </c:strRef>
          </c:cat>
          <c:val>
            <c:numRef>
              <c:f>'Graphique par nature'!$B$5:$B$13</c:f>
              <c:numCache>
                <c:formatCode>#,##0.00</c:formatCode>
                <c:ptCount val="9"/>
                <c:pt idx="0">
                  <c:v>69908877.330000013</c:v>
                </c:pt>
                <c:pt idx="1">
                  <c:v>76120991.789999992</c:v>
                </c:pt>
                <c:pt idx="2">
                  <c:v>22383743.729999997</c:v>
                </c:pt>
                <c:pt idx="3">
                  <c:v>8323158.1299999999</c:v>
                </c:pt>
                <c:pt idx="4">
                  <c:v>2171228.4500000007</c:v>
                </c:pt>
                <c:pt idx="5">
                  <c:v>189198165.47</c:v>
                </c:pt>
                <c:pt idx="6">
                  <c:v>2751538.95</c:v>
                </c:pt>
                <c:pt idx="7">
                  <c:v>5390500.2599999998</c:v>
                </c:pt>
                <c:pt idx="8">
                  <c:v>7585405.8799999999</c:v>
                </c:pt>
              </c:numCache>
            </c:numRef>
          </c:val>
          <c:extLst>
            <c:ext xmlns:c16="http://schemas.microsoft.com/office/drawing/2014/chart" uri="{C3380CC4-5D6E-409C-BE32-E72D297353CC}">
              <c16:uniqueId val="{00000000-3BB9-40B9-B8A7-CD1A90FF119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Revenus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C0F-4DB5-B221-85C24E14FAB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C0F-4DB5-B221-85C24E14FAB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C0F-4DB5-B221-85C24E14FAB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C0F-4DB5-B221-85C24E14FAB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C0F-4DB5-B221-85C24E14FAB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C0F-4DB5-B221-85C24E14FAB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DC0F-4DB5-B221-85C24E14FAB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DC0F-4DB5-B221-85C24E14FAB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DC0F-4DB5-B221-85C24E14FAB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DC0F-4DB5-B221-85C24E14FA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'Graphique par nature'!$A$16:$A$25</c:f>
              <c:strCache>
                <c:ptCount val="10"/>
                <c:pt idx="0">
                  <c:v>40 Revenus fiscaux</c:v>
                </c:pt>
                <c:pt idx="1">
                  <c:v>41 Revenus de patentes et de concessions</c:v>
                </c:pt>
                <c:pt idx="2">
                  <c:v>42 Taxes</c:v>
                </c:pt>
                <c:pt idx="3">
                  <c:v>43 Revenus divers</c:v>
                </c:pt>
                <c:pt idx="4">
                  <c:v>44 Revenus financiers</c:v>
                </c:pt>
                <c:pt idx="5">
                  <c:v>45 Prélèvements sur les financements spéciaux</c:v>
                </c:pt>
                <c:pt idx="6">
                  <c:v>46 Revenus de transfert</c:v>
                </c:pt>
                <c:pt idx="7">
                  <c:v>47 Subventions à redistribuer</c:v>
                </c:pt>
                <c:pt idx="8">
                  <c:v>48 Revenus extraordinaires</c:v>
                </c:pt>
                <c:pt idx="9">
                  <c:v>49 Imputations internes</c:v>
                </c:pt>
              </c:strCache>
            </c:strRef>
          </c:cat>
          <c:val>
            <c:numRef>
              <c:f>'Graphique par nature'!$B$16:$B$25</c:f>
              <c:numCache>
                <c:formatCode>#,##0.00</c:formatCode>
                <c:ptCount val="10"/>
                <c:pt idx="0">
                  <c:v>220686647.36000004</c:v>
                </c:pt>
                <c:pt idx="1">
                  <c:v>1118975.43</c:v>
                </c:pt>
                <c:pt idx="2">
                  <c:v>79953170.469999999</c:v>
                </c:pt>
                <c:pt idx="3">
                  <c:v>2251909.0299999998</c:v>
                </c:pt>
                <c:pt idx="4">
                  <c:v>14543222.970000001</c:v>
                </c:pt>
                <c:pt idx="5">
                  <c:v>899800.40999999992</c:v>
                </c:pt>
                <c:pt idx="6">
                  <c:v>64521544.840000004</c:v>
                </c:pt>
                <c:pt idx="7">
                  <c:v>2368380.25</c:v>
                </c:pt>
                <c:pt idx="8">
                  <c:v>3735282.14</c:v>
                </c:pt>
                <c:pt idx="9">
                  <c:v>7606722.9299999997</c:v>
                </c:pt>
              </c:numCache>
            </c:numRef>
          </c:val>
          <c:extLst>
            <c:ext xmlns:c16="http://schemas.microsoft.com/office/drawing/2014/chart" uri="{C3380CC4-5D6E-409C-BE32-E72D297353CC}">
              <c16:uniqueId val="{00000000-7CBE-48FC-9056-2A9D101FE66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Charges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376-4089-A76F-DD1FD0CD88C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376-4089-A76F-DD1FD0CD88C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376-4089-A76F-DD1FD0CD88C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376-4089-A76F-DD1FD0CD88C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376-4089-A76F-DD1FD0CD88C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3376-4089-A76F-DD1FD0CD88C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3376-4089-A76F-DD1FD0CD88C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3376-4089-A76F-DD1FD0CD88C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3376-4089-A76F-DD1FD0CD88C8}"/>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3376-4089-A76F-DD1FD0CD88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'4.12.1 et 2 Graph par fonction'!$A$2:$A$11</c:f>
              <c:strCache>
                <c:ptCount val="10"/>
                <c:pt idx="0">
                  <c:v>0 Administration générale</c:v>
                </c:pt>
                <c:pt idx="1">
                  <c:v>1 Ordre et sécurité publics - Défense</c:v>
                </c:pt>
                <c:pt idx="2">
                  <c:v>2 Formation</c:v>
                </c:pt>
                <c:pt idx="3">
                  <c:v>3 Culture - Sports - Loisirs - Eglises</c:v>
                </c:pt>
                <c:pt idx="4">
                  <c:v>4 Santé</c:v>
                </c:pt>
                <c:pt idx="5">
                  <c:v>5 Prévoyance sociale</c:v>
                </c:pt>
                <c:pt idx="6">
                  <c:v>6 Traffic - Transports - Télécommunications</c:v>
                </c:pt>
                <c:pt idx="7">
                  <c:v>7 Protection de l'environnement - Aménagement du territoire</c:v>
                </c:pt>
                <c:pt idx="8">
                  <c:v>8 Economie publique</c:v>
                </c:pt>
                <c:pt idx="9">
                  <c:v>9 Finances - Impôts</c:v>
                </c:pt>
              </c:strCache>
            </c:strRef>
          </c:cat>
          <c:val>
            <c:numRef>
              <c:f>'4.12.1 et 2 Graph par fonction'!$B$2:$B$11</c:f>
              <c:numCache>
                <c:formatCode>#,##0.00</c:formatCode>
                <c:ptCount val="10"/>
                <c:pt idx="0">
                  <c:v>32143015.280000001</c:v>
                </c:pt>
                <c:pt idx="1">
                  <c:v>11416095.65</c:v>
                </c:pt>
                <c:pt idx="2">
                  <c:v>102422916.93999998</c:v>
                </c:pt>
                <c:pt idx="3">
                  <c:v>15219691.650000002</c:v>
                </c:pt>
                <c:pt idx="4">
                  <c:v>701266.36</c:v>
                </c:pt>
                <c:pt idx="5">
                  <c:v>94679085.720000029</c:v>
                </c:pt>
                <c:pt idx="6">
                  <c:v>28142353.619999997</c:v>
                </c:pt>
                <c:pt idx="7">
                  <c:v>38828859.169999994</c:v>
                </c:pt>
                <c:pt idx="8">
                  <c:v>41122782.390000008</c:v>
                </c:pt>
                <c:pt idx="9">
                  <c:v>40258130.619999997</c:v>
                </c:pt>
              </c:numCache>
            </c:numRef>
          </c:val>
          <c:extLst>
            <c:ext xmlns:c16="http://schemas.microsoft.com/office/drawing/2014/chart" uri="{C3380CC4-5D6E-409C-BE32-E72D297353CC}">
              <c16:uniqueId val="{00000000-1D05-4763-8445-55B4157FF42B}"/>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E0C-4D07-8332-E566B5CE0D6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E0C-4D07-8332-E566B5CE0D6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E0C-4D07-8332-E566B5CE0D6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E0C-4D07-8332-E566B5CE0D6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E0C-4D07-8332-E566B5CE0D6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AE0C-4D07-8332-E566B5CE0D6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AE0C-4D07-8332-E566B5CE0D6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AE0C-4D07-8332-E566B5CE0D6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AE0C-4D07-8332-E566B5CE0D6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AE0C-4D07-8332-E566B5CE0D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'4.12.1 et 2 Graph par fonction'!$A$14:$A$23</c:f>
              <c:strCache>
                <c:ptCount val="10"/>
                <c:pt idx="0">
                  <c:v>0 Administration générale</c:v>
                </c:pt>
                <c:pt idx="1">
                  <c:v>1 Ordre et sécurité publics - Défense</c:v>
                </c:pt>
                <c:pt idx="2">
                  <c:v>2 Formation</c:v>
                </c:pt>
                <c:pt idx="3">
                  <c:v>3 Culture - Sports - Loisirs - Eglises</c:v>
                </c:pt>
                <c:pt idx="4">
                  <c:v>4 Santé</c:v>
                </c:pt>
                <c:pt idx="5">
                  <c:v>5 Prévoyance sociale</c:v>
                </c:pt>
                <c:pt idx="6">
                  <c:v>6 Traffic - Transports - Télécommunications</c:v>
                </c:pt>
                <c:pt idx="7">
                  <c:v>7 Protection de l'environnement - Aménagement du territoire</c:v>
                </c:pt>
                <c:pt idx="8">
                  <c:v>8 Economie publique</c:v>
                </c:pt>
                <c:pt idx="9">
                  <c:v>9 Finances - Impôts</c:v>
                </c:pt>
              </c:strCache>
            </c:strRef>
          </c:cat>
          <c:val>
            <c:numRef>
              <c:f>'4.12.1 et 2 Graph par fonction'!$B$14:$B$23</c:f>
              <c:numCache>
                <c:formatCode>#,##0.00</c:formatCode>
                <c:ptCount val="10"/>
                <c:pt idx="0">
                  <c:v>3895125.9899999998</c:v>
                </c:pt>
                <c:pt idx="1">
                  <c:v>7640370.2199999988</c:v>
                </c:pt>
                <c:pt idx="2">
                  <c:v>6482574.9600000009</c:v>
                </c:pt>
                <c:pt idx="3">
                  <c:v>1450260.1600000004</c:v>
                </c:pt>
                <c:pt idx="4">
                  <c:v>96111.44</c:v>
                </c:pt>
                <c:pt idx="5">
                  <c:v>36297803.299999997</c:v>
                </c:pt>
                <c:pt idx="6">
                  <c:v>7515125.7999999998</c:v>
                </c:pt>
                <c:pt idx="7">
                  <c:v>43211233.239999995</c:v>
                </c:pt>
                <c:pt idx="8">
                  <c:v>43384211.839999989</c:v>
                </c:pt>
                <c:pt idx="9">
                  <c:v>261699592.34000003</c:v>
                </c:pt>
              </c:numCache>
            </c:numRef>
          </c:val>
          <c:extLst>
            <c:ext xmlns:c16="http://schemas.microsoft.com/office/drawing/2014/chart" uri="{C3380CC4-5D6E-409C-BE32-E72D297353CC}">
              <c16:uniqueId val="{00000000-6F70-4567-B1E4-680FE9D69CDB}"/>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Etat</a:t>
            </a:r>
            <a:r>
              <a:rPr lang="fr-CH" baseline="0"/>
              <a:t> des capitaux propres</a:t>
            </a:r>
            <a:endParaRPr lang="fr-C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CB0-441C-AD1D-2BF317583BB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CB0-441C-AD1D-2BF317583BB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CB0-441C-AD1D-2BF317583BB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CB0-441C-AD1D-2BF317583BB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CB0-441C-AD1D-2BF317583BB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0CB0-441C-AD1D-2BF317583BB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0CB0-441C-AD1D-2BF317583BB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0CB0-441C-AD1D-2BF317583BB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0CB0-441C-AD1D-2BF317583B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'5.1.2Graphique capitaux propres'!$D$2:$D$10</c:f>
              <c:strCache>
                <c:ptCount val="9"/>
                <c:pt idx="0">
                  <c:v>Financement spéciaux du capital propre</c:v>
                </c:pt>
                <c:pt idx="1">
                  <c:v>Fonds du capital propres</c:v>
                </c:pt>
                <c:pt idx="2">
                  <c:v>Réserves des domaines de l'enveloppe budgétaire</c:v>
                </c:pt>
                <c:pt idx="3">
                  <c:v>Préfinancements</c:v>
                </c:pt>
                <c:pt idx="4">
                  <c:v>Réserves de politique budgétaire</c:v>
                </c:pt>
                <c:pt idx="5">
                  <c:v>Réserves liées à la réévaluation (introduction MCH2)</c:v>
                </c:pt>
                <c:pt idx="6">
                  <c:v>Réserves liées à la réévaluation du PF</c:v>
                </c:pt>
                <c:pt idx="7">
                  <c:v>Autres capitaux propres</c:v>
                </c:pt>
                <c:pt idx="8">
                  <c:v>Résultat annuel (excédent de charges ou produits)</c:v>
                </c:pt>
              </c:strCache>
            </c:strRef>
          </c:cat>
          <c:val>
            <c:numRef>
              <c:f>'5.1.2Graphique capitaux propres'!$E$2:$E$10</c:f>
              <c:numCache>
                <c:formatCode>#,##0.00</c:formatCode>
                <c:ptCount val="9"/>
                <c:pt idx="0">
                  <c:v>101978609.80999999</c:v>
                </c:pt>
                <c:pt idx="1">
                  <c:v>1455148.63</c:v>
                </c:pt>
                <c:pt idx="2">
                  <c:v>496495.75</c:v>
                </c:pt>
                <c:pt idx="3">
                  <c:v>15588873.17</c:v>
                </c:pt>
                <c:pt idx="4">
                  <c:v>28092726.560000006</c:v>
                </c:pt>
                <c:pt idx="5">
                  <c:v>497783.3</c:v>
                </c:pt>
                <c:pt idx="6">
                  <c:v>7620869.9900000002</c:v>
                </c:pt>
                <c:pt idx="7">
                  <c:v>146768.70000000001</c:v>
                </c:pt>
                <c:pt idx="8">
                  <c:v>100568726.30000004</c:v>
                </c:pt>
              </c:numCache>
            </c:numRef>
          </c:val>
          <c:extLst>
            <c:ext xmlns:c16="http://schemas.microsoft.com/office/drawing/2014/chart" uri="{C3380CC4-5D6E-409C-BE32-E72D297353CC}">
              <c16:uniqueId val="{00000000-DD3D-4938-A9B9-1447CB6437B6}"/>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ENDETTEMENT BRUT, EN FRANCS PAR HABITANT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spPr>
            <a:solidFill>
              <a:schemeClr val="accent1"/>
            </a:solidFill>
            <a:ln>
              <a:noFill/>
            </a:ln>
            <a:effectLst/>
            <a:sp3d/>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'5.4.1Graphique de l''endettement'!$A$3:$A$55</c:f>
              <c:strCache>
                <c:ptCount val="53"/>
                <c:pt idx="0">
                  <c:v>Boécourt</c:v>
                </c:pt>
                <c:pt idx="1">
                  <c:v>Bourrignon</c:v>
                </c:pt>
                <c:pt idx="2">
                  <c:v>Châtillon</c:v>
                </c:pt>
                <c:pt idx="3">
                  <c:v>Courchapoix</c:v>
                </c:pt>
                <c:pt idx="4">
                  <c:v>Courrendlin</c:v>
                </c:pt>
                <c:pt idx="5">
                  <c:v>Courroux</c:v>
                </c:pt>
                <c:pt idx="6">
                  <c:v>Courtételle</c:v>
                </c:pt>
                <c:pt idx="7">
                  <c:v>Delémont</c:v>
                </c:pt>
                <c:pt idx="8">
                  <c:v>Develier</c:v>
                </c:pt>
                <c:pt idx="9">
                  <c:v>Ederswiler</c:v>
                </c:pt>
                <c:pt idx="10">
                  <c:v>Haute-Sorne</c:v>
                </c:pt>
                <c:pt idx="11">
                  <c:v>Mervelier</c:v>
                </c:pt>
                <c:pt idx="12">
                  <c:v>Mettembert</c:v>
                </c:pt>
                <c:pt idx="13">
                  <c:v>Movelier</c:v>
                </c:pt>
                <c:pt idx="14">
                  <c:v>Pleigne</c:v>
                </c:pt>
                <c:pt idx="15">
                  <c:v>Rossemaison</c:v>
                </c:pt>
                <c:pt idx="16">
                  <c:v>Saulcy</c:v>
                </c:pt>
                <c:pt idx="17">
                  <c:v>Soyhières</c:v>
                </c:pt>
                <c:pt idx="18">
                  <c:v>Val Terbi</c:v>
                </c:pt>
                <c:pt idx="19">
                  <c:v>Le Bémont</c:v>
                </c:pt>
                <c:pt idx="20">
                  <c:v>Les Bois</c:v>
                </c:pt>
                <c:pt idx="21">
                  <c:v>Les Breuleux</c:v>
                </c:pt>
                <c:pt idx="22">
                  <c:v>La Chaux-B.</c:v>
                </c:pt>
                <c:pt idx="23">
                  <c:v>Les Enfers</c:v>
                </c:pt>
                <c:pt idx="24">
                  <c:v>Les Genevez</c:v>
                </c:pt>
                <c:pt idx="25">
                  <c:v>Lajoux</c:v>
                </c:pt>
                <c:pt idx="26">
                  <c:v>Montfaucon</c:v>
                </c:pt>
                <c:pt idx="27">
                  <c:v>Muriaux</c:v>
                </c:pt>
                <c:pt idx="28">
                  <c:v>Le Noirmont</c:v>
                </c:pt>
                <c:pt idx="29">
                  <c:v>Saignelégier</c:v>
                </c:pt>
                <c:pt idx="30">
                  <c:v>Saint-Brais</c:v>
                </c:pt>
                <c:pt idx="31">
                  <c:v>Soubey</c:v>
                </c:pt>
                <c:pt idx="32">
                  <c:v>Alle</c:v>
                </c:pt>
                <c:pt idx="33">
                  <c:v>La Baroche</c:v>
                </c:pt>
                <c:pt idx="34">
                  <c:v>Basse-Allaine</c:v>
                </c:pt>
                <c:pt idx="35">
                  <c:v>Beurnevésin</c:v>
                </c:pt>
                <c:pt idx="36">
                  <c:v>Boncourt</c:v>
                </c:pt>
                <c:pt idx="37">
                  <c:v>Bonfol</c:v>
                </c:pt>
                <c:pt idx="38">
                  <c:v>Bure</c:v>
                </c:pt>
                <c:pt idx="39">
                  <c:v>Clos du Doubs</c:v>
                </c:pt>
                <c:pt idx="40">
                  <c:v>Coeuve</c:v>
                </c:pt>
                <c:pt idx="41">
                  <c:v>Cornol</c:v>
                </c:pt>
                <c:pt idx="42">
                  <c:v>Courchavon</c:v>
                </c:pt>
                <c:pt idx="43">
                  <c:v>Courgenay</c:v>
                </c:pt>
                <c:pt idx="44">
                  <c:v>Courtedoux</c:v>
                </c:pt>
                <c:pt idx="45">
                  <c:v>Damphreux</c:v>
                </c:pt>
                <c:pt idx="46">
                  <c:v>Fahy</c:v>
                </c:pt>
                <c:pt idx="47">
                  <c:v>Fontenais</c:v>
                </c:pt>
                <c:pt idx="48">
                  <c:v>Grandfontaine</c:v>
                </c:pt>
                <c:pt idx="49">
                  <c:v>Haute-Ajoie</c:v>
                </c:pt>
                <c:pt idx="50">
                  <c:v>Lugnez</c:v>
                </c:pt>
                <c:pt idx="51">
                  <c:v>Porrentruy</c:v>
                </c:pt>
                <c:pt idx="52">
                  <c:v>Vendlincourt</c:v>
                </c:pt>
              </c:strCache>
            </c:strRef>
          </c:cat>
          <c:val>
            <c:numRef>
              <c:f>'5.4.1Graphique de l''endettement'!$C$3:$C$55</c:f>
              <c:numCache>
                <c:formatCode>#,##0.00</c:formatCode>
                <c:ptCount val="53"/>
                <c:pt idx="0">
                  <c:v>10931.844097148891</c:v>
                </c:pt>
                <c:pt idx="1">
                  <c:v>9337.0366037735857</c:v>
                </c:pt>
                <c:pt idx="2">
                  <c:v>11775.710874200427</c:v>
                </c:pt>
                <c:pt idx="3">
                  <c:v>10096.368701594532</c:v>
                </c:pt>
                <c:pt idx="4">
                  <c:v>6468.2476850858375</c:v>
                </c:pt>
                <c:pt idx="5">
                  <c:v>7054.2133034379667</c:v>
                </c:pt>
                <c:pt idx="6">
                  <c:v>3972.2858144796382</c:v>
                </c:pt>
                <c:pt idx="7">
                  <c:v>11408.696573443387</c:v>
                </c:pt>
                <c:pt idx="8">
                  <c:v>4941.658219278881</c:v>
                </c:pt>
                <c:pt idx="9">
                  <c:v>7337.0810256410259</c:v>
                </c:pt>
                <c:pt idx="10">
                  <c:v>6079.31046550062</c:v>
                </c:pt>
                <c:pt idx="11">
                  <c:v>5750.5339033457258</c:v>
                </c:pt>
                <c:pt idx="12">
                  <c:v>4481.0444144144139</c:v>
                </c:pt>
                <c:pt idx="13">
                  <c:v>7324.8976722090256</c:v>
                </c:pt>
                <c:pt idx="14">
                  <c:v>11853.385000000002</c:v>
                </c:pt>
                <c:pt idx="15">
                  <c:v>7178.1171549295768</c:v>
                </c:pt>
                <c:pt idx="16">
                  <c:v>3484.9860223048327</c:v>
                </c:pt>
                <c:pt idx="17">
                  <c:v>8620.2964090909081</c:v>
                </c:pt>
                <c:pt idx="18">
                  <c:v>5093.818386497368</c:v>
                </c:pt>
                <c:pt idx="19">
                  <c:v>1943.0361290322578</c:v>
                </c:pt>
                <c:pt idx="20">
                  <c:v>8419.3571968503948</c:v>
                </c:pt>
                <c:pt idx="21">
                  <c:v>5630.3246015936256</c:v>
                </c:pt>
                <c:pt idx="22">
                  <c:v>8699.1604166666675</c:v>
                </c:pt>
                <c:pt idx="23">
                  <c:v>8232.6388513513521</c:v>
                </c:pt>
                <c:pt idx="24">
                  <c:v>8294.8560424710413</c:v>
                </c:pt>
                <c:pt idx="25">
                  <c:v>10216.269843081311</c:v>
                </c:pt>
                <c:pt idx="26">
                  <c:v>6650.0165070921985</c:v>
                </c:pt>
                <c:pt idx="27">
                  <c:v>2207.7674857142856</c:v>
                </c:pt>
                <c:pt idx="28">
                  <c:v>3354.7941644840234</c:v>
                </c:pt>
                <c:pt idx="29">
                  <c:v>6541.7806124031013</c:v>
                </c:pt>
                <c:pt idx="30">
                  <c:v>7576.7132432432427</c:v>
                </c:pt>
                <c:pt idx="31">
                  <c:v>8001.1899224806202</c:v>
                </c:pt>
                <c:pt idx="32">
                  <c:v>9521.2628767847709</c:v>
                </c:pt>
                <c:pt idx="33">
                  <c:v>8490.6535435168753</c:v>
                </c:pt>
                <c:pt idx="34">
                  <c:v>9216.5159102040816</c:v>
                </c:pt>
                <c:pt idx="35">
                  <c:v>13759.278547008547</c:v>
                </c:pt>
                <c:pt idx="36">
                  <c:v>7989.1711898734175</c:v>
                </c:pt>
                <c:pt idx="37">
                  <c:v>7882.9902180685358</c:v>
                </c:pt>
                <c:pt idx="38">
                  <c:v>6452.08</c:v>
                </c:pt>
                <c:pt idx="39">
                  <c:v>8768.3360981308415</c:v>
                </c:pt>
                <c:pt idx="40">
                  <c:v>7765.055335157318</c:v>
                </c:pt>
                <c:pt idx="41">
                  <c:v>8791.2132480314958</c:v>
                </c:pt>
                <c:pt idx="42">
                  <c:v>6143.9939144736836</c:v>
                </c:pt>
                <c:pt idx="43">
                  <c:v>5430.631388888889</c:v>
                </c:pt>
                <c:pt idx="44">
                  <c:v>8146.3698095238105</c:v>
                </c:pt>
                <c:pt idx="45">
                  <c:v>3809.9758378378378</c:v>
                </c:pt>
                <c:pt idx="46">
                  <c:v>5890.876617647059</c:v>
                </c:pt>
                <c:pt idx="47">
                  <c:v>11661.222380671774</c:v>
                </c:pt>
                <c:pt idx="48">
                  <c:v>5308.4209487179487</c:v>
                </c:pt>
                <c:pt idx="49">
                  <c:v>9653.8326467847146</c:v>
                </c:pt>
                <c:pt idx="50">
                  <c:v>1195.0679347826087</c:v>
                </c:pt>
                <c:pt idx="51">
                  <c:v>10347.08536343953</c:v>
                </c:pt>
                <c:pt idx="52">
                  <c:v>7229.0261896243283</c:v>
                </c:pt>
              </c:numCache>
            </c:numRef>
          </c:val>
          <c:extLst>
            <c:ext xmlns:c16="http://schemas.microsoft.com/office/drawing/2014/chart" uri="{C3380CC4-5D6E-409C-BE32-E72D297353CC}">
              <c16:uniqueId val="{00000000-D128-40C3-A339-8DA050C8CE9C}"/>
            </c:ext>
          </c:extLst>
        </c:ser>
        <c:dLbls>
          <c:showLegendKey val="0"/>
          <c:showVal val="1"/>
          <c:showCatName val="0"/>
          <c:showSerName val="0"/>
          <c:showPercent val="0"/>
          <c:showBubbleSize val="0"/>
        </c:dLbls>
        <c:gapWidth val="150"/>
        <c:shape val="box"/>
        <c:axId val="482476928"/>
        <c:axId val="482472336"/>
        <c:axId val="0"/>
      </c:bar3DChart>
      <c:catAx>
        <c:axId val="482476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2472336"/>
        <c:crosses val="autoZero"/>
        <c:auto val="1"/>
        <c:lblAlgn val="ctr"/>
        <c:lblOffset val="100"/>
        <c:noMultiLvlLbl val="0"/>
      </c:catAx>
      <c:valAx>
        <c:axId val="4824723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2476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514350</xdr:colOff>
      <xdr:row>0</xdr:row>
      <xdr:rowOff>152400</xdr:rowOff>
    </xdr:from>
    <xdr:to>
      <xdr:col>5</xdr:col>
      <xdr:colOff>571500</xdr:colOff>
      <xdr:row>2</xdr:row>
      <xdr:rowOff>28575</xdr:rowOff>
    </xdr:to>
    <xdr:sp macro="" textlink="">
      <xdr:nvSpPr>
        <xdr:cNvPr id="2" name="Flèche gauche 1">
          <a:extLst>
            <a:ext uri="{FF2B5EF4-FFF2-40B4-BE49-F238E27FC236}">
              <a16:creationId xmlns:a16="http://schemas.microsoft.com/office/drawing/2014/main" id="{00000000-0008-0000-0100-000002000000}"/>
            </a:ext>
          </a:extLst>
        </xdr:cNvPr>
        <xdr:cNvSpPr/>
      </xdr:nvSpPr>
      <xdr:spPr>
        <a:xfrm>
          <a:off x="2438400" y="152400"/>
          <a:ext cx="1581150" cy="2190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CH"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28</xdr:row>
      <xdr:rowOff>152400</xdr:rowOff>
    </xdr:from>
    <xdr:to>
      <xdr:col>19</xdr:col>
      <xdr:colOff>47625</xdr:colOff>
      <xdr:row>52</xdr:row>
      <xdr:rowOff>57150</xdr:rowOff>
    </xdr:to>
    <xdr:graphicFrame macro="">
      <xdr:nvGraphicFramePr>
        <xdr:cNvPr id="3" name="Graphique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26</xdr:row>
      <xdr:rowOff>138112</xdr:rowOff>
    </xdr:from>
    <xdr:to>
      <xdr:col>19</xdr:col>
      <xdr:colOff>57149</xdr:colOff>
      <xdr:row>52</xdr:row>
      <xdr:rowOff>76200</xdr:rowOff>
    </xdr:to>
    <xdr:graphicFrame macro="">
      <xdr:nvGraphicFramePr>
        <xdr:cNvPr id="2" name="Graphique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761999</xdr:colOff>
      <xdr:row>3</xdr:row>
      <xdr:rowOff>266699</xdr:rowOff>
    </xdr:from>
    <xdr:to>
      <xdr:col>13</xdr:col>
      <xdr:colOff>19050</xdr:colOff>
      <xdr:row>24</xdr:row>
      <xdr:rowOff>9524</xdr:rowOff>
    </xdr:to>
    <xdr:graphicFrame macro="">
      <xdr:nvGraphicFramePr>
        <xdr:cNvPr id="2" name="Graphique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761999</xdr:colOff>
      <xdr:row>24</xdr:row>
      <xdr:rowOff>180975</xdr:rowOff>
    </xdr:from>
    <xdr:to>
      <xdr:col>13</xdr:col>
      <xdr:colOff>9524</xdr:colOff>
      <xdr:row>46</xdr:row>
      <xdr:rowOff>85725</xdr:rowOff>
    </xdr:to>
    <xdr:graphicFrame macro="">
      <xdr:nvGraphicFramePr>
        <xdr:cNvPr id="3" name="Graphique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23</xdr:row>
      <xdr:rowOff>161925</xdr:rowOff>
    </xdr:from>
    <xdr:to>
      <xdr:col>4</xdr:col>
      <xdr:colOff>9525</xdr:colOff>
      <xdr:row>44</xdr:row>
      <xdr:rowOff>182217</xdr:rowOff>
    </xdr:to>
    <xdr:graphicFrame macro="">
      <xdr:nvGraphicFramePr>
        <xdr:cNvPr id="2" name="Graphique 1">
          <a:extLst>
            <a:ext uri="{FF2B5EF4-FFF2-40B4-BE49-F238E27FC236}">
              <a16:creationId xmlns:a16="http://schemas.microsoft.com/office/drawing/2014/main" id="{00000000-0008-0000-1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9526</xdr:colOff>
      <xdr:row>45</xdr:row>
      <xdr:rowOff>190499</xdr:rowOff>
    </xdr:from>
    <xdr:to>
      <xdr:col>4</xdr:col>
      <xdr:colOff>9524</xdr:colOff>
      <xdr:row>66</xdr:row>
      <xdr:rowOff>161925</xdr:rowOff>
    </xdr:to>
    <xdr:graphicFrame macro="">
      <xdr:nvGraphicFramePr>
        <xdr:cNvPr id="3" name="Graphique 2">
          <a:extLst>
            <a:ext uri="{FF2B5EF4-FFF2-40B4-BE49-F238E27FC236}">
              <a16:creationId xmlns:a16="http://schemas.microsoft.com/office/drawing/2014/main" id="{00000000-0008-0000-1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552449</xdr:colOff>
      <xdr:row>11</xdr:row>
      <xdr:rowOff>9525</xdr:rowOff>
    </xdr:from>
    <xdr:to>
      <xdr:col>11</xdr:col>
      <xdr:colOff>9524</xdr:colOff>
      <xdr:row>34</xdr:row>
      <xdr:rowOff>142875</xdr:rowOff>
    </xdr:to>
    <xdr:graphicFrame macro="">
      <xdr:nvGraphicFramePr>
        <xdr:cNvPr id="2" name="Graphique 1">
          <a:extLst>
            <a:ext uri="{FF2B5EF4-FFF2-40B4-BE49-F238E27FC236}">
              <a16:creationId xmlns:a16="http://schemas.microsoft.com/office/drawing/2014/main" id="{00000000-0008-0000-1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9525</xdr:colOff>
      <xdr:row>2</xdr:row>
      <xdr:rowOff>0</xdr:rowOff>
    </xdr:from>
    <xdr:to>
      <xdr:col>14</xdr:col>
      <xdr:colOff>9525</xdr:colOff>
      <xdr:row>55</xdr:row>
      <xdr:rowOff>9525</xdr:rowOff>
    </xdr:to>
    <xdr:graphicFrame macro="">
      <xdr:nvGraphicFramePr>
        <xdr:cNvPr id="2" name="Graphique 1">
          <a:extLst>
            <a:ext uri="{FF2B5EF4-FFF2-40B4-BE49-F238E27FC236}">
              <a16:creationId xmlns:a16="http://schemas.microsoft.com/office/drawing/2014/main" id="{00000000-0008-0000-1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28576</xdr:colOff>
      <xdr:row>0</xdr:row>
      <xdr:rowOff>0</xdr:rowOff>
    </xdr:from>
    <xdr:to>
      <xdr:col>7</xdr:col>
      <xdr:colOff>752476</xdr:colOff>
      <xdr:row>6</xdr:row>
      <xdr:rowOff>114300</xdr:rowOff>
    </xdr:to>
    <xdr:pic>
      <xdr:nvPicPr>
        <xdr:cNvPr id="2" name="Image 1" descr="com_delegue">
          <a:extLst>
            <a:ext uri="{FF2B5EF4-FFF2-40B4-BE49-F238E27FC236}">
              <a16:creationId xmlns:a16="http://schemas.microsoft.com/office/drawing/2014/main" id="{00000000-0008-0000-1C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33" t="13924" r="3590"/>
        <a:stretch/>
      </xdr:blipFill>
      <xdr:spPr bwMode="auto">
        <a:xfrm>
          <a:off x="28576" y="0"/>
          <a:ext cx="6286500" cy="1257300"/>
        </a:xfrm>
        <a:prstGeom prst="rect">
          <a:avLst/>
        </a:prstGeom>
        <a:noFill/>
        <a:ln>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2:C41"/>
  <sheetViews>
    <sheetView workbookViewId="0">
      <selection activeCell="A3" sqref="A3"/>
    </sheetView>
  </sheetViews>
  <sheetFormatPr baseColWidth="10" defaultColWidth="11.42578125" defaultRowHeight="15" x14ac:dyDescent="0.25"/>
  <cols>
    <col min="1" max="1" width="7.85546875" customWidth="1"/>
    <col min="2" max="2" width="69.140625" customWidth="1"/>
    <col min="3" max="3" width="43.85546875" customWidth="1"/>
  </cols>
  <sheetData>
    <row r="2" spans="1:3" ht="23.25" x14ac:dyDescent="0.35">
      <c r="A2" s="162" t="s">
        <v>835</v>
      </c>
    </row>
    <row r="4" spans="1:3" ht="21" x14ac:dyDescent="0.35">
      <c r="B4" s="161" t="s">
        <v>605</v>
      </c>
      <c r="C4" s="124"/>
    </row>
    <row r="5" spans="1:3" x14ac:dyDescent="0.25">
      <c r="C5" s="124"/>
    </row>
    <row r="6" spans="1:3" x14ac:dyDescent="0.25">
      <c r="A6" s="53">
        <v>1</v>
      </c>
      <c r="B6" s="7" t="s">
        <v>595</v>
      </c>
      <c r="C6" s="130"/>
    </row>
    <row r="7" spans="1:3" x14ac:dyDescent="0.25">
      <c r="A7" s="124">
        <v>1.1000000000000001</v>
      </c>
      <c r="B7" t="s">
        <v>595</v>
      </c>
      <c r="C7" s="131" t="s">
        <v>595</v>
      </c>
    </row>
    <row r="8" spans="1:3" x14ac:dyDescent="0.25">
      <c r="A8" s="124"/>
      <c r="C8" s="132"/>
    </row>
    <row r="9" spans="1:3" x14ac:dyDescent="0.25">
      <c r="A9" s="53">
        <v>2</v>
      </c>
      <c r="B9" s="7" t="s">
        <v>599</v>
      </c>
      <c r="C9" s="132"/>
    </row>
    <row r="10" spans="1:3" x14ac:dyDescent="0.25">
      <c r="A10" s="124">
        <v>2.1</v>
      </c>
      <c r="B10" t="s">
        <v>606</v>
      </c>
      <c r="C10" s="133" t="s">
        <v>620</v>
      </c>
    </row>
    <row r="11" spans="1:3" x14ac:dyDescent="0.25">
      <c r="A11" s="124">
        <v>2.2000000000000002</v>
      </c>
      <c r="B11" t="s">
        <v>607</v>
      </c>
      <c r="C11" s="134" t="s">
        <v>621</v>
      </c>
    </row>
    <row r="12" spans="1:3" x14ac:dyDescent="0.25">
      <c r="A12" s="124">
        <v>2.2999999999999998</v>
      </c>
      <c r="B12" t="s">
        <v>641</v>
      </c>
      <c r="C12" s="134" t="s">
        <v>643</v>
      </c>
    </row>
    <row r="13" spans="1:3" x14ac:dyDescent="0.25">
      <c r="A13" s="124">
        <v>2.4</v>
      </c>
      <c r="B13" t="s">
        <v>596</v>
      </c>
      <c r="C13" s="134" t="s">
        <v>596</v>
      </c>
    </row>
    <row r="14" spans="1:3" x14ac:dyDescent="0.25">
      <c r="A14" s="124">
        <v>2.5</v>
      </c>
      <c r="B14" t="s">
        <v>597</v>
      </c>
      <c r="C14" s="134" t="s">
        <v>597</v>
      </c>
    </row>
    <row r="15" spans="1:3" x14ac:dyDescent="0.25">
      <c r="A15" s="124">
        <v>2.6</v>
      </c>
      <c r="B15" t="s">
        <v>622</v>
      </c>
      <c r="C15" s="134" t="s">
        <v>622</v>
      </c>
    </row>
    <row r="16" spans="1:3" x14ac:dyDescent="0.25">
      <c r="A16" s="124">
        <v>2.7</v>
      </c>
      <c r="B16" t="s">
        <v>623</v>
      </c>
      <c r="C16" s="134" t="s">
        <v>624</v>
      </c>
    </row>
    <row r="17" spans="1:3" x14ac:dyDescent="0.25">
      <c r="A17" s="124">
        <v>2.8</v>
      </c>
      <c r="B17" t="s">
        <v>547</v>
      </c>
      <c r="C17" s="134" t="s">
        <v>547</v>
      </c>
    </row>
    <row r="18" spans="1:3" x14ac:dyDescent="0.25">
      <c r="A18" s="124">
        <v>2.9</v>
      </c>
      <c r="B18" t="s">
        <v>598</v>
      </c>
      <c r="C18" s="134" t="s">
        <v>598</v>
      </c>
    </row>
    <row r="19" spans="1:3" x14ac:dyDescent="0.25">
      <c r="A19" s="129">
        <v>2.1</v>
      </c>
      <c r="B19" t="s">
        <v>600</v>
      </c>
      <c r="C19" s="134" t="s">
        <v>600</v>
      </c>
    </row>
    <row r="20" spans="1:3" x14ac:dyDescent="0.25">
      <c r="A20" s="129">
        <v>2.11</v>
      </c>
      <c r="B20" t="s">
        <v>601</v>
      </c>
      <c r="C20" s="134" t="s">
        <v>625</v>
      </c>
    </row>
    <row r="21" spans="1:3" x14ac:dyDescent="0.25">
      <c r="A21" s="124"/>
      <c r="C21" s="132"/>
    </row>
    <row r="22" spans="1:3" x14ac:dyDescent="0.25">
      <c r="A22" s="53">
        <v>3</v>
      </c>
      <c r="B22" s="7" t="s">
        <v>602</v>
      </c>
      <c r="C22" s="132"/>
    </row>
    <row r="23" spans="1:3" x14ac:dyDescent="0.25">
      <c r="A23" s="124">
        <v>3.2</v>
      </c>
      <c r="B23" t="s">
        <v>610</v>
      </c>
      <c r="C23" s="135" t="s">
        <v>610</v>
      </c>
    </row>
    <row r="24" spans="1:3" x14ac:dyDescent="0.25">
      <c r="A24" s="124">
        <v>3.3</v>
      </c>
      <c r="B24" t="s">
        <v>609</v>
      </c>
      <c r="C24" s="135" t="s">
        <v>609</v>
      </c>
    </row>
    <row r="25" spans="1:3" x14ac:dyDescent="0.25">
      <c r="A25" s="124">
        <v>3.4</v>
      </c>
      <c r="B25" t="s">
        <v>738</v>
      </c>
      <c r="C25" s="135" t="s">
        <v>738</v>
      </c>
    </row>
    <row r="26" spans="1:3" x14ac:dyDescent="0.25">
      <c r="A26" s="124">
        <v>3.5</v>
      </c>
      <c r="B26" t="s">
        <v>603</v>
      </c>
      <c r="C26" s="135" t="s">
        <v>626</v>
      </c>
    </row>
    <row r="27" spans="1:3" x14ac:dyDescent="0.25">
      <c r="A27" s="124">
        <v>3.6</v>
      </c>
      <c r="B27" t="s">
        <v>604</v>
      </c>
      <c r="C27" s="135" t="s">
        <v>737</v>
      </c>
    </row>
    <row r="28" spans="1:3" x14ac:dyDescent="0.25">
      <c r="A28" s="124"/>
      <c r="C28" s="132"/>
    </row>
    <row r="29" spans="1:3" x14ac:dyDescent="0.25">
      <c r="A29" s="53">
        <v>4</v>
      </c>
      <c r="B29" s="7" t="s">
        <v>612</v>
      </c>
      <c r="C29" s="132"/>
    </row>
    <row r="30" spans="1:3" x14ac:dyDescent="0.25">
      <c r="A30" s="124">
        <v>4.0999999999999996</v>
      </c>
      <c r="B30" t="s">
        <v>611</v>
      </c>
      <c r="C30" s="136" t="s">
        <v>608</v>
      </c>
    </row>
    <row r="31" spans="1:3" x14ac:dyDescent="0.25">
      <c r="A31" s="124">
        <v>4.2</v>
      </c>
      <c r="B31" t="s">
        <v>642</v>
      </c>
      <c r="C31" s="136" t="s">
        <v>642</v>
      </c>
    </row>
    <row r="32" spans="1:3" x14ac:dyDescent="0.25">
      <c r="A32" s="124"/>
      <c r="C32" s="132"/>
    </row>
    <row r="33" spans="1:3" x14ac:dyDescent="0.25">
      <c r="A33" s="53">
        <v>5</v>
      </c>
      <c r="B33" s="7" t="s">
        <v>275</v>
      </c>
      <c r="C33" s="132"/>
    </row>
    <row r="34" spans="1:3" x14ac:dyDescent="0.25">
      <c r="A34" s="124">
        <v>5.0999999999999996</v>
      </c>
      <c r="B34" t="s">
        <v>739</v>
      </c>
      <c r="C34" s="138" t="s">
        <v>739</v>
      </c>
    </row>
    <row r="35" spans="1:3" x14ac:dyDescent="0.25">
      <c r="A35" s="124">
        <v>5.2</v>
      </c>
      <c r="B35" t="s">
        <v>619</v>
      </c>
      <c r="C35" s="137" t="s">
        <v>568</v>
      </c>
    </row>
    <row r="36" spans="1:3" x14ac:dyDescent="0.25">
      <c r="A36" s="124">
        <v>5.3</v>
      </c>
      <c r="B36" t="s">
        <v>615</v>
      </c>
      <c r="C36" s="138" t="s">
        <v>627</v>
      </c>
    </row>
    <row r="37" spans="1:3" x14ac:dyDescent="0.25">
      <c r="A37" s="124">
        <v>5.4</v>
      </c>
      <c r="B37" t="s">
        <v>616</v>
      </c>
      <c r="C37" s="138" t="s">
        <v>628</v>
      </c>
    </row>
    <row r="38" spans="1:3" x14ac:dyDescent="0.25">
      <c r="A38" s="124">
        <v>5.5</v>
      </c>
      <c r="B38" t="s">
        <v>617</v>
      </c>
      <c r="C38" s="138" t="s">
        <v>629</v>
      </c>
    </row>
    <row r="39" spans="1:3" x14ac:dyDescent="0.25">
      <c r="A39" s="124">
        <v>5.6</v>
      </c>
      <c r="B39" t="s">
        <v>618</v>
      </c>
      <c r="C39" s="137" t="s">
        <v>630</v>
      </c>
    </row>
    <row r="40" spans="1:3" x14ac:dyDescent="0.25">
      <c r="A40" s="124">
        <v>5.7</v>
      </c>
      <c r="B40" t="s">
        <v>613</v>
      </c>
      <c r="C40" s="138" t="s">
        <v>631</v>
      </c>
    </row>
    <row r="41" spans="1:3" x14ac:dyDescent="0.25">
      <c r="A41" s="124">
        <v>5.8</v>
      </c>
      <c r="B41" t="s">
        <v>614</v>
      </c>
      <c r="C41" s="138" t="s">
        <v>614</v>
      </c>
    </row>
  </sheetData>
  <hyperlinks>
    <hyperlink ref="C7" location="Sommaire!A1" display="Population" xr:uid="{00000000-0004-0000-0000-000000000000}"/>
    <hyperlink ref="C10" location="'Comptes 2020 natures'!A1" display="Compte de résultats" xr:uid="{00000000-0004-0000-0000-000001000000}"/>
    <hyperlink ref="C11" location="'Comptes 2020 par habitant'!A1" display="Compte de résultats en Fr. par habitant" xr:uid="{00000000-0004-0000-0000-000002000000}"/>
    <hyperlink ref="C13" location="'Vue d''ensemble'!A1" display="Vue d'ensemble" xr:uid="{00000000-0004-0000-0000-000003000000}"/>
    <hyperlink ref="C14" location="'Vue par commune'!A1" display="Vue d'ensemble par commune" xr:uid="{00000000-0004-0000-0000-000004000000}"/>
    <hyperlink ref="C15" location="'Résultats à 3 niveaux'!A1" display="Résultats à 3 niveaux" xr:uid="{00000000-0004-0000-0000-000005000000}"/>
    <hyperlink ref="C16" location="'Résultats à 3 par commune'!A1" display="Résultats à 3 niveaux par commune" xr:uid="{00000000-0004-0000-0000-000006000000}"/>
    <hyperlink ref="C17" location="Autofinancement!A1" display="Autofinancement" xr:uid="{00000000-0004-0000-0000-000007000000}"/>
    <hyperlink ref="C18" location="Sommaire!A1" display="Autofinancement par commune" xr:uid="{00000000-0004-0000-0000-000008000000}"/>
    <hyperlink ref="C19" location="'Comptes 2020 fonctionnelle'!A1" display="Compte de résultats par fonction" xr:uid="{00000000-0004-0000-0000-000009000000}"/>
    <hyperlink ref="C20" location="Sommaire!A1" display="Compte de résultats fonctionnel par commune" xr:uid="{00000000-0004-0000-0000-00000A000000}"/>
    <hyperlink ref="C23" location="'Tableau bilan'!A1" display="Bilan de l'ensemble des communes" xr:uid="{00000000-0004-0000-0000-00000B000000}"/>
    <hyperlink ref="C26" location="'Tableau de l''endettement'!A1" display="Endettement" xr:uid="{00000000-0004-0000-0000-00000C000000}"/>
    <hyperlink ref="C30" location="Investissements!A1" display="Investissements" xr:uid="{00000000-0004-0000-0000-00000D000000}"/>
    <hyperlink ref="C35" location="'Endett. net + degré d''auto.'!A1" display="Degré d'autofinancement" xr:uid="{00000000-0004-0000-0000-00000E000000}"/>
    <hyperlink ref="C36" location="'Quotité d''intéret + revenus det'!A1" display="Dette brute par rapport aux revenus" xr:uid="{00000000-0004-0000-0000-00000F000000}"/>
    <hyperlink ref="C37" location="'Quotité d''invest + fin.'!A1" display="Quotités d'investissement et charges financière" xr:uid="{00000000-0004-0000-0000-000010000000}"/>
    <hyperlink ref="C38" location="'Quotité d''autofinancement'!A1" display="Quotité d''autofinancement" xr:uid="{00000000-0004-0000-0000-000011000000}"/>
    <hyperlink ref="C39" location="'Quotient excédent du bilan'!A1" display="Quotient excédent du bilan" xr:uid="{00000000-0004-0000-0000-000012000000}"/>
    <hyperlink ref="C40" location="Récapitulatif!A1" display="Récapitulatif" xr:uid="{00000000-0004-0000-0000-000013000000}"/>
    <hyperlink ref="C41" location="'Indicateurs par commune'!A1" display="Récapitulatif par commune" xr:uid="{00000000-0004-0000-0000-000014000000}"/>
    <hyperlink ref="C31" location="'Investissements par commune'!A1" display="Investissements par commune" xr:uid="{00000000-0004-0000-0000-000015000000}"/>
    <hyperlink ref="C12" location="'Comptes 2020 Hab. par commune'!A1" display="Compte de résultats en Fr. par commune" xr:uid="{00000000-0004-0000-0000-000016000000}"/>
    <hyperlink ref="C24" location="'Bilan par commune'!A1" display="Bilan par commune" xr:uid="{00000000-0004-0000-0000-000017000000}"/>
    <hyperlink ref="C27" location="'Endettement par commune'!A1" display="Endettement par commune" xr:uid="{00000000-0004-0000-0000-000018000000}"/>
    <hyperlink ref="C25" location="'Tableau bilan'!A1" display="Tableau du bilan" xr:uid="{00000000-0004-0000-0000-000019000000}"/>
    <hyperlink ref="C34" location="'Définition des indicateurs'!A1" display="Définition des indicateurs financiers" xr:uid="{00000000-0004-0000-0000-00001A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59999389629810485"/>
    <pageSetUpPr fitToPage="1"/>
  </sheetPr>
  <dimension ref="A2:E161"/>
  <sheetViews>
    <sheetView topLeftCell="A16" workbookViewId="0">
      <selection activeCell="D5" sqref="D5"/>
    </sheetView>
  </sheetViews>
  <sheetFormatPr baseColWidth="10" defaultColWidth="11.42578125" defaultRowHeight="15" x14ac:dyDescent="0.25"/>
  <cols>
    <col min="1" max="2" width="5.7109375" customWidth="1"/>
    <col min="3" max="3" width="9" customWidth="1"/>
    <col min="4" max="4" width="63.5703125" customWidth="1"/>
    <col min="5" max="5" width="23" customWidth="1"/>
  </cols>
  <sheetData>
    <row r="2" spans="1:5" ht="26.25" x14ac:dyDescent="0.4">
      <c r="A2" s="32" t="s">
        <v>838</v>
      </c>
      <c r="B2" s="7"/>
      <c r="C2" s="7"/>
      <c r="D2" s="7"/>
    </row>
    <row r="4" spans="1:5" ht="15.75" thickBot="1" x14ac:dyDescent="0.3"/>
    <row r="5" spans="1:5" ht="15.75" thickBot="1" x14ac:dyDescent="0.3">
      <c r="A5" t="s">
        <v>634</v>
      </c>
      <c r="D5" s="142" t="s">
        <v>71</v>
      </c>
    </row>
    <row r="7" spans="1:5" x14ac:dyDescent="0.25">
      <c r="E7" s="53" t="s">
        <v>202</v>
      </c>
    </row>
    <row r="8" spans="1:5" ht="21" x14ac:dyDescent="0.35">
      <c r="A8" s="74">
        <v>3</v>
      </c>
      <c r="B8" s="74"/>
      <c r="C8" s="74"/>
      <c r="D8" s="74" t="s">
        <v>60</v>
      </c>
      <c r="E8" s="139">
        <f>HLOOKUP($D$5,'4.9 Comptes 2021 par habitant'!$E$3:$BE$158,2,0)</f>
        <v>6697.8907291666665</v>
      </c>
    </row>
    <row r="9" spans="1:5" x14ac:dyDescent="0.25">
      <c r="A9" s="76"/>
      <c r="B9" s="76">
        <v>30</v>
      </c>
      <c r="C9" s="76"/>
      <c r="D9" s="76" t="s">
        <v>61</v>
      </c>
      <c r="E9" s="77">
        <f>SUM(E10:E17)</f>
        <v>850.31562499999995</v>
      </c>
    </row>
    <row r="10" spans="1:5" x14ac:dyDescent="0.25">
      <c r="C10">
        <v>300</v>
      </c>
      <c r="D10" t="s">
        <v>80</v>
      </c>
      <c r="E10" s="4">
        <f>HLOOKUP($D$5,'4.9 Comptes 2021 par habitant'!$E$3:$BE$158,4,0)</f>
        <v>54.786458333333336</v>
      </c>
    </row>
    <row r="11" spans="1:5" x14ac:dyDescent="0.25">
      <c r="C11">
        <v>301</v>
      </c>
      <c r="D11" t="s">
        <v>81</v>
      </c>
      <c r="E11" s="4">
        <f>HLOOKUP($D$5,'4.9 Comptes 2021 par habitant'!$E$3:$BE$158,5,0)</f>
        <v>689.40885416666663</v>
      </c>
    </row>
    <row r="12" spans="1:5" x14ac:dyDescent="0.25">
      <c r="C12">
        <v>302</v>
      </c>
      <c r="D12" t="s">
        <v>82</v>
      </c>
      <c r="E12" s="4">
        <f>HLOOKUP($D$5,'4.9 Comptes 2021 par habitant'!$E$3:$BE$158,6,0)</f>
        <v>0</v>
      </c>
    </row>
    <row r="13" spans="1:5" x14ac:dyDescent="0.25">
      <c r="C13">
        <v>303</v>
      </c>
      <c r="D13" t="s">
        <v>83</v>
      </c>
      <c r="E13" s="4">
        <f>HLOOKUP($D$5,'4.9 Comptes 2021 par habitant'!$E$3:$BE$158,7,0)</f>
        <v>0</v>
      </c>
    </row>
    <row r="14" spans="1:5" x14ac:dyDescent="0.25">
      <c r="C14">
        <v>304</v>
      </c>
      <c r="D14" t="s">
        <v>583</v>
      </c>
      <c r="E14" s="4">
        <f>HLOOKUP($D$5,'4.9 Comptes 2021 par habitant'!$E$3:$BE$158,8,0)</f>
        <v>0</v>
      </c>
    </row>
    <row r="15" spans="1:5" x14ac:dyDescent="0.25">
      <c r="C15">
        <v>305</v>
      </c>
      <c r="D15" t="s">
        <v>84</v>
      </c>
      <c r="E15" s="4">
        <f>HLOOKUP($D$5,'4.9 Comptes 2021 par habitant'!$E$3:$BE$158,9,0)</f>
        <v>106.1203125</v>
      </c>
    </row>
    <row r="16" spans="1:5" x14ac:dyDescent="0.25">
      <c r="C16">
        <v>306</v>
      </c>
      <c r="D16" t="s">
        <v>85</v>
      </c>
      <c r="E16" s="4">
        <f>HLOOKUP($D$5,'4.9 Comptes 2021 par habitant'!$E$3:$BE$158,10,0)</f>
        <v>0</v>
      </c>
    </row>
    <row r="17" spans="2:5" x14ac:dyDescent="0.25">
      <c r="C17">
        <v>309</v>
      </c>
      <c r="D17" t="s">
        <v>86</v>
      </c>
      <c r="E17" s="4">
        <f>HLOOKUP($D$5,'4.9 Comptes 2021 par habitant'!$E$3:$BE$158,11,0)</f>
        <v>0</v>
      </c>
    </row>
    <row r="18" spans="2:5" x14ac:dyDescent="0.25">
      <c r="E18" s="4"/>
    </row>
    <row r="19" spans="2:5" x14ac:dyDescent="0.25">
      <c r="B19" s="76">
        <v>31</v>
      </c>
      <c r="C19" s="76"/>
      <c r="D19" s="76" t="s">
        <v>87</v>
      </c>
      <c r="E19" s="77">
        <f>SUM(E20:E29)</f>
        <v>1661.1707291666664</v>
      </c>
    </row>
    <row r="20" spans="2:5" x14ac:dyDescent="0.25">
      <c r="C20">
        <v>310</v>
      </c>
      <c r="D20" t="s">
        <v>88</v>
      </c>
      <c r="E20" s="4">
        <f>HLOOKUP($D$5,'4.9 Comptes 2021 par habitant'!$E$3:$BE$158,14,0)</f>
        <v>26.488229166666667</v>
      </c>
    </row>
    <row r="21" spans="2:5" x14ac:dyDescent="0.25">
      <c r="C21">
        <v>311</v>
      </c>
      <c r="D21" t="s">
        <v>452</v>
      </c>
      <c r="E21" s="4">
        <f>HLOOKUP($D$5,'4.9 Comptes 2021 par habitant'!$E$3:$BE$158,15,0)</f>
        <v>0</v>
      </c>
    </row>
    <row r="22" spans="2:5" x14ac:dyDescent="0.25">
      <c r="C22">
        <v>312</v>
      </c>
      <c r="D22" t="s">
        <v>90</v>
      </c>
      <c r="E22" s="4">
        <f>HLOOKUP($D$5,'4.9 Comptes 2021 par habitant'!$E$3:$BE$158,16,0)</f>
        <v>724.50468749999993</v>
      </c>
    </row>
    <row r="23" spans="2:5" x14ac:dyDescent="0.25">
      <c r="C23">
        <v>313</v>
      </c>
      <c r="D23" t="s">
        <v>91</v>
      </c>
      <c r="E23" s="4">
        <f>HLOOKUP($D$5,'4.9 Comptes 2021 par habitant'!$E$3:$BE$158,17,0)</f>
        <v>389.59427083333338</v>
      </c>
    </row>
    <row r="24" spans="2:5" x14ac:dyDescent="0.25">
      <c r="C24">
        <v>314</v>
      </c>
      <c r="D24" t="s">
        <v>92</v>
      </c>
      <c r="E24" s="4">
        <f>HLOOKUP($D$5,'4.9 Comptes 2021 par habitant'!$E$3:$BE$158,18,0)</f>
        <v>376.0625</v>
      </c>
    </row>
    <row r="25" spans="2:5" x14ac:dyDescent="0.25">
      <c r="C25">
        <v>315</v>
      </c>
      <c r="D25" t="s">
        <v>93</v>
      </c>
      <c r="E25" s="4">
        <f>HLOOKUP($D$5,'4.9 Comptes 2021 par habitant'!$E$3:$BE$158,19,0)</f>
        <v>63.862500000000004</v>
      </c>
    </row>
    <row r="26" spans="2:5" x14ac:dyDescent="0.25">
      <c r="C26">
        <v>316</v>
      </c>
      <c r="D26" t="s">
        <v>94</v>
      </c>
      <c r="E26" s="4">
        <f>HLOOKUP($D$5,'4.9 Comptes 2021 par habitant'!$E$3:$BE$158,20,0)</f>
        <v>0</v>
      </c>
    </row>
    <row r="27" spans="2:5" x14ac:dyDescent="0.25">
      <c r="C27">
        <v>317</v>
      </c>
      <c r="D27" t="s">
        <v>95</v>
      </c>
      <c r="E27" s="4">
        <f>HLOOKUP($D$5,'4.9 Comptes 2021 par habitant'!$E$3:$BE$158,21,0)</f>
        <v>5.3401041666666664</v>
      </c>
    </row>
    <row r="28" spans="2:5" x14ac:dyDescent="0.25">
      <c r="C28">
        <v>318</v>
      </c>
      <c r="D28" t="s">
        <v>96</v>
      </c>
      <c r="E28" s="4">
        <f>HLOOKUP($D$5,'4.9 Comptes 2021 par habitant'!$E$3:$BE$158,22,0)</f>
        <v>67.016354166666659</v>
      </c>
    </row>
    <row r="29" spans="2:5" x14ac:dyDescent="0.25">
      <c r="C29">
        <v>319</v>
      </c>
      <c r="D29" t="s">
        <v>97</v>
      </c>
      <c r="E29" s="4">
        <f>HLOOKUP($D$5,'4.9 Comptes 2021 par habitant'!$E$3:$BE$158,23,0)</f>
        <v>8.3020833333333339</v>
      </c>
    </row>
    <row r="30" spans="2:5" x14ac:dyDescent="0.25">
      <c r="E30" s="4"/>
    </row>
    <row r="31" spans="2:5" x14ac:dyDescent="0.25">
      <c r="B31" s="76">
        <v>33</v>
      </c>
      <c r="C31" s="76"/>
      <c r="D31" s="76" t="s">
        <v>98</v>
      </c>
      <c r="E31" s="77">
        <f>SUM(E32:E33)</f>
        <v>506.25</v>
      </c>
    </row>
    <row r="32" spans="2:5" x14ac:dyDescent="0.25">
      <c r="C32">
        <v>330</v>
      </c>
      <c r="D32" t="s">
        <v>100</v>
      </c>
      <c r="E32" s="4">
        <f>HLOOKUP($D$5,'4.9 Comptes 2021 par habitant'!$E$3:$BE$158,26,0)</f>
        <v>506.25</v>
      </c>
    </row>
    <row r="33" spans="2:5" x14ac:dyDescent="0.25">
      <c r="C33">
        <v>332</v>
      </c>
      <c r="D33" t="s">
        <v>99</v>
      </c>
      <c r="E33" s="4">
        <f>HLOOKUP($D$5,'4.9 Comptes 2021 par habitant'!$E$3:$BE$158,27,0)</f>
        <v>0</v>
      </c>
    </row>
    <row r="34" spans="2:5" x14ac:dyDescent="0.25">
      <c r="E34" s="4"/>
    </row>
    <row r="35" spans="2:5" x14ac:dyDescent="0.25">
      <c r="B35" s="76">
        <v>34</v>
      </c>
      <c r="C35" s="76"/>
      <c r="D35" s="76" t="s">
        <v>101</v>
      </c>
      <c r="E35" s="77">
        <f>SUM(E36:E41)</f>
        <v>37.085104166666667</v>
      </c>
    </row>
    <row r="36" spans="2:5" x14ac:dyDescent="0.25">
      <c r="C36">
        <v>340</v>
      </c>
      <c r="D36" t="s">
        <v>102</v>
      </c>
      <c r="E36" s="4">
        <f>HLOOKUP($D$5,'4.9 Comptes 2021 par habitant'!$E$3:$BE$158,30,0)</f>
        <v>35.997604166666669</v>
      </c>
    </row>
    <row r="37" spans="2:5" x14ac:dyDescent="0.25">
      <c r="C37">
        <v>341</v>
      </c>
      <c r="D37" t="s">
        <v>103</v>
      </c>
      <c r="E37" s="4">
        <f>HLOOKUP($D$5,'4.9 Comptes 2021 par habitant'!$E$3:$BE$158,31,0)</f>
        <v>0</v>
      </c>
    </row>
    <row r="38" spans="2:5" x14ac:dyDescent="0.25">
      <c r="C38">
        <v>342</v>
      </c>
      <c r="D38" t="s">
        <v>104</v>
      </c>
      <c r="E38" s="4">
        <f>HLOOKUP($D$5,'4.9 Comptes 2021 par habitant'!$E$3:$BE$158,32,0)</f>
        <v>0</v>
      </c>
    </row>
    <row r="39" spans="2:5" x14ac:dyDescent="0.25">
      <c r="C39">
        <v>343</v>
      </c>
      <c r="D39" t="s">
        <v>105</v>
      </c>
      <c r="E39" s="4">
        <f>HLOOKUP($D$5,'4.9 Comptes 2021 par habitant'!$E$3:$BE$158,33,0)</f>
        <v>1.0875000000000001</v>
      </c>
    </row>
    <row r="40" spans="2:5" x14ac:dyDescent="0.25">
      <c r="C40">
        <v>344</v>
      </c>
      <c r="D40" t="s">
        <v>106</v>
      </c>
      <c r="E40" s="4">
        <f>HLOOKUP($D$5,'4.9 Comptes 2021 par habitant'!$E$3:$BE$158,34,0)</f>
        <v>0</v>
      </c>
    </row>
    <row r="41" spans="2:5" x14ac:dyDescent="0.25">
      <c r="C41">
        <v>349</v>
      </c>
      <c r="D41" t="s">
        <v>107</v>
      </c>
      <c r="E41" s="4">
        <f>HLOOKUP($D$5,'4.9 Comptes 2021 par habitant'!$E$3:$BE$158,35,0)</f>
        <v>0</v>
      </c>
    </row>
    <row r="42" spans="2:5" x14ac:dyDescent="0.25">
      <c r="E42" s="4"/>
    </row>
    <row r="43" spans="2:5" x14ac:dyDescent="0.25">
      <c r="B43" s="76">
        <v>35</v>
      </c>
      <c r="C43" s="76"/>
      <c r="D43" s="76" t="s">
        <v>109</v>
      </c>
      <c r="E43" s="77">
        <f>SUM(E44:E45)</f>
        <v>0</v>
      </c>
    </row>
    <row r="44" spans="2:5" x14ac:dyDescent="0.25">
      <c r="C44">
        <v>350</v>
      </c>
      <c r="D44" t="s">
        <v>109</v>
      </c>
      <c r="E44" s="4">
        <f>HLOOKUP($D$5,'4.9 Comptes 2021 par habitant'!$E$3:$BE$158,38,0)</f>
        <v>0</v>
      </c>
    </row>
    <row r="45" spans="2:5" x14ac:dyDescent="0.25">
      <c r="C45">
        <v>351</v>
      </c>
      <c r="D45" t="s">
        <v>108</v>
      </c>
      <c r="E45" s="4">
        <f>HLOOKUP($D$5,'4.9 Comptes 2021 par habitant'!$E$3:$BE$158,39,0)</f>
        <v>0</v>
      </c>
    </row>
    <row r="46" spans="2:5" x14ac:dyDescent="0.25">
      <c r="E46" s="4"/>
    </row>
    <row r="47" spans="2:5" x14ac:dyDescent="0.25">
      <c r="B47" s="76">
        <v>36</v>
      </c>
      <c r="C47" s="76"/>
      <c r="D47" s="76" t="s">
        <v>110</v>
      </c>
      <c r="E47" s="77">
        <f>SUM(E48:E55)</f>
        <v>1968.5744791666666</v>
      </c>
    </row>
    <row r="48" spans="2:5" x14ac:dyDescent="0.25">
      <c r="C48">
        <v>360</v>
      </c>
      <c r="D48" t="s">
        <v>111</v>
      </c>
      <c r="E48" s="4">
        <f>HLOOKUP($D$5,'4.9 Comptes 2021 par habitant'!$E$3:$BE$158,42,0)</f>
        <v>5.46875</v>
      </c>
    </row>
    <row r="49" spans="2:5" x14ac:dyDescent="0.25">
      <c r="C49">
        <v>361</v>
      </c>
      <c r="D49" t="s">
        <v>112</v>
      </c>
      <c r="E49" s="4">
        <f>HLOOKUP($D$5,'4.9 Comptes 2021 par habitant'!$E$3:$BE$158,43,0)</f>
        <v>1527.1963541666667</v>
      </c>
    </row>
    <row r="50" spans="2:5" x14ac:dyDescent="0.25">
      <c r="C50">
        <v>362</v>
      </c>
      <c r="D50" t="s">
        <v>113</v>
      </c>
      <c r="E50" s="4">
        <f>HLOOKUP($D$5,'4.9 Comptes 2021 par habitant'!$E$3:$BE$158,44,0)</f>
        <v>0</v>
      </c>
    </row>
    <row r="51" spans="2:5" x14ac:dyDescent="0.25">
      <c r="C51">
        <v>363</v>
      </c>
      <c r="D51" t="s">
        <v>114</v>
      </c>
      <c r="E51" s="4">
        <f>HLOOKUP($D$5,'4.9 Comptes 2021 par habitant'!$E$3:$BE$158,45,0)</f>
        <v>435.90937500000001</v>
      </c>
    </row>
    <row r="52" spans="2:5" x14ac:dyDescent="0.25">
      <c r="C52">
        <v>364</v>
      </c>
      <c r="D52" t="s">
        <v>115</v>
      </c>
      <c r="E52" s="4">
        <f>HLOOKUP($D$5,'4.9 Comptes 2021 par habitant'!$E$3:$BE$158,46,0)</f>
        <v>0</v>
      </c>
    </row>
    <row r="53" spans="2:5" x14ac:dyDescent="0.25">
      <c r="C53">
        <v>365</v>
      </c>
      <c r="D53" t="s">
        <v>116</v>
      </c>
      <c r="E53" s="4">
        <f>HLOOKUP($D$5,'4.9 Comptes 2021 par habitant'!$E$3:$BE$158,47,0)</f>
        <v>0</v>
      </c>
    </row>
    <row r="54" spans="2:5" x14ac:dyDescent="0.25">
      <c r="C54">
        <v>366</v>
      </c>
      <c r="D54" t="s">
        <v>117</v>
      </c>
      <c r="E54" s="4">
        <f>HLOOKUP($D$5,'4.9 Comptes 2021 par habitant'!$E$3:$BE$158,48,0)</f>
        <v>0</v>
      </c>
    </row>
    <row r="55" spans="2:5" x14ac:dyDescent="0.25">
      <c r="C55">
        <v>369</v>
      </c>
      <c r="D55" t="s">
        <v>118</v>
      </c>
      <c r="E55" s="4">
        <f>HLOOKUP($D$5,'4.9 Comptes 2021 par habitant'!$E$3:$BE$158,49,0)</f>
        <v>0</v>
      </c>
    </row>
    <row r="56" spans="2:5" x14ac:dyDescent="0.25">
      <c r="E56" s="4"/>
    </row>
    <row r="57" spans="2:5" x14ac:dyDescent="0.25">
      <c r="B57" s="76">
        <v>37</v>
      </c>
      <c r="C57" s="76"/>
      <c r="D57" s="76" t="s">
        <v>119</v>
      </c>
      <c r="E57" s="77">
        <f>SUM(E58)</f>
        <v>1517.203125</v>
      </c>
    </row>
    <row r="58" spans="2:5" x14ac:dyDescent="0.25">
      <c r="C58">
        <v>370</v>
      </c>
      <c r="D58" t="s">
        <v>120</v>
      </c>
      <c r="E58" s="4">
        <f>HLOOKUP($D$5,'4.9 Comptes 2021 par habitant'!$E$3:$BE$158,52,0)</f>
        <v>1517.203125</v>
      </c>
    </row>
    <row r="59" spans="2:5" x14ac:dyDescent="0.25">
      <c r="E59" s="4"/>
    </row>
    <row r="60" spans="2:5" x14ac:dyDescent="0.25">
      <c r="B60" s="76">
        <v>38</v>
      </c>
      <c r="C60" s="76"/>
      <c r="D60" s="76" t="s">
        <v>121</v>
      </c>
      <c r="E60" s="77">
        <f>SUM(E61:E66)</f>
        <v>0</v>
      </c>
    </row>
    <row r="61" spans="2:5" x14ac:dyDescent="0.25">
      <c r="C61">
        <v>380</v>
      </c>
      <c r="D61" t="s">
        <v>122</v>
      </c>
      <c r="E61" s="4">
        <f>HLOOKUP($D$5,'4.9 Comptes 2021 par habitant'!$E$3:$BE$158,55,0)</f>
        <v>0</v>
      </c>
    </row>
    <row r="62" spans="2:5" x14ac:dyDescent="0.25">
      <c r="C62">
        <v>381</v>
      </c>
      <c r="D62" t="s">
        <v>123</v>
      </c>
      <c r="E62" s="4">
        <f>HLOOKUP($D$5,'4.9 Comptes 2021 par habitant'!$E$3:$BE$158,56,0)</f>
        <v>0</v>
      </c>
    </row>
    <row r="63" spans="2:5" x14ac:dyDescent="0.25">
      <c r="C63">
        <v>384</v>
      </c>
      <c r="D63" t="s">
        <v>124</v>
      </c>
      <c r="E63" s="4">
        <f>HLOOKUP($D$5,'4.9 Comptes 2021 par habitant'!$E$3:$BE$158,57,0)</f>
        <v>0</v>
      </c>
    </row>
    <row r="64" spans="2:5" x14ac:dyDescent="0.25">
      <c r="C64">
        <v>385</v>
      </c>
      <c r="D64" t="s">
        <v>125</v>
      </c>
      <c r="E64" s="4">
        <f>HLOOKUP($D$5,'4.9 Comptes 2021 par habitant'!$E$3:$BE$158,58,0)</f>
        <v>0</v>
      </c>
    </row>
    <row r="65" spans="1:5" x14ac:dyDescent="0.25">
      <c r="C65">
        <v>386</v>
      </c>
      <c r="D65" t="s">
        <v>126</v>
      </c>
      <c r="E65" s="4">
        <f>HLOOKUP($D$5,'4.9 Comptes 2021 par habitant'!$E$3:$BE$158,59,0)</f>
        <v>0</v>
      </c>
    </row>
    <row r="66" spans="1:5" x14ac:dyDescent="0.25">
      <c r="C66">
        <v>389</v>
      </c>
      <c r="D66" t="s">
        <v>290</v>
      </c>
      <c r="E66" s="4">
        <f>HLOOKUP($D$5,'4.9 Comptes 2021 par habitant'!$E$3:$BE$158,60,0)</f>
        <v>0</v>
      </c>
    </row>
    <row r="67" spans="1:5" x14ac:dyDescent="0.25">
      <c r="E67" s="4"/>
    </row>
    <row r="68" spans="1:5" x14ac:dyDescent="0.25">
      <c r="B68" s="76">
        <v>39</v>
      </c>
      <c r="C68" s="76"/>
      <c r="D68" s="76" t="s">
        <v>128</v>
      </c>
      <c r="E68" s="77">
        <f>SUM(E69:E76)</f>
        <v>157.29166666666666</v>
      </c>
    </row>
    <row r="69" spans="1:5" x14ac:dyDescent="0.25">
      <c r="C69">
        <v>390</v>
      </c>
      <c r="D69" t="s">
        <v>129</v>
      </c>
      <c r="E69" s="4">
        <f>HLOOKUP($D$5,'4.9 Comptes 2021 par habitant'!$E$3:$BE$158,63,0)</f>
        <v>0</v>
      </c>
    </row>
    <row r="70" spans="1:5" x14ac:dyDescent="0.25">
      <c r="C70">
        <v>391</v>
      </c>
      <c r="D70" t="s">
        <v>130</v>
      </c>
      <c r="E70" s="4">
        <f>HLOOKUP($D$5,'4.9 Comptes 2021 par habitant'!$E$3:$BE$158,64,0)</f>
        <v>157.29166666666666</v>
      </c>
    </row>
    <row r="71" spans="1:5" x14ac:dyDescent="0.25">
      <c r="C71">
        <v>392</v>
      </c>
      <c r="D71" t="s">
        <v>131</v>
      </c>
      <c r="E71" s="4">
        <f>HLOOKUP($D$5,'4.9 Comptes 2021 par habitant'!$E$3:$BE$158,65,0)</f>
        <v>0</v>
      </c>
    </row>
    <row r="72" spans="1:5" x14ac:dyDescent="0.25">
      <c r="C72">
        <v>393</v>
      </c>
      <c r="D72" t="s">
        <v>132</v>
      </c>
      <c r="E72" s="4">
        <f>HLOOKUP($D$5,'4.9 Comptes 2021 par habitant'!$E$3:$BE$158,66,0)</f>
        <v>0</v>
      </c>
    </row>
    <row r="73" spans="1:5" x14ac:dyDescent="0.25">
      <c r="C73">
        <v>394</v>
      </c>
      <c r="D73" t="s">
        <v>133</v>
      </c>
      <c r="E73" s="4">
        <f>HLOOKUP($D$5,'4.9 Comptes 2021 par habitant'!$E$3:$BE$158,67,0)</f>
        <v>0</v>
      </c>
    </row>
    <row r="74" spans="1:5" x14ac:dyDescent="0.25">
      <c r="C74">
        <v>395</v>
      </c>
      <c r="D74" t="s">
        <v>134</v>
      </c>
      <c r="E74" s="4">
        <f>HLOOKUP($D$5,'4.9 Comptes 2021 par habitant'!$E$3:$BE$158,68,0)</f>
        <v>0</v>
      </c>
    </row>
    <row r="75" spans="1:5" x14ac:dyDescent="0.25">
      <c r="C75">
        <v>398</v>
      </c>
      <c r="D75" t="s">
        <v>135</v>
      </c>
      <c r="E75" s="4">
        <f>HLOOKUP($D$5,'4.9 Comptes 2021 par habitant'!$E$3:$BE$158,69,0)</f>
        <v>0</v>
      </c>
    </row>
    <row r="76" spans="1:5" x14ac:dyDescent="0.25">
      <c r="C76">
        <v>399</v>
      </c>
      <c r="D76" t="s">
        <v>136</v>
      </c>
      <c r="E76" s="4">
        <f>HLOOKUP($D$5,'4.9 Comptes 2021 par habitant'!$E$3:$BE$158,70,0)</f>
        <v>0</v>
      </c>
    </row>
    <row r="77" spans="1:5" x14ac:dyDescent="0.25">
      <c r="E77" s="4"/>
    </row>
    <row r="78" spans="1:5" x14ac:dyDescent="0.25">
      <c r="E78" s="4"/>
    </row>
    <row r="79" spans="1:5" ht="21" x14ac:dyDescent="0.35">
      <c r="A79" s="80">
        <v>4</v>
      </c>
      <c r="B79" s="80"/>
      <c r="C79" s="80"/>
      <c r="D79" s="80" t="s">
        <v>137</v>
      </c>
      <c r="E79" s="140">
        <f>HLOOKUP($D$5,'4.9 Comptes 2021 par habitant'!$E$3:$BE$158,73,0)</f>
        <v>6837.1939583333333</v>
      </c>
    </row>
    <row r="80" spans="1:5" x14ac:dyDescent="0.25">
      <c r="A80" s="7"/>
      <c r="B80" s="78">
        <v>40</v>
      </c>
      <c r="C80" s="78"/>
      <c r="D80" s="78" t="s">
        <v>79</v>
      </c>
      <c r="E80" s="73">
        <f>SUM(E81:E84)</f>
        <v>2585.3356250000002</v>
      </c>
    </row>
    <row r="81" spans="2:5" x14ac:dyDescent="0.25">
      <c r="C81">
        <v>400</v>
      </c>
      <c r="D81" t="s">
        <v>138</v>
      </c>
      <c r="E81" s="4">
        <f>HLOOKUP($D$5,'4.9 Comptes 2021 par habitant'!$E$3:$BE$158,75,0)</f>
        <v>2096.3875000000003</v>
      </c>
    </row>
    <row r="82" spans="2:5" x14ac:dyDescent="0.25">
      <c r="C82">
        <v>401</v>
      </c>
      <c r="D82" t="s">
        <v>139</v>
      </c>
      <c r="E82" s="4">
        <f>HLOOKUP($D$5,'4.9 Comptes 2021 par habitant'!$E$3:$BE$158,76,0)</f>
        <v>0</v>
      </c>
    </row>
    <row r="83" spans="2:5" x14ac:dyDescent="0.25">
      <c r="C83">
        <v>402</v>
      </c>
      <c r="D83" t="s">
        <v>140</v>
      </c>
      <c r="E83" s="4">
        <f>HLOOKUP($D$5,'4.9 Comptes 2021 par habitant'!$E$3:$BE$158,77,0)</f>
        <v>407.44395833333334</v>
      </c>
    </row>
    <row r="84" spans="2:5" x14ac:dyDescent="0.25">
      <c r="C84">
        <v>403</v>
      </c>
      <c r="D84" t="s">
        <v>141</v>
      </c>
      <c r="E84" s="4">
        <f>HLOOKUP($D$5,'4.9 Comptes 2021 par habitant'!$E$3:$BE$158,78,0)</f>
        <v>81.504166666666663</v>
      </c>
    </row>
    <row r="85" spans="2:5" x14ac:dyDescent="0.25">
      <c r="E85" s="4"/>
    </row>
    <row r="86" spans="2:5" x14ac:dyDescent="0.25">
      <c r="B86" s="78">
        <v>41</v>
      </c>
      <c r="C86" s="78"/>
      <c r="D86" s="78" t="s">
        <v>142</v>
      </c>
      <c r="E86" s="73">
        <f>SUM(E87:E90)</f>
        <v>0</v>
      </c>
    </row>
    <row r="87" spans="2:5" x14ac:dyDescent="0.25">
      <c r="C87">
        <v>410</v>
      </c>
      <c r="D87" t="s">
        <v>143</v>
      </c>
      <c r="E87" s="4">
        <f>HLOOKUP($D$5,'4.9 Comptes 2021 par habitant'!$E$3:$BE$158,81,0)</f>
        <v>0</v>
      </c>
    </row>
    <row r="88" spans="2:5" x14ac:dyDescent="0.25">
      <c r="C88">
        <v>411</v>
      </c>
      <c r="D88" t="s">
        <v>144</v>
      </c>
      <c r="E88" s="4">
        <f>HLOOKUP($D$5,'4.9 Comptes 2021 par habitant'!$E$3:$BE$158,82,0)</f>
        <v>0</v>
      </c>
    </row>
    <row r="89" spans="2:5" x14ac:dyDescent="0.25">
      <c r="C89">
        <v>412</v>
      </c>
      <c r="D89" t="s">
        <v>145</v>
      </c>
      <c r="E89" s="4">
        <f>HLOOKUP($D$5,'4.9 Comptes 2021 par habitant'!$E$3:$BE$158,83,0)</f>
        <v>0</v>
      </c>
    </row>
    <row r="90" spans="2:5" x14ac:dyDescent="0.25">
      <c r="C90">
        <v>413</v>
      </c>
      <c r="D90" t="s">
        <v>146</v>
      </c>
      <c r="E90" s="4">
        <f>HLOOKUP($D$5,'4.9 Comptes 2021 par habitant'!$E$3:$BE$158,84,0)</f>
        <v>0</v>
      </c>
    </row>
    <row r="91" spans="2:5" x14ac:dyDescent="0.25">
      <c r="E91" s="4"/>
    </row>
    <row r="92" spans="2:5" x14ac:dyDescent="0.25">
      <c r="B92" s="78">
        <v>42</v>
      </c>
      <c r="C92" s="78"/>
      <c r="D92" s="78" t="s">
        <v>147</v>
      </c>
      <c r="E92" s="73">
        <f>SUM(E93:E101)</f>
        <v>1044.0776041666668</v>
      </c>
    </row>
    <row r="93" spans="2:5" x14ac:dyDescent="0.25">
      <c r="C93">
        <v>420</v>
      </c>
      <c r="D93" t="s">
        <v>148</v>
      </c>
      <c r="E93" s="4">
        <f>HLOOKUP($D$5,'4.9 Comptes 2021 par habitant'!$E$3:$BE$158,87,0)</f>
        <v>30.085416666666664</v>
      </c>
    </row>
    <row r="94" spans="2:5" x14ac:dyDescent="0.25">
      <c r="C94">
        <v>421</v>
      </c>
      <c r="D94" t="s">
        <v>149</v>
      </c>
      <c r="E94" s="4">
        <f>HLOOKUP($D$5,'4.9 Comptes 2021 par habitant'!$E$3:$BE$158,88,0)</f>
        <v>0</v>
      </c>
    </row>
    <row r="95" spans="2:5" x14ac:dyDescent="0.25">
      <c r="C95">
        <v>422</v>
      </c>
      <c r="D95" t="s">
        <v>150</v>
      </c>
      <c r="E95" s="4">
        <f>HLOOKUP($D$5,'4.9 Comptes 2021 par habitant'!$E$3:$BE$158,89,0)</f>
        <v>0</v>
      </c>
    </row>
    <row r="96" spans="2:5" x14ac:dyDescent="0.25">
      <c r="C96">
        <v>423</v>
      </c>
      <c r="D96" t="s">
        <v>151</v>
      </c>
      <c r="E96" s="4">
        <f>HLOOKUP($D$5,'4.9 Comptes 2021 par habitant'!$E$3:$BE$158,90,0)</f>
        <v>0</v>
      </c>
    </row>
    <row r="97" spans="2:5" x14ac:dyDescent="0.25">
      <c r="C97">
        <v>424</v>
      </c>
      <c r="D97" t="s">
        <v>152</v>
      </c>
      <c r="E97" s="4">
        <f>HLOOKUP($D$5,'4.9 Comptes 2021 par habitant'!$E$3:$BE$158,91,0)</f>
        <v>633.64791666666667</v>
      </c>
    </row>
    <row r="98" spans="2:5" x14ac:dyDescent="0.25">
      <c r="C98">
        <v>425</v>
      </c>
      <c r="D98" t="s">
        <v>153</v>
      </c>
      <c r="E98" s="4">
        <f>HLOOKUP($D$5,'4.9 Comptes 2021 par habitant'!$E$3:$BE$158,92,0)</f>
        <v>0</v>
      </c>
    </row>
    <row r="99" spans="2:5" x14ac:dyDescent="0.25">
      <c r="C99">
        <v>426</v>
      </c>
      <c r="D99" t="s">
        <v>154</v>
      </c>
      <c r="E99" s="4">
        <f>HLOOKUP($D$5,'4.9 Comptes 2021 par habitant'!$E$3:$BE$158,93,0)</f>
        <v>323.55052083333334</v>
      </c>
    </row>
    <row r="100" spans="2:5" x14ac:dyDescent="0.25">
      <c r="C100">
        <v>427</v>
      </c>
      <c r="D100" t="s">
        <v>155</v>
      </c>
      <c r="E100" s="4">
        <f>HLOOKUP($D$5,'4.9 Comptes 2021 par habitant'!$E$3:$BE$158,94,0)</f>
        <v>0</v>
      </c>
    </row>
    <row r="101" spans="2:5" x14ac:dyDescent="0.25">
      <c r="C101">
        <v>429</v>
      </c>
      <c r="D101" t="s">
        <v>156</v>
      </c>
      <c r="E101" s="4">
        <f>HLOOKUP($D$5,'4.9 Comptes 2021 par habitant'!$E$3:$BE$158,95,0)</f>
        <v>56.793749999999996</v>
      </c>
    </row>
    <row r="102" spans="2:5" x14ac:dyDescent="0.25">
      <c r="E102" s="4"/>
    </row>
    <row r="103" spans="2:5" x14ac:dyDescent="0.25">
      <c r="B103" s="78">
        <v>43</v>
      </c>
      <c r="C103" s="78"/>
      <c r="D103" s="78" t="s">
        <v>157</v>
      </c>
      <c r="E103" s="73">
        <f>SUM(E104:E107)</f>
        <v>0</v>
      </c>
    </row>
    <row r="104" spans="2:5" x14ac:dyDescent="0.25">
      <c r="C104">
        <v>430</v>
      </c>
      <c r="D104" t="s">
        <v>158</v>
      </c>
      <c r="E104" s="4">
        <f>HLOOKUP($D$5,'4.9 Comptes 2021 par habitant'!$E$3:$BE$158,98,0)</f>
        <v>0</v>
      </c>
    </row>
    <row r="105" spans="2:5" x14ac:dyDescent="0.25">
      <c r="C105">
        <v>431</v>
      </c>
      <c r="D105" t="s">
        <v>159</v>
      </c>
      <c r="E105" s="4">
        <f>HLOOKUP($D$5,'4.9 Comptes 2021 par habitant'!$E$3:$BE$158,99,0)</f>
        <v>0</v>
      </c>
    </row>
    <row r="106" spans="2:5" x14ac:dyDescent="0.25">
      <c r="C106">
        <v>432</v>
      </c>
      <c r="D106" t="s">
        <v>160</v>
      </c>
      <c r="E106" s="4">
        <f>HLOOKUP($D$5,'4.9 Comptes 2021 par habitant'!$E$3:$BE$158,100,0)</f>
        <v>0</v>
      </c>
    </row>
    <row r="107" spans="2:5" x14ac:dyDescent="0.25">
      <c r="C107">
        <v>439</v>
      </c>
      <c r="D107" t="s">
        <v>161</v>
      </c>
      <c r="E107" s="4">
        <f>HLOOKUP($D$5,'4.9 Comptes 2021 par habitant'!$E$3:$BE$158,101,0)</f>
        <v>0</v>
      </c>
    </row>
    <row r="108" spans="2:5" x14ac:dyDescent="0.25">
      <c r="E108" s="4"/>
    </row>
    <row r="109" spans="2:5" x14ac:dyDescent="0.25">
      <c r="B109" s="78">
        <v>44</v>
      </c>
      <c r="C109" s="78"/>
      <c r="D109" s="78" t="s">
        <v>162</v>
      </c>
      <c r="E109" s="73">
        <f>SUM(E110:E119)</f>
        <v>312.00520833333337</v>
      </c>
    </row>
    <row r="110" spans="2:5" x14ac:dyDescent="0.25">
      <c r="C110">
        <v>440</v>
      </c>
      <c r="D110" t="s">
        <v>163</v>
      </c>
      <c r="E110" s="4">
        <f>HLOOKUP($D$5,'4.9 Comptes 2021 par habitant'!$E$3:$BE$158,104,0)</f>
        <v>15.017708333333333</v>
      </c>
    </row>
    <row r="111" spans="2:5" x14ac:dyDescent="0.25">
      <c r="C111">
        <v>441</v>
      </c>
      <c r="D111" t="s">
        <v>164</v>
      </c>
      <c r="E111" s="4">
        <f>HLOOKUP($D$5,'4.9 Comptes 2021 par habitant'!$E$3:$BE$158,105,0)</f>
        <v>0</v>
      </c>
    </row>
    <row r="112" spans="2:5" x14ac:dyDescent="0.25">
      <c r="C112">
        <v>442</v>
      </c>
      <c r="D112" t="s">
        <v>165</v>
      </c>
      <c r="E112" s="4">
        <f>HLOOKUP($D$5,'4.9 Comptes 2021 par habitant'!$E$3:$BE$158,106,0)</f>
        <v>8.1250000000000003E-2</v>
      </c>
    </row>
    <row r="113" spans="2:5" x14ac:dyDescent="0.25">
      <c r="C113">
        <v>443</v>
      </c>
      <c r="D113" t="s">
        <v>166</v>
      </c>
      <c r="E113" s="4">
        <f>HLOOKUP($D$5,'4.9 Comptes 2021 par habitant'!$E$3:$BE$158,107,0)</f>
        <v>145.14583333333334</v>
      </c>
    </row>
    <row r="114" spans="2:5" x14ac:dyDescent="0.25">
      <c r="C114">
        <v>444</v>
      </c>
      <c r="D114" t="s">
        <v>106</v>
      </c>
      <c r="E114" s="4">
        <f>HLOOKUP($D$5,'4.9 Comptes 2021 par habitant'!$E$3:$BE$158,108,0)</f>
        <v>0</v>
      </c>
    </row>
    <row r="115" spans="2:5" x14ac:dyDescent="0.25">
      <c r="C115">
        <v>445</v>
      </c>
      <c r="D115" t="s">
        <v>167</v>
      </c>
      <c r="E115" s="4">
        <f>HLOOKUP($D$5,'4.9 Comptes 2021 par habitant'!$E$3:$BE$158,109,0)</f>
        <v>0</v>
      </c>
    </row>
    <row r="116" spans="2:5" x14ac:dyDescent="0.25">
      <c r="C116">
        <v>446</v>
      </c>
      <c r="D116" t="s">
        <v>168</v>
      </c>
      <c r="E116" s="4">
        <f>HLOOKUP($D$5,'4.9 Comptes 2021 par habitant'!$E$3:$BE$158,110,0)</f>
        <v>0</v>
      </c>
    </row>
    <row r="117" spans="2:5" x14ac:dyDescent="0.25">
      <c r="C117">
        <v>447</v>
      </c>
      <c r="D117" t="s">
        <v>169</v>
      </c>
      <c r="E117" s="4">
        <f>HLOOKUP($D$5,'4.9 Comptes 2021 par habitant'!$E$3:$BE$158,111,0)</f>
        <v>151.76041666666666</v>
      </c>
    </row>
    <row r="118" spans="2:5" x14ac:dyDescent="0.25">
      <c r="C118">
        <v>448</v>
      </c>
      <c r="D118" t="s">
        <v>170</v>
      </c>
      <c r="E118" s="4">
        <f>HLOOKUP($D$5,'4.9 Comptes 2021 par habitant'!$E$3:$BE$158,112,0)</f>
        <v>0</v>
      </c>
    </row>
    <row r="119" spans="2:5" x14ac:dyDescent="0.25">
      <c r="C119">
        <v>449</v>
      </c>
      <c r="D119" t="s">
        <v>171</v>
      </c>
      <c r="E119" s="4">
        <f>HLOOKUP($D$5,'4.9 Comptes 2021 par habitant'!$E$3:$BE$158,113,0)</f>
        <v>0</v>
      </c>
    </row>
    <row r="120" spans="2:5" x14ac:dyDescent="0.25">
      <c r="E120" s="4"/>
    </row>
    <row r="121" spans="2:5" x14ac:dyDescent="0.25">
      <c r="B121" s="78">
        <v>45</v>
      </c>
      <c r="C121" s="78"/>
      <c r="D121" s="78" t="s">
        <v>174</v>
      </c>
      <c r="E121" s="73">
        <f>SUM(E122:E123)</f>
        <v>-2.0833333333333335</v>
      </c>
    </row>
    <row r="122" spans="2:5" x14ac:dyDescent="0.25">
      <c r="C122">
        <v>450</v>
      </c>
      <c r="D122" t="s">
        <v>172</v>
      </c>
      <c r="E122" s="4">
        <f>HLOOKUP($D$5,'4.9 Comptes 2021 par habitant'!$E$3:$BE$158,116,0)</f>
        <v>0</v>
      </c>
    </row>
    <row r="123" spans="2:5" x14ac:dyDescent="0.25">
      <c r="C123">
        <v>451</v>
      </c>
      <c r="D123" t="s">
        <v>173</v>
      </c>
      <c r="E123" s="4">
        <f>HLOOKUP($D$5,'4.9 Comptes 2021 par habitant'!$E$3:$BE$158,117,0)</f>
        <v>-2.0833333333333335</v>
      </c>
    </row>
    <row r="124" spans="2:5" x14ac:dyDescent="0.25">
      <c r="E124" s="4"/>
    </row>
    <row r="125" spans="2:5" x14ac:dyDescent="0.25">
      <c r="B125" s="78">
        <v>46</v>
      </c>
      <c r="C125" s="78"/>
      <c r="D125" s="78" t="s">
        <v>175</v>
      </c>
      <c r="E125" s="73">
        <f>SUM(E126:E130)</f>
        <v>1079.0619791666668</v>
      </c>
    </row>
    <row r="126" spans="2:5" x14ac:dyDescent="0.25">
      <c r="C126">
        <v>460</v>
      </c>
      <c r="D126" t="s">
        <v>176</v>
      </c>
      <c r="E126" s="4">
        <f>HLOOKUP($D$5,'4.9 Comptes 2021 par habitant'!$E$3:$BE$158,120,0)</f>
        <v>0</v>
      </c>
    </row>
    <row r="127" spans="2:5" x14ac:dyDescent="0.25">
      <c r="C127">
        <v>461</v>
      </c>
      <c r="D127" t="s">
        <v>177</v>
      </c>
      <c r="E127" s="4">
        <f>HLOOKUP($D$5,'4.9 Comptes 2021 par habitant'!$E$3:$BE$158,121,0)</f>
        <v>62.428645833333327</v>
      </c>
    </row>
    <row r="128" spans="2:5" x14ac:dyDescent="0.25">
      <c r="C128">
        <v>462</v>
      </c>
      <c r="D128" t="s">
        <v>113</v>
      </c>
      <c r="E128" s="4">
        <f>HLOOKUP($D$5,'4.9 Comptes 2021 par habitant'!$E$3:$BE$158,122,0)</f>
        <v>956.39583333333337</v>
      </c>
    </row>
    <row r="129" spans="2:5" x14ac:dyDescent="0.25">
      <c r="C129">
        <v>463</v>
      </c>
      <c r="D129" t="s">
        <v>178</v>
      </c>
      <c r="E129" s="4">
        <f>HLOOKUP($D$5,'4.9 Comptes 2021 par habitant'!$E$3:$BE$158,123,0)</f>
        <v>57.755208333333336</v>
      </c>
    </row>
    <row r="130" spans="2:5" x14ac:dyDescent="0.25">
      <c r="C130">
        <v>469</v>
      </c>
      <c r="D130" t="s">
        <v>179</v>
      </c>
      <c r="E130" s="4">
        <f>HLOOKUP($D$5,'4.9 Comptes 2021 par habitant'!$E$3:$BE$158,124,0)</f>
        <v>2.4822916666666668</v>
      </c>
    </row>
    <row r="131" spans="2:5" x14ac:dyDescent="0.25">
      <c r="E131" s="4"/>
    </row>
    <row r="132" spans="2:5" x14ac:dyDescent="0.25">
      <c r="B132" s="78">
        <v>47</v>
      </c>
      <c r="C132" s="78"/>
      <c r="D132" s="78" t="s">
        <v>119</v>
      </c>
      <c r="E132" s="73">
        <f>SUM(E133)</f>
        <v>1658.4489583333334</v>
      </c>
    </row>
    <row r="133" spans="2:5" x14ac:dyDescent="0.25">
      <c r="C133">
        <v>470</v>
      </c>
      <c r="D133" t="s">
        <v>180</v>
      </c>
      <c r="E133" s="4">
        <f>HLOOKUP($D$5,'4.9 Comptes 2021 par habitant'!$E$3:$BE$158,127,0)</f>
        <v>1658.4489583333334</v>
      </c>
    </row>
    <row r="134" spans="2:5" x14ac:dyDescent="0.25">
      <c r="E134" s="4"/>
    </row>
    <row r="135" spans="2:5" x14ac:dyDescent="0.25">
      <c r="B135" s="78">
        <v>48</v>
      </c>
      <c r="C135" s="78"/>
      <c r="D135" s="78" t="s">
        <v>181</v>
      </c>
      <c r="E135" s="73">
        <f>SUM(E136:E142)</f>
        <v>0</v>
      </c>
    </row>
    <row r="136" spans="2:5" x14ac:dyDescent="0.25">
      <c r="C136">
        <v>481</v>
      </c>
      <c r="D136" t="s">
        <v>182</v>
      </c>
      <c r="E136" s="4">
        <f>HLOOKUP($D$5,'4.9 Comptes 2021 par habitant'!$E$3:$BE$158,130,0)</f>
        <v>0</v>
      </c>
    </row>
    <row r="137" spans="2:5" x14ac:dyDescent="0.25">
      <c r="C137">
        <v>482</v>
      </c>
      <c r="D137" t="s">
        <v>183</v>
      </c>
      <c r="E137" s="4">
        <f>HLOOKUP($D$5,'4.9 Comptes 2021 par habitant'!$E$3:$BE$158,131,0)</f>
        <v>0</v>
      </c>
    </row>
    <row r="138" spans="2:5" x14ac:dyDescent="0.25">
      <c r="C138">
        <v>483</v>
      </c>
      <c r="D138" t="s">
        <v>184</v>
      </c>
      <c r="E138" s="4">
        <f>HLOOKUP($D$5,'4.9 Comptes 2021 par habitant'!$E$3:$BE$158,132,0)</f>
        <v>0</v>
      </c>
    </row>
    <row r="139" spans="2:5" x14ac:dyDescent="0.25">
      <c r="C139">
        <v>484</v>
      </c>
      <c r="D139" t="s">
        <v>185</v>
      </c>
      <c r="E139" s="4">
        <f>HLOOKUP($D$5,'4.9 Comptes 2021 par habitant'!$E$3:$BE$158,133,0)</f>
        <v>0</v>
      </c>
    </row>
    <row r="140" spans="2:5" x14ac:dyDescent="0.25">
      <c r="C140">
        <v>485</v>
      </c>
      <c r="D140" t="s">
        <v>186</v>
      </c>
      <c r="E140" s="4">
        <f>HLOOKUP($D$5,'4.9 Comptes 2021 par habitant'!$E$3:$BE$158,134,0)</f>
        <v>0</v>
      </c>
    </row>
    <row r="141" spans="2:5" x14ac:dyDescent="0.25">
      <c r="C141">
        <v>486</v>
      </c>
      <c r="D141" t="s">
        <v>187</v>
      </c>
      <c r="E141" s="4">
        <f>HLOOKUP($D$5,'4.9 Comptes 2021 par habitant'!$E$3:$BE$158,135,0)</f>
        <v>0</v>
      </c>
    </row>
    <row r="142" spans="2:5" x14ac:dyDescent="0.25">
      <c r="C142">
        <v>489</v>
      </c>
      <c r="D142" t="s">
        <v>188</v>
      </c>
      <c r="E142" s="4">
        <f>HLOOKUP($D$5,'4.9 Comptes 2021 par habitant'!$E$3:$BE$158,136,0)</f>
        <v>0</v>
      </c>
    </row>
    <row r="143" spans="2:5" x14ac:dyDescent="0.25">
      <c r="E143" s="4"/>
    </row>
    <row r="144" spans="2:5" x14ac:dyDescent="0.25">
      <c r="B144" s="78">
        <v>49</v>
      </c>
      <c r="C144" s="78"/>
      <c r="D144" s="78" t="s">
        <v>128</v>
      </c>
      <c r="E144" s="73">
        <f>SUM(E145:E152)</f>
        <v>160.34791666666666</v>
      </c>
    </row>
    <row r="145" spans="1:5" x14ac:dyDescent="0.25">
      <c r="C145">
        <v>490</v>
      </c>
      <c r="D145" t="s">
        <v>129</v>
      </c>
      <c r="E145" s="4">
        <f>HLOOKUP($D$5,'4.9 Comptes 2021 par habitant'!$E$3:$BE$158,139,0)</f>
        <v>3.0562499999999999</v>
      </c>
    </row>
    <row r="146" spans="1:5" x14ac:dyDescent="0.25">
      <c r="C146">
        <v>491</v>
      </c>
      <c r="D146" t="s">
        <v>130</v>
      </c>
      <c r="E146" s="4">
        <f>HLOOKUP($D$5,'4.9 Comptes 2021 par habitant'!$E$3:$BE$158,140,0)</f>
        <v>157.29166666666666</v>
      </c>
    </row>
    <row r="147" spans="1:5" x14ac:dyDescent="0.25">
      <c r="C147">
        <v>492</v>
      </c>
      <c r="D147" t="s">
        <v>189</v>
      </c>
      <c r="E147" s="4">
        <f>HLOOKUP($D$5,'4.9 Comptes 2021 par habitant'!$E$3:$BE$158,141,0)</f>
        <v>0</v>
      </c>
    </row>
    <row r="148" spans="1:5" x14ac:dyDescent="0.25">
      <c r="C148">
        <v>493</v>
      </c>
      <c r="D148" t="s">
        <v>190</v>
      </c>
      <c r="E148" s="4">
        <f>HLOOKUP($D$5,'4.9 Comptes 2021 par habitant'!$E$3:$BE$158,142,0)</f>
        <v>0</v>
      </c>
    </row>
    <row r="149" spans="1:5" x14ac:dyDescent="0.25">
      <c r="C149">
        <v>494</v>
      </c>
      <c r="D149" t="s">
        <v>133</v>
      </c>
      <c r="E149" s="4">
        <f>HLOOKUP($D$5,'4.9 Comptes 2021 par habitant'!$E$3:$BE$158,143,0)</f>
        <v>0</v>
      </c>
    </row>
    <row r="150" spans="1:5" x14ac:dyDescent="0.25">
      <c r="C150">
        <v>495</v>
      </c>
      <c r="D150" t="s">
        <v>191</v>
      </c>
      <c r="E150" s="4">
        <f>HLOOKUP($D$5,'4.9 Comptes 2021 par habitant'!$E$3:$BE$158,144,0)</f>
        <v>0</v>
      </c>
    </row>
    <row r="151" spans="1:5" x14ac:dyDescent="0.25">
      <c r="C151">
        <v>498</v>
      </c>
      <c r="D151" t="s">
        <v>192</v>
      </c>
      <c r="E151" s="4">
        <f>HLOOKUP($D$5,'4.9 Comptes 2021 par habitant'!$E$3:$BE$158,145,0)</f>
        <v>0</v>
      </c>
    </row>
    <row r="152" spans="1:5" x14ac:dyDescent="0.25">
      <c r="C152">
        <v>499</v>
      </c>
      <c r="D152" t="s">
        <v>136</v>
      </c>
      <c r="E152" s="4">
        <f>HLOOKUP($D$5,'4.9 Comptes 2021 par habitant'!$E$3:$BE$158,146,0)</f>
        <v>0</v>
      </c>
    </row>
    <row r="153" spans="1:5" x14ac:dyDescent="0.25">
      <c r="E153" s="4"/>
    </row>
    <row r="154" spans="1:5" x14ac:dyDescent="0.25">
      <c r="E154" s="4"/>
    </row>
    <row r="155" spans="1:5" x14ac:dyDescent="0.25">
      <c r="E155" s="4"/>
    </row>
    <row r="156" spans="1:5" x14ac:dyDescent="0.25">
      <c r="A156" s="88">
        <v>9</v>
      </c>
      <c r="B156" s="88"/>
      <c r="C156" s="88"/>
      <c r="D156" s="88" t="s">
        <v>194</v>
      </c>
      <c r="E156" s="89"/>
    </row>
    <row r="157" spans="1:5" x14ac:dyDescent="0.25">
      <c r="A157" s="88"/>
      <c r="B157" s="88">
        <v>90</v>
      </c>
      <c r="C157" s="88"/>
      <c r="D157" s="88" t="s">
        <v>195</v>
      </c>
      <c r="E157" s="90">
        <f>SUM(E158:E159)</f>
        <v>105.48447916666669</v>
      </c>
    </row>
    <row r="158" spans="1:5" x14ac:dyDescent="0.25">
      <c r="C158">
        <v>900</v>
      </c>
      <c r="D158" t="s">
        <v>196</v>
      </c>
      <c r="E158" s="4">
        <f>HLOOKUP($D$5,'4.9 Comptes 2021 par habitant'!$E$3:$BE$158,152,0)</f>
        <v>139.30322916666668</v>
      </c>
    </row>
    <row r="159" spans="1:5" x14ac:dyDescent="0.25">
      <c r="C159">
        <v>901</v>
      </c>
      <c r="D159" t="s">
        <v>197</v>
      </c>
      <c r="E159" s="4">
        <f>HLOOKUP($D$5,'4.9 Comptes 2021 par habitant'!$E$3:$BE$158,153,0)</f>
        <v>-33.818750000000001</v>
      </c>
    </row>
    <row r="160" spans="1:5" x14ac:dyDescent="0.25">
      <c r="E160" s="4"/>
    </row>
    <row r="161" spans="4:5" x14ac:dyDescent="0.25">
      <c r="D161" s="7" t="s">
        <v>198</v>
      </c>
      <c r="E161" s="31">
        <f>HLOOKUP($D$5,'4.9 Comptes 2021 par habitant'!$E$3:$BE$158,155,0)</f>
        <v>105.48447916666669</v>
      </c>
    </row>
  </sheetData>
  <pageMargins left="0.7" right="0.7" top="0.75" bottom="0.75" header="0.3" footer="0.3"/>
  <pageSetup paperSize="9" scale="3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'4.9 Comptes 2021 par habitant'!$E$3:$BE$3</xm:f>
          </x14:formula1>
          <xm:sqref>D5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59999389629810485"/>
  </sheetPr>
  <dimension ref="A1:C48"/>
  <sheetViews>
    <sheetView workbookViewId="0">
      <selection activeCell="C42" sqref="C42"/>
    </sheetView>
  </sheetViews>
  <sheetFormatPr baseColWidth="10" defaultColWidth="11.42578125" defaultRowHeight="15" x14ac:dyDescent="0.25"/>
  <cols>
    <col min="1" max="1" width="9.140625" customWidth="1"/>
    <col min="2" max="2" width="38.5703125" customWidth="1"/>
    <col min="3" max="3" width="22.85546875" customWidth="1"/>
  </cols>
  <sheetData>
    <row r="1" spans="1:3" ht="26.25" x14ac:dyDescent="0.4">
      <c r="A1" s="32" t="s">
        <v>839</v>
      </c>
    </row>
    <row r="3" spans="1:3" x14ac:dyDescent="0.25">
      <c r="A3" s="7" t="s">
        <v>199</v>
      </c>
    </row>
    <row r="5" spans="1:3" x14ac:dyDescent="0.25">
      <c r="A5" s="39" t="s">
        <v>216</v>
      </c>
      <c r="B5" s="39" t="s">
        <v>201</v>
      </c>
      <c r="C5" s="39" t="s">
        <v>840</v>
      </c>
    </row>
    <row r="6" spans="1:3" x14ac:dyDescent="0.25">
      <c r="A6" s="40">
        <v>90</v>
      </c>
      <c r="B6" s="41" t="s">
        <v>791</v>
      </c>
      <c r="C6" s="44">
        <f>'4.1 Comptes 2021 natures'!BF153</f>
        <v>13750904.800000003</v>
      </c>
    </row>
    <row r="7" spans="1:3" x14ac:dyDescent="0.25">
      <c r="A7" s="40">
        <v>900</v>
      </c>
      <c r="B7" s="41" t="s">
        <v>218</v>
      </c>
      <c r="C7" s="44">
        <f>'4.1 Comptes 2021 natures'!BF154</f>
        <v>2894072.129999999</v>
      </c>
    </row>
    <row r="8" spans="1:3" x14ac:dyDescent="0.25">
      <c r="A8" s="40">
        <v>901</v>
      </c>
      <c r="B8" s="41" t="s">
        <v>220</v>
      </c>
      <c r="C8" s="44">
        <f>'4.1 Comptes 2021 natures'!BF155</f>
        <v>10856832.670000004</v>
      </c>
    </row>
    <row r="9" spans="1:3" x14ac:dyDescent="0.25">
      <c r="A9" s="40">
        <v>400</v>
      </c>
      <c r="B9" s="41" t="s">
        <v>138</v>
      </c>
      <c r="C9" s="44">
        <f>'4.1 Comptes 2021 natures'!BF77</f>
        <v>166473515.98000005</v>
      </c>
    </row>
    <row r="10" spans="1:3" x14ac:dyDescent="0.25">
      <c r="A10" s="40">
        <v>401</v>
      </c>
      <c r="B10" s="41" t="s">
        <v>139</v>
      </c>
      <c r="C10" s="44">
        <f>'4.1 Comptes 2021 natures'!BF78</f>
        <v>26293215.379999999</v>
      </c>
    </row>
    <row r="11" spans="1:3" x14ac:dyDescent="0.25">
      <c r="A11" s="40">
        <v>4021</v>
      </c>
      <c r="B11" s="41" t="s">
        <v>214</v>
      </c>
      <c r="C11" s="44">
        <f>'4.1 Comptes 2021 natures'!BF163</f>
        <v>15199379.030000001</v>
      </c>
    </row>
    <row r="12" spans="1:3" x14ac:dyDescent="0.25">
      <c r="A12" s="40" t="s">
        <v>217</v>
      </c>
      <c r="B12" s="41" t="s">
        <v>221</v>
      </c>
      <c r="C12" s="44">
        <f>'6.1 Investissements'!BF182</f>
        <v>39074804.879999995</v>
      </c>
    </row>
    <row r="15" spans="1:3" x14ac:dyDescent="0.25">
      <c r="A15" s="7" t="s">
        <v>211</v>
      </c>
    </row>
    <row r="17" spans="1:3" x14ac:dyDescent="0.25">
      <c r="A17" s="39" t="s">
        <v>216</v>
      </c>
      <c r="B17" s="39" t="s">
        <v>201</v>
      </c>
      <c r="C17" s="39" t="s">
        <v>840</v>
      </c>
    </row>
    <row r="18" spans="1:3" x14ac:dyDescent="0.25">
      <c r="A18" s="40">
        <v>90</v>
      </c>
      <c r="B18" s="41" t="s">
        <v>791</v>
      </c>
      <c r="C18" s="44">
        <f>'4.1 Comptes 2021 natures'!BG153</f>
        <v>6697531.1299999999</v>
      </c>
    </row>
    <row r="19" spans="1:3" x14ac:dyDescent="0.25">
      <c r="A19" s="40">
        <v>900</v>
      </c>
      <c r="B19" s="41" t="s">
        <v>218</v>
      </c>
      <c r="C19" s="44">
        <f>'4.1 Comptes 2021 natures'!BG154</f>
        <v>-510037.35</v>
      </c>
    </row>
    <row r="20" spans="1:3" x14ac:dyDescent="0.25">
      <c r="A20" s="40">
        <v>901</v>
      </c>
      <c r="B20" s="41" t="s">
        <v>220</v>
      </c>
      <c r="C20" s="44">
        <f>'4.1 Comptes 2021 natures'!BG155</f>
        <v>7207568.4799999995</v>
      </c>
    </row>
    <row r="21" spans="1:3" x14ac:dyDescent="0.25">
      <c r="A21" s="40">
        <v>400</v>
      </c>
      <c r="B21" s="41" t="s">
        <v>138</v>
      </c>
      <c r="C21" s="44">
        <f>'4.1 Comptes 2021 natures'!BG77</f>
        <v>84946182.560000017</v>
      </c>
    </row>
    <row r="22" spans="1:3" x14ac:dyDescent="0.25">
      <c r="A22" s="40">
        <v>401</v>
      </c>
      <c r="B22" s="41" t="s">
        <v>139</v>
      </c>
      <c r="C22" s="44">
        <f>'4.1 Comptes 2021 natures'!BG78</f>
        <v>11459667.219999999</v>
      </c>
    </row>
    <row r="23" spans="1:3" x14ac:dyDescent="0.25">
      <c r="A23" s="40">
        <v>4021</v>
      </c>
      <c r="B23" s="41" t="s">
        <v>214</v>
      </c>
      <c r="C23" s="44">
        <f>'4.1 Comptes 2021 natures'!BG163</f>
        <v>7611957.129999998</v>
      </c>
    </row>
    <row r="24" spans="1:3" x14ac:dyDescent="0.25">
      <c r="A24" s="40" t="s">
        <v>217</v>
      </c>
      <c r="B24" s="41" t="s">
        <v>221</v>
      </c>
      <c r="C24" s="44">
        <f>'6.1 Investissements'!BG182</f>
        <v>21903402.359999992</v>
      </c>
    </row>
    <row r="27" spans="1:3" x14ac:dyDescent="0.25">
      <c r="A27" s="7" t="s">
        <v>212</v>
      </c>
    </row>
    <row r="29" spans="1:3" x14ac:dyDescent="0.25">
      <c r="A29" s="39" t="s">
        <v>216</v>
      </c>
      <c r="B29" s="39" t="s">
        <v>201</v>
      </c>
      <c r="C29" s="39" t="s">
        <v>840</v>
      </c>
    </row>
    <row r="30" spans="1:3" x14ac:dyDescent="0.25">
      <c r="A30" s="40">
        <v>90</v>
      </c>
      <c r="B30" s="41" t="s">
        <v>791</v>
      </c>
      <c r="C30" s="44">
        <f>'4.1 Comptes 2021 natures'!BH153</f>
        <v>4353742.4700000007</v>
      </c>
    </row>
    <row r="31" spans="1:3" x14ac:dyDescent="0.25">
      <c r="A31" s="40">
        <v>900</v>
      </c>
      <c r="B31" s="41" t="s">
        <v>218</v>
      </c>
      <c r="C31" s="44">
        <f>'4.1 Comptes 2021 natures'!BH154</f>
        <v>2851508.3400000003</v>
      </c>
    </row>
    <row r="32" spans="1:3" x14ac:dyDescent="0.25">
      <c r="A32" s="40">
        <v>901</v>
      </c>
      <c r="B32" s="41" t="s">
        <v>220</v>
      </c>
      <c r="C32" s="44">
        <f>'4.1 Comptes 2021 natures'!BH155</f>
        <v>1502234.13</v>
      </c>
    </row>
    <row r="33" spans="1:3" x14ac:dyDescent="0.25">
      <c r="A33" s="40">
        <v>400</v>
      </c>
      <c r="B33" s="41" t="s">
        <v>138</v>
      </c>
      <c r="C33" s="44">
        <f>'4.1 Comptes 2021 natures'!BH77</f>
        <v>25798458.66</v>
      </c>
    </row>
    <row r="34" spans="1:3" x14ac:dyDescent="0.25">
      <c r="A34" s="40">
        <v>401</v>
      </c>
      <c r="B34" s="41" t="s">
        <v>139</v>
      </c>
      <c r="C34" s="44">
        <f>'4.1 Comptes 2021 natures'!BH78</f>
        <v>5575911.8299999991</v>
      </c>
    </row>
    <row r="35" spans="1:3" x14ac:dyDescent="0.25">
      <c r="A35" s="40">
        <v>4021</v>
      </c>
      <c r="B35" s="41" t="s">
        <v>214</v>
      </c>
      <c r="C35" s="44">
        <f>'4.1 Comptes 2021 natures'!BH163</f>
        <v>2092424.55</v>
      </c>
    </row>
    <row r="36" spans="1:3" x14ac:dyDescent="0.25">
      <c r="A36" s="40" t="s">
        <v>217</v>
      </c>
      <c r="B36" s="41" t="s">
        <v>221</v>
      </c>
      <c r="C36" s="44">
        <f>'6.1 Investissements'!BH182</f>
        <v>3973305.2499999995</v>
      </c>
    </row>
    <row r="39" spans="1:3" x14ac:dyDescent="0.25">
      <c r="A39" t="s">
        <v>213</v>
      </c>
    </row>
    <row r="41" spans="1:3" x14ac:dyDescent="0.25">
      <c r="A41" s="39" t="s">
        <v>216</v>
      </c>
      <c r="B41" s="39" t="s">
        <v>201</v>
      </c>
      <c r="C41" s="39" t="s">
        <v>840</v>
      </c>
    </row>
    <row r="42" spans="1:3" x14ac:dyDescent="0.25">
      <c r="A42" s="40">
        <v>90</v>
      </c>
      <c r="B42" s="41" t="s">
        <v>791</v>
      </c>
      <c r="C42" s="44">
        <f>'4.1 Comptes 2021 natures'!BI153</f>
        <v>2699631.2</v>
      </c>
    </row>
    <row r="43" spans="1:3" x14ac:dyDescent="0.25">
      <c r="A43" s="40">
        <v>900</v>
      </c>
      <c r="B43" s="41" t="s">
        <v>218</v>
      </c>
      <c r="C43" s="44">
        <f>'4.1 Comptes 2021 natures'!BI154</f>
        <v>552601.14000000013</v>
      </c>
    </row>
    <row r="44" spans="1:3" x14ac:dyDescent="0.25">
      <c r="A44" s="40">
        <v>901</v>
      </c>
      <c r="B44" s="41" t="s">
        <v>220</v>
      </c>
      <c r="C44" s="44">
        <f>'4.1 Comptes 2021 natures'!BI155</f>
        <v>2147030.06</v>
      </c>
    </row>
    <row r="45" spans="1:3" x14ac:dyDescent="0.25">
      <c r="A45" s="40">
        <v>400</v>
      </c>
      <c r="B45" s="41" t="s">
        <v>138</v>
      </c>
      <c r="C45" s="44">
        <f>'4.1 Comptes 2021 natures'!BI77</f>
        <v>55728874.75999999</v>
      </c>
    </row>
    <row r="46" spans="1:3" x14ac:dyDescent="0.25">
      <c r="A46" s="40">
        <v>401</v>
      </c>
      <c r="B46" s="41" t="s">
        <v>139</v>
      </c>
      <c r="C46" s="44">
        <f>'4.1 Comptes 2021 natures'!BI78</f>
        <v>9257636.3300000019</v>
      </c>
    </row>
    <row r="47" spans="1:3" x14ac:dyDescent="0.25">
      <c r="A47" s="40">
        <v>4021</v>
      </c>
      <c r="B47" s="41" t="s">
        <v>214</v>
      </c>
      <c r="C47" s="44">
        <f>'4.1 Comptes 2021 natures'!BI163</f>
        <v>5494997.3499999996</v>
      </c>
    </row>
    <row r="48" spans="1:3" x14ac:dyDescent="0.25">
      <c r="A48" s="40" t="s">
        <v>217</v>
      </c>
      <c r="B48" s="41" t="s">
        <v>221</v>
      </c>
      <c r="C48" s="44">
        <f>'6.1 Investissements'!BI182</f>
        <v>13198097.27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59999389629810485"/>
  </sheetPr>
  <dimension ref="A1:C20"/>
  <sheetViews>
    <sheetView workbookViewId="0">
      <selection activeCell="B5" sqref="B5"/>
    </sheetView>
  </sheetViews>
  <sheetFormatPr baseColWidth="10" defaultColWidth="11.42578125" defaultRowHeight="15" x14ac:dyDescent="0.25"/>
  <cols>
    <col min="1" max="1" width="9.28515625" customWidth="1"/>
    <col min="2" max="2" width="39.7109375" customWidth="1"/>
    <col min="3" max="3" width="27.85546875" customWidth="1"/>
    <col min="4" max="4" width="23" customWidth="1"/>
  </cols>
  <sheetData>
    <row r="1" spans="1:3" ht="26.25" x14ac:dyDescent="0.4">
      <c r="A1" s="32" t="s">
        <v>841</v>
      </c>
    </row>
    <row r="4" spans="1:3" ht="15.75" thickBot="1" x14ac:dyDescent="0.3">
      <c r="B4" t="s">
        <v>594</v>
      </c>
    </row>
    <row r="5" spans="1:3" ht="15.75" thickBot="1" x14ac:dyDescent="0.3">
      <c r="B5" s="142" t="s">
        <v>71</v>
      </c>
    </row>
    <row r="8" spans="1:3" x14ac:dyDescent="0.25">
      <c r="A8" s="39" t="s">
        <v>216</v>
      </c>
      <c r="B8" s="39" t="s">
        <v>201</v>
      </c>
      <c r="C8" s="39" t="s">
        <v>840</v>
      </c>
    </row>
    <row r="9" spans="1:3" x14ac:dyDescent="0.25">
      <c r="A9" s="40">
        <v>90</v>
      </c>
      <c r="B9" s="41" t="s">
        <v>218</v>
      </c>
      <c r="C9" s="44">
        <f>HLOOKUP($B$5,'4.1 Comptes 2021 natures'!$E$3:$BE$169,151,0)</f>
        <v>10126.51</v>
      </c>
    </row>
    <row r="10" spans="1:3" x14ac:dyDescent="0.25">
      <c r="A10" s="40">
        <v>900</v>
      </c>
      <c r="B10" s="41" t="s">
        <v>219</v>
      </c>
      <c r="C10" s="44">
        <f>HLOOKUP($B$5,'4.1 Comptes 2021 natures'!$E$3:$BE$169,152,0)</f>
        <v>13373.11</v>
      </c>
    </row>
    <row r="11" spans="1:3" x14ac:dyDescent="0.25">
      <c r="A11" s="40">
        <v>901</v>
      </c>
      <c r="B11" s="41" t="s">
        <v>220</v>
      </c>
      <c r="C11" s="44">
        <f>HLOOKUP($B$5,'4.1 Comptes 2021 natures'!$E$3:$BE$169,153,0)</f>
        <v>-3246.6</v>
      </c>
    </row>
    <row r="12" spans="1:3" x14ac:dyDescent="0.25">
      <c r="A12" s="40">
        <v>400</v>
      </c>
      <c r="B12" s="41" t="s">
        <v>138</v>
      </c>
      <c r="C12" s="44">
        <f>HLOOKUP($B$5,'4.1 Comptes 2021 natures'!$E$3:$BE$169,75,0)</f>
        <v>201253.2</v>
      </c>
    </row>
    <row r="13" spans="1:3" x14ac:dyDescent="0.25">
      <c r="A13" s="40">
        <v>401</v>
      </c>
      <c r="B13" s="41" t="s">
        <v>139</v>
      </c>
      <c r="C13" s="44">
        <f>HLOOKUP($B$5,'4.1 Comptes 2021 natures'!$E$3:$BE$169,76,0)</f>
        <v>0</v>
      </c>
    </row>
    <row r="14" spans="1:3" x14ac:dyDescent="0.25">
      <c r="A14" s="40">
        <v>4021</v>
      </c>
      <c r="B14" s="41" t="s">
        <v>214</v>
      </c>
      <c r="C14" s="44">
        <f>HLOOKUP($B$5,'4.1 Comptes 2021 natures'!$E$3:$BE$169,161,0)</f>
        <v>34644.6</v>
      </c>
    </row>
    <row r="15" spans="1:3" x14ac:dyDescent="0.25">
      <c r="A15" s="40" t="s">
        <v>217</v>
      </c>
      <c r="B15" s="41" t="s">
        <v>221</v>
      </c>
      <c r="C15" s="44">
        <f>HLOOKUP($B$5,'6.1 Investissements'!$E$3:$BI$182,180,0)</f>
        <v>180906.95</v>
      </c>
    </row>
    <row r="17" spans="3:3" x14ac:dyDescent="0.25">
      <c r="C17" s="1"/>
    </row>
    <row r="18" spans="3:3" x14ac:dyDescent="0.25">
      <c r="C18" s="4"/>
    </row>
    <row r="19" spans="3:3" x14ac:dyDescent="0.25">
      <c r="C19" s="4"/>
    </row>
    <row r="20" spans="3:3" x14ac:dyDescent="0.25">
      <c r="C20" s="4"/>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'4.9 Comptes 2021 par habitant'!$E$3:$BE$3</xm:f>
          </x14:formula1>
          <xm:sqref>B5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59999389629810485"/>
  </sheetPr>
  <dimension ref="A1:C89"/>
  <sheetViews>
    <sheetView workbookViewId="0">
      <selection activeCell="A73" sqref="A73"/>
    </sheetView>
  </sheetViews>
  <sheetFormatPr baseColWidth="10" defaultColWidth="11.42578125" defaultRowHeight="15" x14ac:dyDescent="0.25"/>
  <cols>
    <col min="1" max="1" width="22.7109375" customWidth="1"/>
    <col min="2" max="2" width="34.42578125" customWidth="1"/>
    <col min="3" max="3" width="23" customWidth="1"/>
  </cols>
  <sheetData>
    <row r="1" spans="1:3" ht="23.25" x14ac:dyDescent="0.35">
      <c r="A1" s="162" t="s">
        <v>842</v>
      </c>
    </row>
    <row r="4" spans="1:3" x14ac:dyDescent="0.25">
      <c r="A4" s="7" t="s">
        <v>199</v>
      </c>
    </row>
    <row r="5" spans="1:3" x14ac:dyDescent="0.25">
      <c r="A5" s="7" t="s">
        <v>843</v>
      </c>
    </row>
    <row r="7" spans="1:3" x14ac:dyDescent="0.25">
      <c r="A7" s="39" t="s">
        <v>200</v>
      </c>
      <c r="B7" s="39" t="s">
        <v>201</v>
      </c>
      <c r="C7" s="39" t="s">
        <v>202</v>
      </c>
    </row>
    <row r="8" spans="1:3" x14ac:dyDescent="0.25">
      <c r="A8" s="40" t="s">
        <v>209</v>
      </c>
      <c r="B8" s="41" t="s">
        <v>203</v>
      </c>
      <c r="C8" s="44">
        <f>'4.1 Comptes 2021 natures'!BF5+'4.1 Comptes 2021 natures'!BF15+'4.1 Comptes 2021 natures'!BF27+'4.1 Comptes 2021 natures'!BF39+'4.1 Comptes 2021 natures'!BF43+'4.1 Comptes 2021 natures'!BF53</f>
        <v>362534545.71999997</v>
      </c>
    </row>
    <row r="9" spans="1:3" x14ac:dyDescent="0.25">
      <c r="A9" s="40" t="s">
        <v>210</v>
      </c>
      <c r="B9" s="41" t="s">
        <v>204</v>
      </c>
      <c r="C9" s="44">
        <f>'4.1 Comptes 2021 natures'!BF76+'4.1 Comptes 2021 natures'!BF82+'4.1 Comptes 2021 natures'!BF88+'4.1 Comptes 2021 natures'!BF99+'4.1 Comptes 2021 natures'!BF117+'4.1 Comptes 2021 natures'!BF121+'4.1 Comptes 2021 natures'!BF128</f>
        <v>371800427.79000008</v>
      </c>
    </row>
    <row r="10" spans="1:3" x14ac:dyDescent="0.25">
      <c r="A10" s="41"/>
      <c r="B10" s="43" t="s">
        <v>205</v>
      </c>
      <c r="C10" s="50">
        <f>C9-C8</f>
        <v>9265882.0700001121</v>
      </c>
    </row>
    <row r="11" spans="1:3" x14ac:dyDescent="0.25">
      <c r="A11" s="41"/>
      <c r="B11" s="41"/>
      <c r="C11" s="41"/>
    </row>
    <row r="12" spans="1:3" x14ac:dyDescent="0.25">
      <c r="A12" s="41">
        <v>34</v>
      </c>
      <c r="B12" s="41" t="s">
        <v>101</v>
      </c>
      <c r="C12" s="44">
        <f>'4.1 Comptes 2021 natures'!BF31</f>
        <v>8323158.1299999999</v>
      </c>
    </row>
    <row r="13" spans="1:3" x14ac:dyDescent="0.25">
      <c r="A13" s="41">
        <v>44</v>
      </c>
      <c r="B13" s="41" t="s">
        <v>162</v>
      </c>
      <c r="C13" s="44">
        <f>'4.1 Comptes 2021 natures'!BF105</f>
        <v>14543222.970000001</v>
      </c>
    </row>
    <row r="14" spans="1:3" x14ac:dyDescent="0.25">
      <c r="A14" s="41"/>
      <c r="B14" s="43" t="s">
        <v>238</v>
      </c>
      <c r="C14" s="50">
        <f>C13-C12</f>
        <v>6220064.8400000008</v>
      </c>
    </row>
    <row r="15" spans="1:3" x14ac:dyDescent="0.25">
      <c r="A15" s="41"/>
      <c r="B15" s="41"/>
      <c r="C15" s="41"/>
    </row>
    <row r="16" spans="1:3" x14ac:dyDescent="0.25">
      <c r="A16" s="41"/>
      <c r="B16" s="43" t="s">
        <v>206</v>
      </c>
      <c r="C16" s="50">
        <f>C10+C14</f>
        <v>15485946.910000112</v>
      </c>
    </row>
    <row r="17" spans="1:3" x14ac:dyDescent="0.25">
      <c r="A17" s="41"/>
      <c r="B17" s="41"/>
      <c r="C17" s="41"/>
    </row>
    <row r="18" spans="1:3" x14ac:dyDescent="0.25">
      <c r="A18" s="41">
        <v>38</v>
      </c>
      <c r="B18" s="41" t="s">
        <v>121</v>
      </c>
      <c r="C18" s="44">
        <f>'4.1 Comptes 2021 natures'!BF56</f>
        <v>5390500.2599999998</v>
      </c>
    </row>
    <row r="19" spans="1:3" x14ac:dyDescent="0.25">
      <c r="A19" s="41">
        <v>48</v>
      </c>
      <c r="B19" s="41" t="s">
        <v>181</v>
      </c>
      <c r="C19" s="44">
        <f>'4.1 Comptes 2021 natures'!BF131</f>
        <v>3735282.14</v>
      </c>
    </row>
    <row r="20" spans="1:3" x14ac:dyDescent="0.25">
      <c r="A20" s="41"/>
      <c r="B20" s="43" t="s">
        <v>207</v>
      </c>
      <c r="C20" s="50">
        <f>C19-C18</f>
        <v>-1655218.1199999996</v>
      </c>
    </row>
    <row r="21" spans="1:3" x14ac:dyDescent="0.25">
      <c r="A21" s="41"/>
      <c r="B21" s="41"/>
      <c r="C21" s="41"/>
    </row>
    <row r="22" spans="1:3" x14ac:dyDescent="0.25">
      <c r="A22" s="41"/>
      <c r="B22" s="43" t="s">
        <v>208</v>
      </c>
      <c r="C22" s="50">
        <f>C16+C20</f>
        <v>13830728.790000113</v>
      </c>
    </row>
    <row r="25" spans="1:3" x14ac:dyDescent="0.25">
      <c r="A25" s="7" t="s">
        <v>211</v>
      </c>
    </row>
    <row r="26" spans="1:3" x14ac:dyDescent="0.25">
      <c r="A26" s="7" t="s">
        <v>843</v>
      </c>
    </row>
    <row r="28" spans="1:3" x14ac:dyDescent="0.25">
      <c r="A28" s="39" t="s">
        <v>200</v>
      </c>
      <c r="B28" s="39" t="s">
        <v>201</v>
      </c>
      <c r="C28" s="39" t="s">
        <v>202</v>
      </c>
    </row>
    <row r="29" spans="1:3" x14ac:dyDescent="0.25">
      <c r="A29" s="40" t="s">
        <v>209</v>
      </c>
      <c r="B29" s="41" t="s">
        <v>203</v>
      </c>
      <c r="C29" s="44">
        <f>'4.1 Comptes 2021 natures'!BG5+'4.1 Comptes 2021 natures'!BG15+'4.1 Comptes 2021 natures'!BG27+'4.1 Comptes 2021 natures'!BG39+'4.1 Comptes 2021 natures'!BG43+'4.1 Comptes 2021 natures'!BG53</f>
        <v>193679538.94</v>
      </c>
    </row>
    <row r="30" spans="1:3" x14ac:dyDescent="0.25">
      <c r="A30" s="40" t="s">
        <v>210</v>
      </c>
      <c r="B30" s="41" t="s">
        <v>204</v>
      </c>
      <c r="C30" s="44">
        <f>'4.1 Comptes 2021 natures'!BG76+'4.1 Comptes 2021 natures'!BG82+'4.1 Comptes 2021 natures'!BG88+'4.1 Comptes 2021 natures'!BG99+'4.1 Comptes 2021 natures'!BG117+'4.1 Comptes 2021 natures'!BG121+'4.1 Comptes 2021 natures'!BG128</f>
        <v>198663759.92000005</v>
      </c>
    </row>
    <row r="31" spans="1:3" x14ac:dyDescent="0.25">
      <c r="A31" s="41"/>
      <c r="B31" s="43" t="s">
        <v>205</v>
      </c>
      <c r="C31" s="50">
        <f>C30-C29</f>
        <v>4984220.9800000489</v>
      </c>
    </row>
    <row r="32" spans="1:3" x14ac:dyDescent="0.25">
      <c r="A32" s="41"/>
      <c r="B32" s="41"/>
      <c r="C32" s="44"/>
    </row>
    <row r="33" spans="1:3" x14ac:dyDescent="0.25">
      <c r="A33" s="41">
        <v>34</v>
      </c>
      <c r="B33" s="41" t="s">
        <v>101</v>
      </c>
      <c r="C33" s="44">
        <f>'4.1 Comptes 2021 natures'!BG31</f>
        <v>4076118.67</v>
      </c>
    </row>
    <row r="34" spans="1:3" x14ac:dyDescent="0.25">
      <c r="A34" s="41">
        <v>44</v>
      </c>
      <c r="B34" s="41" t="s">
        <v>162</v>
      </c>
      <c r="C34" s="44">
        <f>'4.1 Comptes 2021 natures'!BG105</f>
        <v>5921109.2299999995</v>
      </c>
    </row>
    <row r="35" spans="1:3" x14ac:dyDescent="0.25">
      <c r="A35" s="41"/>
      <c r="B35" s="43" t="s">
        <v>238</v>
      </c>
      <c r="C35" s="50">
        <f>C34-C33</f>
        <v>1844990.5599999996</v>
      </c>
    </row>
    <row r="36" spans="1:3" x14ac:dyDescent="0.25">
      <c r="A36" s="41"/>
      <c r="B36" s="41"/>
      <c r="C36" s="44"/>
    </row>
    <row r="37" spans="1:3" x14ac:dyDescent="0.25">
      <c r="A37" s="41"/>
      <c r="B37" s="43" t="s">
        <v>206</v>
      </c>
      <c r="C37" s="50">
        <f>C31+C35</f>
        <v>6829211.5400000485</v>
      </c>
    </row>
    <row r="38" spans="1:3" x14ac:dyDescent="0.25">
      <c r="A38" s="41"/>
      <c r="B38" s="41"/>
      <c r="C38" s="44"/>
    </row>
    <row r="39" spans="1:3" x14ac:dyDescent="0.25">
      <c r="A39" s="41">
        <v>38</v>
      </c>
      <c r="B39" s="41" t="s">
        <v>121</v>
      </c>
      <c r="C39" s="44">
        <f>'4.1 Comptes 2021 natures'!BG56</f>
        <v>1382397.1</v>
      </c>
    </row>
    <row r="40" spans="1:3" x14ac:dyDescent="0.25">
      <c r="A40" s="41">
        <v>48</v>
      </c>
      <c r="B40" s="41" t="s">
        <v>181</v>
      </c>
      <c r="C40" s="44">
        <f>'4.1 Comptes 2021 natures'!BG131</f>
        <v>1328575.93</v>
      </c>
    </row>
    <row r="41" spans="1:3" x14ac:dyDescent="0.25">
      <c r="A41" s="41"/>
      <c r="B41" s="43" t="s">
        <v>207</v>
      </c>
      <c r="C41" s="50">
        <f>C40-C39</f>
        <v>-53821.170000000158</v>
      </c>
    </row>
    <row r="42" spans="1:3" x14ac:dyDescent="0.25">
      <c r="A42" s="41"/>
      <c r="B42" s="41"/>
      <c r="C42" s="44"/>
    </row>
    <row r="43" spans="1:3" x14ac:dyDescent="0.25">
      <c r="A43" s="41"/>
      <c r="B43" s="43" t="s">
        <v>208</v>
      </c>
      <c r="C43" s="50">
        <f>C37+C41</f>
        <v>6775390.3700000485</v>
      </c>
    </row>
    <row r="50" spans="1:3" x14ac:dyDescent="0.25">
      <c r="A50" s="7" t="s">
        <v>212</v>
      </c>
    </row>
    <row r="51" spans="1:3" x14ac:dyDescent="0.25">
      <c r="A51" s="7" t="s">
        <v>843</v>
      </c>
    </row>
    <row r="53" spans="1:3" x14ac:dyDescent="0.25">
      <c r="A53" s="39" t="s">
        <v>200</v>
      </c>
      <c r="B53" s="39" t="s">
        <v>201</v>
      </c>
      <c r="C53" s="39" t="s">
        <v>202</v>
      </c>
    </row>
    <row r="54" spans="1:3" x14ac:dyDescent="0.25">
      <c r="A54" s="40" t="s">
        <v>209</v>
      </c>
      <c r="B54" s="41" t="s">
        <v>203</v>
      </c>
      <c r="C54" s="44">
        <f>'4.1 Comptes 2021 natures'!BH5+'4.1 Comptes 2021 natures'!BH15+'4.1 Comptes 2021 natures'!BH27+'4.1 Comptes 2021 natures'!BH39+'4.1 Comptes 2021 natures'!BH43+'4.1 Comptes 2021 natures'!BH53</f>
        <v>52810877.789999999</v>
      </c>
    </row>
    <row r="55" spans="1:3" x14ac:dyDescent="0.25">
      <c r="A55" s="40" t="s">
        <v>210</v>
      </c>
      <c r="B55" s="41" t="s">
        <v>204</v>
      </c>
      <c r="C55" s="44">
        <f>'4.1 Comptes 2021 natures'!BH76+'4.1 Comptes 2021 natures'!BH82+'4.1 Comptes 2021 natures'!BH88+'4.1 Comptes 2021 natures'!BH99+'4.1 Comptes 2021 natures'!BH117+'4.1 Comptes 2021 natures'!BH121+'4.1 Comptes 2021 natures'!BH128</f>
        <v>56912347.039999999</v>
      </c>
    </row>
    <row r="56" spans="1:3" x14ac:dyDescent="0.25">
      <c r="A56" s="41"/>
      <c r="B56" s="43" t="s">
        <v>205</v>
      </c>
      <c r="C56" s="50">
        <f>C55-C54</f>
        <v>4101469.25</v>
      </c>
    </row>
    <row r="57" spans="1:3" x14ac:dyDescent="0.25">
      <c r="A57" s="41"/>
      <c r="B57" s="41"/>
      <c r="C57" s="44"/>
    </row>
    <row r="58" spans="1:3" x14ac:dyDescent="0.25">
      <c r="A58" s="41">
        <v>34</v>
      </c>
      <c r="B58" s="41" t="s">
        <v>101</v>
      </c>
      <c r="C58" s="44">
        <f>'4.1 Comptes 2021 natures'!BH31</f>
        <v>860858.39</v>
      </c>
    </row>
    <row r="59" spans="1:3" x14ac:dyDescent="0.25">
      <c r="A59" s="41">
        <v>44</v>
      </c>
      <c r="B59" s="41" t="s">
        <v>162</v>
      </c>
      <c r="C59" s="44">
        <f>'4.1 Comptes 2021 natures'!BH105</f>
        <v>1931124.55</v>
      </c>
    </row>
    <row r="60" spans="1:3" x14ac:dyDescent="0.25">
      <c r="A60" s="41"/>
      <c r="B60" s="43" t="s">
        <v>238</v>
      </c>
      <c r="C60" s="50">
        <f>C59-C58</f>
        <v>1070266.1600000001</v>
      </c>
    </row>
    <row r="61" spans="1:3" x14ac:dyDescent="0.25">
      <c r="A61" s="41"/>
      <c r="B61" s="41"/>
      <c r="C61" s="44"/>
    </row>
    <row r="62" spans="1:3" x14ac:dyDescent="0.25">
      <c r="A62" s="41"/>
      <c r="B62" s="43" t="s">
        <v>206</v>
      </c>
      <c r="C62" s="50">
        <f>C56+C60</f>
        <v>5171735.41</v>
      </c>
    </row>
    <row r="63" spans="1:3" x14ac:dyDescent="0.25">
      <c r="A63" s="41"/>
      <c r="B63" s="41"/>
      <c r="C63" s="44"/>
    </row>
    <row r="64" spans="1:3" x14ac:dyDescent="0.25">
      <c r="A64" s="41">
        <v>38</v>
      </c>
      <c r="B64" s="41" t="s">
        <v>121</v>
      </c>
      <c r="C64" s="44">
        <f>'4.1 Comptes 2021 natures'!BH56</f>
        <v>982803.79</v>
      </c>
    </row>
    <row r="65" spans="1:3" x14ac:dyDescent="0.25">
      <c r="A65" s="41">
        <v>48</v>
      </c>
      <c r="B65" s="41" t="s">
        <v>181</v>
      </c>
      <c r="C65" s="44">
        <f>'4.1 Comptes 2021 natures'!BH131</f>
        <v>167764.04999999999</v>
      </c>
    </row>
    <row r="66" spans="1:3" x14ac:dyDescent="0.25">
      <c r="A66" s="41"/>
      <c r="B66" s="43" t="s">
        <v>207</v>
      </c>
      <c r="C66" s="50">
        <f>C65-C64</f>
        <v>-815039.74</v>
      </c>
    </row>
    <row r="67" spans="1:3" x14ac:dyDescent="0.25">
      <c r="A67" s="41"/>
      <c r="B67" s="41"/>
      <c r="C67" s="44"/>
    </row>
    <row r="68" spans="1:3" x14ac:dyDescent="0.25">
      <c r="A68" s="41"/>
      <c r="B68" s="43" t="s">
        <v>208</v>
      </c>
      <c r="C68" s="50">
        <f>C62+C66</f>
        <v>4356695.67</v>
      </c>
    </row>
    <row r="71" spans="1:3" x14ac:dyDescent="0.25">
      <c r="A71" s="7" t="s">
        <v>213</v>
      </c>
    </row>
    <row r="72" spans="1:3" x14ac:dyDescent="0.25">
      <c r="A72" s="7" t="s">
        <v>843</v>
      </c>
    </row>
    <row r="74" spans="1:3" x14ac:dyDescent="0.25">
      <c r="A74" s="39" t="s">
        <v>200</v>
      </c>
      <c r="B74" s="39" t="s">
        <v>201</v>
      </c>
      <c r="C74" s="39" t="s">
        <v>202</v>
      </c>
    </row>
    <row r="75" spans="1:3" x14ac:dyDescent="0.25">
      <c r="A75" s="40" t="s">
        <v>209</v>
      </c>
      <c r="B75" s="41" t="s">
        <v>203</v>
      </c>
      <c r="C75" s="44">
        <f>'4.1 Comptes 2021 natures'!BI5+'4.1 Comptes 2021 natures'!BI15+'4.1 Comptes 2021 natures'!BI27+'4.1 Comptes 2021 natures'!BI39+'4.1 Comptes 2021 natures'!BI43+'4.1 Comptes 2021 natures'!BI53</f>
        <v>116044128.99000001</v>
      </c>
    </row>
    <row r="76" spans="1:3" x14ac:dyDescent="0.25">
      <c r="A76" s="40" t="s">
        <v>210</v>
      </c>
      <c r="B76" s="41" t="s">
        <v>204</v>
      </c>
      <c r="C76" s="44">
        <f>'4.1 Comptes 2021 natures'!BI76+'4.1 Comptes 2021 natures'!BI82+'4.1 Comptes 2021 natures'!BI88+'4.1 Comptes 2021 natures'!BI99+'4.1 Comptes 2021 natures'!BI117+'4.1 Comptes 2021 natures'!BI121+'4.1 Comptes 2021 natures'!BI128</f>
        <v>116224320.82999998</v>
      </c>
    </row>
    <row r="77" spans="1:3" x14ac:dyDescent="0.25">
      <c r="A77" s="41"/>
      <c r="B77" s="43" t="s">
        <v>205</v>
      </c>
      <c r="C77" s="50">
        <f>C76-C75</f>
        <v>180191.83999997377</v>
      </c>
    </row>
    <row r="78" spans="1:3" x14ac:dyDescent="0.25">
      <c r="A78" s="41"/>
      <c r="B78" s="41"/>
      <c r="C78" s="44"/>
    </row>
    <row r="79" spans="1:3" x14ac:dyDescent="0.25">
      <c r="A79" s="41">
        <v>34</v>
      </c>
      <c r="B79" s="41" t="s">
        <v>101</v>
      </c>
      <c r="C79" s="44">
        <f>'4.1 Comptes 2021 natures'!BI31</f>
        <v>3386181.0699999994</v>
      </c>
    </row>
    <row r="80" spans="1:3" x14ac:dyDescent="0.25">
      <c r="A80" s="41">
        <v>44</v>
      </c>
      <c r="B80" s="41" t="s">
        <v>162</v>
      </c>
      <c r="C80" s="44">
        <f>'4.1 Comptes 2021 natures'!BI105</f>
        <v>6690989.1899999995</v>
      </c>
    </row>
    <row r="81" spans="1:3" x14ac:dyDescent="0.25">
      <c r="A81" s="41"/>
      <c r="B81" s="43" t="s">
        <v>238</v>
      </c>
      <c r="C81" s="50">
        <f>C80-C79</f>
        <v>3304808.12</v>
      </c>
    </row>
    <row r="82" spans="1:3" x14ac:dyDescent="0.25">
      <c r="A82" s="41"/>
      <c r="B82" s="41"/>
      <c r="C82" s="44"/>
    </row>
    <row r="83" spans="1:3" x14ac:dyDescent="0.25">
      <c r="A83" s="41"/>
      <c r="B83" s="43" t="s">
        <v>206</v>
      </c>
      <c r="C83" s="50">
        <f>C77+C81</f>
        <v>3484999.9599999739</v>
      </c>
    </row>
    <row r="84" spans="1:3" x14ac:dyDescent="0.25">
      <c r="A84" s="41"/>
      <c r="B84" s="41"/>
      <c r="C84" s="44"/>
    </row>
    <row r="85" spans="1:3" x14ac:dyDescent="0.25">
      <c r="A85" s="41">
        <v>38</v>
      </c>
      <c r="B85" s="41" t="s">
        <v>121</v>
      </c>
      <c r="C85" s="44">
        <f>'4.1 Comptes 2021 natures'!BI56</f>
        <v>3025299.37</v>
      </c>
    </row>
    <row r="86" spans="1:3" x14ac:dyDescent="0.25">
      <c r="A86" s="41">
        <v>48</v>
      </c>
      <c r="B86" s="41" t="s">
        <v>181</v>
      </c>
      <c r="C86" s="44">
        <f>'4.1 Comptes 2021 natures'!BI131</f>
        <v>2238942.16</v>
      </c>
    </row>
    <row r="87" spans="1:3" x14ac:dyDescent="0.25">
      <c r="A87" s="41"/>
      <c r="B87" s="43" t="s">
        <v>207</v>
      </c>
      <c r="C87" s="50">
        <f>C86-C85</f>
        <v>-786357.21</v>
      </c>
    </row>
    <row r="88" spans="1:3" x14ac:dyDescent="0.25">
      <c r="A88" s="41"/>
      <c r="B88" s="41"/>
      <c r="C88" s="44"/>
    </row>
    <row r="89" spans="1:3" x14ac:dyDescent="0.25">
      <c r="A89" s="41"/>
      <c r="B89" s="43" t="s">
        <v>208</v>
      </c>
      <c r="C89" s="50">
        <f>C83+C87</f>
        <v>2698642.7499999739</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59999389629810485"/>
  </sheetPr>
  <dimension ref="A1:C27"/>
  <sheetViews>
    <sheetView workbookViewId="0">
      <selection activeCell="B5" sqref="B5"/>
    </sheetView>
  </sheetViews>
  <sheetFormatPr baseColWidth="10" defaultColWidth="11.42578125" defaultRowHeight="15" x14ac:dyDescent="0.25"/>
  <cols>
    <col min="1" max="1" width="21.85546875" customWidth="1"/>
    <col min="2" max="2" width="40.42578125" customWidth="1"/>
    <col min="3" max="3" width="22.85546875" customWidth="1"/>
  </cols>
  <sheetData>
    <row r="1" spans="1:3" ht="26.25" x14ac:dyDescent="0.4">
      <c r="A1" s="32" t="s">
        <v>842</v>
      </c>
    </row>
    <row r="4" spans="1:3" ht="15.75" thickBot="1" x14ac:dyDescent="0.3">
      <c r="B4" t="s">
        <v>594</v>
      </c>
    </row>
    <row r="5" spans="1:3" ht="15.75" thickBot="1" x14ac:dyDescent="0.3">
      <c r="B5" s="142" t="s">
        <v>71</v>
      </c>
    </row>
    <row r="7" spans="1:3" x14ac:dyDescent="0.25">
      <c r="A7" s="39" t="s">
        <v>200</v>
      </c>
      <c r="B7" s="39" t="s">
        <v>201</v>
      </c>
      <c r="C7" s="39" t="s">
        <v>202</v>
      </c>
    </row>
    <row r="8" spans="1:3" x14ac:dyDescent="0.25">
      <c r="A8" s="40" t="s">
        <v>209</v>
      </c>
      <c r="B8" s="41" t="s">
        <v>203</v>
      </c>
      <c r="C8" s="44">
        <f>HLOOKUP($B$5,'4.1 Comptes 2021 natures'!$E$3:$BE$173,169,0)</f>
        <v>624337.34000000008</v>
      </c>
    </row>
    <row r="9" spans="1:3" x14ac:dyDescent="0.25">
      <c r="A9" s="40" t="s">
        <v>210</v>
      </c>
      <c r="B9" s="41" t="s">
        <v>204</v>
      </c>
      <c r="C9" s="44">
        <f>HLOOKUP($B$5,'4.1 Comptes 2021 natures'!$E$3:$BE$173,170,0)</f>
        <v>611024.72</v>
      </c>
    </row>
    <row r="10" spans="1:3" x14ac:dyDescent="0.25">
      <c r="A10" s="41"/>
      <c r="B10" s="43" t="s">
        <v>205</v>
      </c>
      <c r="C10" s="50">
        <f>C9-C8</f>
        <v>-13312.620000000112</v>
      </c>
    </row>
    <row r="11" spans="1:3" x14ac:dyDescent="0.25">
      <c r="A11" s="41"/>
      <c r="B11" s="41"/>
      <c r="C11" s="41"/>
    </row>
    <row r="12" spans="1:3" x14ac:dyDescent="0.25">
      <c r="A12" s="41">
        <v>34</v>
      </c>
      <c r="B12" s="41" t="s">
        <v>101</v>
      </c>
      <c r="C12" s="44">
        <f>HLOOKUP($B$5,'4.1 Comptes 2021 natures'!$E$3:$BE$173,29,0)</f>
        <v>3560.17</v>
      </c>
    </row>
    <row r="13" spans="1:3" x14ac:dyDescent="0.25">
      <c r="A13" s="41">
        <v>44</v>
      </c>
      <c r="B13" s="41" t="s">
        <v>162</v>
      </c>
      <c r="C13" s="44">
        <f>HLOOKUP($B$5,'4.1 Comptes 2021 natures'!$E$3:$BE$173,103,0)</f>
        <v>29952.5</v>
      </c>
    </row>
    <row r="14" spans="1:3" x14ac:dyDescent="0.25">
      <c r="A14" s="41"/>
      <c r="B14" s="43" t="s">
        <v>238</v>
      </c>
      <c r="C14" s="50">
        <f>C13-C12</f>
        <v>26392.33</v>
      </c>
    </row>
    <row r="15" spans="1:3" x14ac:dyDescent="0.25">
      <c r="A15" s="41"/>
      <c r="B15" s="41"/>
      <c r="C15" s="41"/>
    </row>
    <row r="16" spans="1:3" x14ac:dyDescent="0.25">
      <c r="A16" s="41"/>
      <c r="B16" s="43" t="s">
        <v>206</v>
      </c>
      <c r="C16" s="50">
        <f>C10+C14</f>
        <v>13079.70999999989</v>
      </c>
    </row>
    <row r="17" spans="1:3" x14ac:dyDescent="0.25">
      <c r="A17" s="41"/>
      <c r="B17" s="41"/>
      <c r="C17" s="41"/>
    </row>
    <row r="18" spans="1:3" x14ac:dyDescent="0.25">
      <c r="A18" s="41">
        <v>38</v>
      </c>
      <c r="B18" s="41" t="s">
        <v>121</v>
      </c>
      <c r="C18" s="44">
        <f>HLOOKUP($B$5,'4.1 Comptes 2021 natures'!$E$3:$BE$173,54,0)</f>
        <v>0</v>
      </c>
    </row>
    <row r="19" spans="1:3" x14ac:dyDescent="0.25">
      <c r="A19" s="41">
        <v>48</v>
      </c>
      <c r="B19" s="41" t="s">
        <v>181</v>
      </c>
      <c r="C19" s="44">
        <f>HLOOKUP($B$5,'4.1 Comptes 2021 natures'!$E$3:$BE$173,129,0)</f>
        <v>0</v>
      </c>
    </row>
    <row r="20" spans="1:3" x14ac:dyDescent="0.25">
      <c r="A20" s="41"/>
      <c r="B20" s="43" t="s">
        <v>207</v>
      </c>
      <c r="C20" s="50">
        <f>C19-C18</f>
        <v>0</v>
      </c>
    </row>
    <row r="21" spans="1:3" x14ac:dyDescent="0.25">
      <c r="A21" s="41"/>
      <c r="B21" s="41"/>
      <c r="C21" s="41"/>
    </row>
    <row r="22" spans="1:3" x14ac:dyDescent="0.25">
      <c r="A22" s="41"/>
      <c r="B22" s="43" t="s">
        <v>208</v>
      </c>
      <c r="C22" s="50">
        <f>C16+C20</f>
        <v>13079.70999999989</v>
      </c>
    </row>
    <row r="25" spans="1:3" x14ac:dyDescent="0.25">
      <c r="C25" s="83"/>
    </row>
    <row r="26" spans="1:3" x14ac:dyDescent="0.25">
      <c r="C26" s="4"/>
    </row>
    <row r="27" spans="1:3" x14ac:dyDescent="0.25">
      <c r="C27" s="83"/>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'4.1 Comptes 2021 natures'!$E$3:$BE$3</xm:f>
          </x14:formula1>
          <xm:sqref>B5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sheetPr>
  <dimension ref="A1:D91"/>
  <sheetViews>
    <sheetView workbookViewId="0">
      <selection activeCell="D16" sqref="D16"/>
    </sheetView>
  </sheetViews>
  <sheetFormatPr baseColWidth="10" defaultColWidth="11.42578125" defaultRowHeight="15" x14ac:dyDescent="0.25"/>
  <cols>
    <col min="1" max="1" width="9.42578125" customWidth="1"/>
    <col min="2" max="2" width="3.28515625" customWidth="1"/>
    <col min="3" max="3" width="63.28515625" customWidth="1"/>
    <col min="4" max="4" width="15.28515625" customWidth="1"/>
  </cols>
  <sheetData>
    <row r="1" spans="1:4" ht="26.25" x14ac:dyDescent="0.4">
      <c r="A1" s="32" t="s">
        <v>222</v>
      </c>
    </row>
    <row r="4" spans="1:4" x14ac:dyDescent="0.25">
      <c r="A4" s="7" t="s">
        <v>199</v>
      </c>
    </row>
    <row r="5" spans="1:4" x14ac:dyDescent="0.25">
      <c r="A5" s="7" t="s">
        <v>844</v>
      </c>
    </row>
    <row r="7" spans="1:4" x14ac:dyDescent="0.25">
      <c r="A7" s="39" t="s">
        <v>223</v>
      </c>
      <c r="B7" s="39"/>
      <c r="C7" s="39" t="s">
        <v>201</v>
      </c>
      <c r="D7" s="39" t="s">
        <v>202</v>
      </c>
    </row>
    <row r="8" spans="1:4" x14ac:dyDescent="0.25">
      <c r="A8" s="41">
        <v>90</v>
      </c>
      <c r="B8" s="46"/>
      <c r="C8" s="41" t="s">
        <v>195</v>
      </c>
      <c r="D8" s="44">
        <f>'4.1 Comptes 2021 natures'!BF153</f>
        <v>13750904.800000003</v>
      </c>
    </row>
    <row r="9" spans="1:4" x14ac:dyDescent="0.25">
      <c r="A9" s="41">
        <v>33</v>
      </c>
      <c r="B9" s="46" t="s">
        <v>225</v>
      </c>
      <c r="C9" s="41" t="s">
        <v>98</v>
      </c>
      <c r="D9" s="44">
        <f>'4.1 Comptes 2021 natures'!BF27</f>
        <v>22383743.729999997</v>
      </c>
    </row>
    <row r="10" spans="1:4" x14ac:dyDescent="0.25">
      <c r="A10" s="41">
        <v>35</v>
      </c>
      <c r="B10" s="46" t="s">
        <v>225</v>
      </c>
      <c r="C10" s="41" t="s">
        <v>227</v>
      </c>
      <c r="D10" s="44">
        <f>'4.1 Comptes 2021 natures'!BF39</f>
        <v>2171228.4500000007</v>
      </c>
    </row>
    <row r="11" spans="1:4" x14ac:dyDescent="0.25">
      <c r="A11" s="41">
        <v>45</v>
      </c>
      <c r="B11" s="46" t="s">
        <v>226</v>
      </c>
      <c r="C11" s="41" t="s">
        <v>174</v>
      </c>
      <c r="D11" s="44">
        <f>'4.1 Comptes 2021 natures'!BF117</f>
        <v>899800.40999999992</v>
      </c>
    </row>
    <row r="12" spans="1:4" x14ac:dyDescent="0.25">
      <c r="A12" s="41">
        <v>364</v>
      </c>
      <c r="B12" s="46" t="s">
        <v>225</v>
      </c>
      <c r="C12" s="41" t="s">
        <v>234</v>
      </c>
      <c r="D12" s="44">
        <f>'4.1 Comptes 2021 natures'!BF48</f>
        <v>0</v>
      </c>
    </row>
    <row r="13" spans="1:4" x14ac:dyDescent="0.25">
      <c r="A13" s="41">
        <v>365</v>
      </c>
      <c r="B13" s="46" t="s">
        <v>225</v>
      </c>
      <c r="C13" s="41" t="s">
        <v>235</v>
      </c>
      <c r="D13" s="44">
        <f>'4.1 Comptes 2021 natures'!BF49</f>
        <v>20820</v>
      </c>
    </row>
    <row r="14" spans="1:4" x14ac:dyDescent="0.25">
      <c r="A14" s="41">
        <v>366</v>
      </c>
      <c r="B14" s="46" t="s">
        <v>225</v>
      </c>
      <c r="C14" s="41" t="s">
        <v>232</v>
      </c>
      <c r="D14" s="44">
        <f>'4.1 Comptes 2021 natures'!BF50</f>
        <v>25050</v>
      </c>
    </row>
    <row r="15" spans="1:4" x14ac:dyDescent="0.25">
      <c r="A15" s="41">
        <v>389</v>
      </c>
      <c r="B15" s="46" t="s">
        <v>225</v>
      </c>
      <c r="C15" s="41" t="s">
        <v>228</v>
      </c>
      <c r="D15" s="44">
        <f>'4.1 Comptes 2021 natures'!BF62</f>
        <v>5354237.72</v>
      </c>
    </row>
    <row r="16" spans="1:4" x14ac:dyDescent="0.25">
      <c r="A16" s="41">
        <v>4490</v>
      </c>
      <c r="B16" s="46" t="s">
        <v>226</v>
      </c>
      <c r="C16" s="41" t="s">
        <v>236</v>
      </c>
      <c r="D16" s="44">
        <f>'4.1 Comptes 2021 natures'!BF164</f>
        <v>715448</v>
      </c>
    </row>
    <row r="17" spans="1:4" x14ac:dyDescent="0.25">
      <c r="A17" s="41">
        <v>489</v>
      </c>
      <c r="B17" s="46" t="s">
        <v>226</v>
      </c>
      <c r="C17" s="41" t="s">
        <v>233</v>
      </c>
      <c r="D17" s="44">
        <f>'4.1 Comptes 2021 natures'!BF138</f>
        <v>3376992.21</v>
      </c>
    </row>
    <row r="18" spans="1:4" x14ac:dyDescent="0.25">
      <c r="A18" s="41"/>
      <c r="B18" s="46"/>
      <c r="C18" s="41"/>
      <c r="D18" s="44"/>
    </row>
    <row r="19" spans="1:4" x14ac:dyDescent="0.25">
      <c r="A19" s="42"/>
      <c r="B19" s="42"/>
      <c r="C19" s="43" t="s">
        <v>229</v>
      </c>
      <c r="D19" s="50">
        <f>D8+D9+D10-D11+D12+D13+D14+D15-D16-D17</f>
        <v>38713744.080000006</v>
      </c>
    </row>
    <row r="20" spans="1:4" x14ac:dyDescent="0.25">
      <c r="A20" s="41"/>
      <c r="B20" s="41"/>
      <c r="C20" s="41"/>
      <c r="D20" s="44"/>
    </row>
    <row r="21" spans="1:4" x14ac:dyDescent="0.25">
      <c r="A21" s="41" t="s">
        <v>224</v>
      </c>
      <c r="B21" s="47" t="s">
        <v>226</v>
      </c>
      <c r="C21" s="41" t="s">
        <v>230</v>
      </c>
      <c r="D21" s="44">
        <f>'6.1 Investissements'!BF182</f>
        <v>39074804.879999995</v>
      </c>
    </row>
    <row r="22" spans="1:4" x14ac:dyDescent="0.25">
      <c r="A22" s="41"/>
      <c r="B22" s="41"/>
      <c r="C22" s="41"/>
      <c r="D22" s="44"/>
    </row>
    <row r="23" spans="1:4" x14ac:dyDescent="0.25">
      <c r="A23" s="42"/>
      <c r="B23" s="42"/>
      <c r="C23" s="43" t="s">
        <v>231</v>
      </c>
      <c r="D23" s="50">
        <f>D19-D21</f>
        <v>-361060.79999998957</v>
      </c>
    </row>
    <row r="26" spans="1:4" x14ac:dyDescent="0.25">
      <c r="A26" s="7" t="s">
        <v>211</v>
      </c>
    </row>
    <row r="27" spans="1:4" x14ac:dyDescent="0.25">
      <c r="A27" s="7" t="s">
        <v>844</v>
      </c>
    </row>
    <row r="29" spans="1:4" x14ac:dyDescent="0.25">
      <c r="A29" s="39" t="s">
        <v>223</v>
      </c>
      <c r="B29" s="39"/>
      <c r="C29" s="39" t="s">
        <v>201</v>
      </c>
      <c r="D29" s="39" t="s">
        <v>202</v>
      </c>
    </row>
    <row r="30" spans="1:4" x14ac:dyDescent="0.25">
      <c r="A30" s="41">
        <v>90</v>
      </c>
      <c r="B30" s="46"/>
      <c r="C30" s="41" t="s">
        <v>195</v>
      </c>
      <c r="D30" s="44">
        <f>'4.1 Comptes 2021 natures'!BG153</f>
        <v>6697531.1299999999</v>
      </c>
    </row>
    <row r="31" spans="1:4" x14ac:dyDescent="0.25">
      <c r="A31" s="41">
        <v>33</v>
      </c>
      <c r="B31" s="46" t="s">
        <v>225</v>
      </c>
      <c r="C31" s="41" t="s">
        <v>98</v>
      </c>
      <c r="D31" s="44">
        <f>'4.1 Comptes 2021 natures'!BG27</f>
        <v>11751195.459999997</v>
      </c>
    </row>
    <row r="32" spans="1:4" x14ac:dyDescent="0.25">
      <c r="A32" s="41">
        <v>35</v>
      </c>
      <c r="B32" s="46" t="s">
        <v>225</v>
      </c>
      <c r="C32" s="41" t="s">
        <v>227</v>
      </c>
      <c r="D32" s="44">
        <f>'4.1 Comptes 2021 natures'!BG39</f>
        <v>1088117.45</v>
      </c>
    </row>
    <row r="33" spans="1:4" x14ac:dyDescent="0.25">
      <c r="A33" s="41">
        <v>45</v>
      </c>
      <c r="B33" s="46" t="s">
        <v>226</v>
      </c>
      <c r="C33" s="41" t="s">
        <v>174</v>
      </c>
      <c r="D33" s="44">
        <f>'4.1 Comptes 2021 natures'!BG117</f>
        <v>407686.31000000006</v>
      </c>
    </row>
    <row r="34" spans="1:4" x14ac:dyDescent="0.25">
      <c r="A34" s="41">
        <v>364</v>
      </c>
      <c r="B34" s="46" t="s">
        <v>225</v>
      </c>
      <c r="C34" s="41" t="s">
        <v>234</v>
      </c>
      <c r="D34" s="44">
        <f>'4.1 Comptes 2021 natures'!BG48</f>
        <v>0</v>
      </c>
    </row>
    <row r="35" spans="1:4" x14ac:dyDescent="0.25">
      <c r="A35" s="41">
        <v>365</v>
      </c>
      <c r="B35" s="46" t="s">
        <v>225</v>
      </c>
      <c r="C35" s="41" t="s">
        <v>235</v>
      </c>
      <c r="D35" s="44">
        <f>'4.1 Comptes 2021 natures'!BG49</f>
        <v>7400</v>
      </c>
    </row>
    <row r="36" spans="1:4" x14ac:dyDescent="0.25">
      <c r="A36" s="41">
        <v>366</v>
      </c>
      <c r="B36" s="46" t="s">
        <v>225</v>
      </c>
      <c r="C36" s="41" t="s">
        <v>232</v>
      </c>
      <c r="D36" s="44">
        <f>'4.1 Comptes 2021 natures'!BG50</f>
        <v>15250</v>
      </c>
    </row>
    <row r="37" spans="1:4" x14ac:dyDescent="0.25">
      <c r="A37" s="41">
        <v>389</v>
      </c>
      <c r="B37" s="46" t="s">
        <v>225</v>
      </c>
      <c r="C37" s="41" t="s">
        <v>228</v>
      </c>
      <c r="D37" s="44">
        <f>'4.1 Comptes 2021 natures'!BG62</f>
        <v>1380765</v>
      </c>
    </row>
    <row r="38" spans="1:4" x14ac:dyDescent="0.25">
      <c r="A38" s="41">
        <v>4490</v>
      </c>
      <c r="B38" s="46" t="s">
        <v>226</v>
      </c>
      <c r="C38" s="41" t="s">
        <v>236</v>
      </c>
      <c r="D38" s="44">
        <f>'4.1 Comptes 2021 natures'!BG164</f>
        <v>850</v>
      </c>
    </row>
    <row r="39" spans="1:4" x14ac:dyDescent="0.25">
      <c r="A39" s="41">
        <v>489</v>
      </c>
      <c r="B39" s="46" t="s">
        <v>226</v>
      </c>
      <c r="C39" s="41" t="s">
        <v>233</v>
      </c>
      <c r="D39" s="44">
        <f>'4.1 Comptes 2021 natures'!BG138</f>
        <v>1312944.95</v>
      </c>
    </row>
    <row r="40" spans="1:4" x14ac:dyDescent="0.25">
      <c r="A40" s="41"/>
      <c r="B40" s="46"/>
      <c r="C40" s="41"/>
      <c r="D40" s="44"/>
    </row>
    <row r="41" spans="1:4" x14ac:dyDescent="0.25">
      <c r="A41" s="42"/>
      <c r="B41" s="42"/>
      <c r="C41" s="43" t="s">
        <v>229</v>
      </c>
      <c r="D41" s="50">
        <f>D30+D31+D32-D33+D34+D35+D36+D37-D38-D39</f>
        <v>19218777.779999997</v>
      </c>
    </row>
    <row r="42" spans="1:4" x14ac:dyDescent="0.25">
      <c r="A42" s="41"/>
      <c r="B42" s="41"/>
      <c r="C42" s="41"/>
      <c r="D42" s="44"/>
    </row>
    <row r="43" spans="1:4" x14ac:dyDescent="0.25">
      <c r="A43" s="41" t="s">
        <v>224</v>
      </c>
      <c r="B43" s="47" t="s">
        <v>226</v>
      </c>
      <c r="C43" s="41" t="s">
        <v>230</v>
      </c>
      <c r="D43" s="44">
        <f>'6.1 Investissements'!BG182</f>
        <v>21903402.359999992</v>
      </c>
    </row>
    <row r="44" spans="1:4" x14ac:dyDescent="0.25">
      <c r="A44" s="41"/>
      <c r="B44" s="41"/>
      <c r="C44" s="41"/>
      <c r="D44" s="44"/>
    </row>
    <row r="45" spans="1:4" x14ac:dyDescent="0.25">
      <c r="A45" s="42"/>
      <c r="B45" s="42"/>
      <c r="C45" s="43" t="s">
        <v>231</v>
      </c>
      <c r="D45" s="50">
        <f>D41-D43</f>
        <v>-2684624.5799999945</v>
      </c>
    </row>
    <row r="50" spans="1:4" x14ac:dyDescent="0.25">
      <c r="A50" s="7" t="s">
        <v>212</v>
      </c>
    </row>
    <row r="51" spans="1:4" x14ac:dyDescent="0.25">
      <c r="A51" s="7" t="s">
        <v>844</v>
      </c>
    </row>
    <row r="53" spans="1:4" x14ac:dyDescent="0.25">
      <c r="A53" s="39" t="s">
        <v>223</v>
      </c>
      <c r="B53" s="39"/>
      <c r="C53" s="39" t="s">
        <v>201</v>
      </c>
      <c r="D53" s="39" t="s">
        <v>202</v>
      </c>
    </row>
    <row r="54" spans="1:4" x14ac:dyDescent="0.25">
      <c r="A54" s="41">
        <v>90</v>
      </c>
      <c r="B54" s="46"/>
      <c r="C54" s="41" t="s">
        <v>195</v>
      </c>
      <c r="D54" s="44">
        <f>'4.1 Comptes 2021 natures'!BH153</f>
        <v>4353742.4700000007</v>
      </c>
    </row>
    <row r="55" spans="1:4" x14ac:dyDescent="0.25">
      <c r="A55" s="41">
        <v>33</v>
      </c>
      <c r="B55" s="46" t="s">
        <v>225</v>
      </c>
      <c r="C55" s="41" t="s">
        <v>98</v>
      </c>
      <c r="D55" s="44">
        <f>'4.1 Comptes 2021 natures'!BH27</f>
        <v>2718370.5</v>
      </c>
    </row>
    <row r="56" spans="1:4" x14ac:dyDescent="0.25">
      <c r="A56" s="41">
        <v>35</v>
      </c>
      <c r="B56" s="46" t="s">
        <v>225</v>
      </c>
      <c r="C56" s="41" t="s">
        <v>227</v>
      </c>
      <c r="D56" s="44">
        <f>'4.1 Comptes 2021 natures'!BH39</f>
        <v>269752.86000000004</v>
      </c>
    </row>
    <row r="57" spans="1:4" x14ac:dyDescent="0.25">
      <c r="A57" s="41">
        <v>45</v>
      </c>
      <c r="B57" s="46" t="s">
        <v>226</v>
      </c>
      <c r="C57" s="41" t="s">
        <v>174</v>
      </c>
      <c r="D57" s="44">
        <f>'4.1 Comptes 2021 natures'!BH117</f>
        <v>135266.66999999998</v>
      </c>
    </row>
    <row r="58" spans="1:4" x14ac:dyDescent="0.25">
      <c r="A58" s="41">
        <v>364</v>
      </c>
      <c r="B58" s="46" t="s">
        <v>225</v>
      </c>
      <c r="C58" s="41" t="s">
        <v>234</v>
      </c>
      <c r="D58" s="44">
        <f>'4.1 Comptes 2021 natures'!BH48</f>
        <v>0</v>
      </c>
    </row>
    <row r="59" spans="1:4" x14ac:dyDescent="0.25">
      <c r="A59" s="41">
        <v>365</v>
      </c>
      <c r="B59" s="46" t="s">
        <v>225</v>
      </c>
      <c r="C59" s="41" t="s">
        <v>235</v>
      </c>
      <c r="D59" s="44">
        <f>'4.1 Comptes 2021 natures'!BH49</f>
        <v>0</v>
      </c>
    </row>
    <row r="60" spans="1:4" x14ac:dyDescent="0.25">
      <c r="A60" s="41">
        <v>366</v>
      </c>
      <c r="B60" s="46" t="s">
        <v>225</v>
      </c>
      <c r="C60" s="41" t="s">
        <v>232</v>
      </c>
      <c r="D60" s="44">
        <f>'4.1 Comptes 2021 natures'!BH50</f>
        <v>9800</v>
      </c>
    </row>
    <row r="61" spans="1:4" x14ac:dyDescent="0.25">
      <c r="A61" s="41">
        <v>389</v>
      </c>
      <c r="B61" s="46" t="s">
        <v>225</v>
      </c>
      <c r="C61" s="41" t="s">
        <v>228</v>
      </c>
      <c r="D61" s="44">
        <f>'4.1 Comptes 2021 natures'!BH62</f>
        <v>963233.79</v>
      </c>
    </row>
    <row r="62" spans="1:4" x14ac:dyDescent="0.25">
      <c r="A62" s="41">
        <v>4490</v>
      </c>
      <c r="B62" s="46" t="s">
        <v>226</v>
      </c>
      <c r="C62" s="41" t="s">
        <v>236</v>
      </c>
      <c r="D62" s="44">
        <f>'4.1 Comptes 2021 natures'!BH164</f>
        <v>0</v>
      </c>
    </row>
    <row r="63" spans="1:4" x14ac:dyDescent="0.25">
      <c r="A63" s="41">
        <v>489</v>
      </c>
      <c r="B63" s="46" t="s">
        <v>226</v>
      </c>
      <c r="C63" s="41" t="s">
        <v>233</v>
      </c>
      <c r="D63" s="44">
        <f>'4.1 Comptes 2021 natures'!BH138</f>
        <v>130000</v>
      </c>
    </row>
    <row r="64" spans="1:4" x14ac:dyDescent="0.25">
      <c r="A64" s="41"/>
      <c r="B64" s="46"/>
      <c r="C64" s="41"/>
      <c r="D64" s="44"/>
    </row>
    <row r="65" spans="1:4" x14ac:dyDescent="0.25">
      <c r="A65" s="42"/>
      <c r="B65" s="42"/>
      <c r="C65" s="43" t="s">
        <v>229</v>
      </c>
      <c r="D65" s="50">
        <f>D54+D55+D56-D57+D58+D59+D60+D61-D62-D63</f>
        <v>8049632.9500000011</v>
      </c>
    </row>
    <row r="66" spans="1:4" x14ac:dyDescent="0.25">
      <c r="A66" s="41"/>
      <c r="B66" s="41"/>
      <c r="C66" s="41"/>
      <c r="D66" s="44"/>
    </row>
    <row r="67" spans="1:4" x14ac:dyDescent="0.25">
      <c r="A67" s="41" t="s">
        <v>224</v>
      </c>
      <c r="B67" s="47" t="s">
        <v>226</v>
      </c>
      <c r="C67" s="41" t="s">
        <v>230</v>
      </c>
      <c r="D67" s="44">
        <f>'6.1 Investissements'!BH182</f>
        <v>3973305.2499999995</v>
      </c>
    </row>
    <row r="68" spans="1:4" x14ac:dyDescent="0.25">
      <c r="A68" s="41"/>
      <c r="B68" s="41"/>
      <c r="C68" s="41"/>
      <c r="D68" s="44"/>
    </row>
    <row r="69" spans="1:4" x14ac:dyDescent="0.25">
      <c r="A69" s="42"/>
      <c r="B69" s="42"/>
      <c r="C69" s="43" t="s">
        <v>231</v>
      </c>
      <c r="D69" s="50">
        <f>D65-D67</f>
        <v>4076327.7000000016</v>
      </c>
    </row>
    <row r="72" spans="1:4" x14ac:dyDescent="0.25">
      <c r="A72" s="7" t="s">
        <v>213</v>
      </c>
    </row>
    <row r="73" spans="1:4" x14ac:dyDescent="0.25">
      <c r="A73" s="7" t="s">
        <v>844</v>
      </c>
    </row>
    <row r="75" spans="1:4" x14ac:dyDescent="0.25">
      <c r="A75" s="39" t="s">
        <v>223</v>
      </c>
      <c r="B75" s="39"/>
      <c r="C75" s="39" t="s">
        <v>201</v>
      </c>
      <c r="D75" s="39" t="s">
        <v>202</v>
      </c>
    </row>
    <row r="76" spans="1:4" x14ac:dyDescent="0.25">
      <c r="A76" s="41">
        <v>90</v>
      </c>
      <c r="B76" s="46"/>
      <c r="C76" s="41" t="s">
        <v>195</v>
      </c>
      <c r="D76" s="44">
        <f>'4.1 Comptes 2021 natures'!BI153</f>
        <v>2699631.2</v>
      </c>
    </row>
    <row r="77" spans="1:4" x14ac:dyDescent="0.25">
      <c r="A77" s="41">
        <v>33</v>
      </c>
      <c r="B77" s="46" t="s">
        <v>225</v>
      </c>
      <c r="C77" s="41" t="s">
        <v>98</v>
      </c>
      <c r="D77" s="44">
        <f>'4.1 Comptes 2021 natures'!BI27</f>
        <v>7914177.7700000005</v>
      </c>
    </row>
    <row r="78" spans="1:4" x14ac:dyDescent="0.25">
      <c r="A78" s="41">
        <v>35</v>
      </c>
      <c r="B78" s="46" t="s">
        <v>225</v>
      </c>
      <c r="C78" s="41" t="s">
        <v>227</v>
      </c>
      <c r="D78" s="44">
        <f>'4.1 Comptes 2021 natures'!BI39</f>
        <v>813358.14</v>
      </c>
    </row>
    <row r="79" spans="1:4" x14ac:dyDescent="0.25">
      <c r="A79" s="41">
        <v>45</v>
      </c>
      <c r="B79" s="46" t="s">
        <v>226</v>
      </c>
      <c r="C79" s="41" t="s">
        <v>174</v>
      </c>
      <c r="D79" s="44">
        <f>'4.1 Comptes 2021 natures'!BI117</f>
        <v>356847.43000000005</v>
      </c>
    </row>
    <row r="80" spans="1:4" x14ac:dyDescent="0.25">
      <c r="A80" s="41">
        <v>364</v>
      </c>
      <c r="B80" s="46" t="s">
        <v>225</v>
      </c>
      <c r="C80" s="41" t="s">
        <v>234</v>
      </c>
      <c r="D80" s="44">
        <f>'4.1 Comptes 2021 natures'!BI48</f>
        <v>0</v>
      </c>
    </row>
    <row r="81" spans="1:4" x14ac:dyDescent="0.25">
      <c r="A81" s="41">
        <v>365</v>
      </c>
      <c r="B81" s="46" t="s">
        <v>225</v>
      </c>
      <c r="C81" s="41" t="s">
        <v>235</v>
      </c>
      <c r="D81" s="44">
        <f>'4.1 Comptes 2021 natures'!BI49</f>
        <v>13420</v>
      </c>
    </row>
    <row r="82" spans="1:4" x14ac:dyDescent="0.25">
      <c r="A82" s="41">
        <v>366</v>
      </c>
      <c r="B82" s="46" t="s">
        <v>225</v>
      </c>
      <c r="C82" s="41" t="s">
        <v>232</v>
      </c>
      <c r="D82" s="44">
        <f>'4.1 Comptes 2021 natures'!BI50</f>
        <v>0</v>
      </c>
    </row>
    <row r="83" spans="1:4" x14ac:dyDescent="0.25">
      <c r="A83" s="41">
        <v>389</v>
      </c>
      <c r="B83" s="46" t="s">
        <v>225</v>
      </c>
      <c r="C83" s="41" t="s">
        <v>228</v>
      </c>
      <c r="D83" s="44">
        <f>'4.1 Comptes 2021 natures'!BI62</f>
        <v>3010238.93</v>
      </c>
    </row>
    <row r="84" spans="1:4" x14ac:dyDescent="0.25">
      <c r="A84" s="41">
        <v>4490</v>
      </c>
      <c r="B84" s="46" t="s">
        <v>226</v>
      </c>
      <c r="C84" s="41" t="s">
        <v>236</v>
      </c>
      <c r="D84" s="44">
        <f>'4.1 Comptes 2021 natures'!BI164</f>
        <v>714598</v>
      </c>
    </row>
    <row r="85" spans="1:4" x14ac:dyDescent="0.25">
      <c r="A85" s="41">
        <v>489</v>
      </c>
      <c r="B85" s="46" t="s">
        <v>226</v>
      </c>
      <c r="C85" s="41" t="s">
        <v>233</v>
      </c>
      <c r="D85" s="44">
        <f>'4.1 Comptes 2021 natures'!BI138</f>
        <v>1934047.26</v>
      </c>
    </row>
    <row r="86" spans="1:4" x14ac:dyDescent="0.25">
      <c r="A86" s="41"/>
      <c r="B86" s="46"/>
      <c r="C86" s="41"/>
      <c r="D86" s="44"/>
    </row>
    <row r="87" spans="1:4" x14ac:dyDescent="0.25">
      <c r="A87" s="42"/>
      <c r="B87" s="42"/>
      <c r="C87" s="43" t="s">
        <v>229</v>
      </c>
      <c r="D87" s="50">
        <f>D76+D77+D78-D79+D80+D81+D82+D83-D84-D85</f>
        <v>11445333.350000001</v>
      </c>
    </row>
    <row r="88" spans="1:4" x14ac:dyDescent="0.25">
      <c r="A88" s="41"/>
      <c r="B88" s="41"/>
      <c r="C88" s="41"/>
      <c r="D88" s="44"/>
    </row>
    <row r="89" spans="1:4" x14ac:dyDescent="0.25">
      <c r="A89" s="41" t="s">
        <v>224</v>
      </c>
      <c r="B89" s="47" t="s">
        <v>226</v>
      </c>
      <c r="C89" s="41" t="s">
        <v>230</v>
      </c>
      <c r="D89" s="44">
        <f>'6.1 Investissements'!BI182</f>
        <v>13198097.27</v>
      </c>
    </row>
    <row r="90" spans="1:4" x14ac:dyDescent="0.25">
      <c r="A90" s="41"/>
      <c r="B90" s="41"/>
      <c r="C90" s="41"/>
      <c r="D90" s="44"/>
    </row>
    <row r="91" spans="1:4" x14ac:dyDescent="0.25">
      <c r="A91" s="42"/>
      <c r="B91" s="42"/>
      <c r="C91" s="43" t="s">
        <v>231</v>
      </c>
      <c r="D91" s="50">
        <f>D87-D89</f>
        <v>-1752763.9199999981</v>
      </c>
    </row>
  </sheetData>
  <pageMargins left="0.25" right="0.25"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7" tint="0.59999389629810485"/>
    <pageSetUpPr fitToPage="1"/>
  </sheetPr>
  <dimension ref="A1:E23"/>
  <sheetViews>
    <sheetView workbookViewId="0">
      <selection activeCell="B5" sqref="B5:D5"/>
    </sheetView>
  </sheetViews>
  <sheetFormatPr baseColWidth="10" defaultColWidth="11.42578125" defaultRowHeight="15" x14ac:dyDescent="0.25"/>
  <cols>
    <col min="3" max="3" width="6" customWidth="1"/>
    <col min="4" max="4" width="65" customWidth="1"/>
    <col min="5" max="5" width="16.85546875" customWidth="1"/>
  </cols>
  <sheetData>
    <row r="1" spans="1:5" ht="26.25" x14ac:dyDescent="0.4">
      <c r="A1" s="32" t="s">
        <v>741</v>
      </c>
    </row>
    <row r="4" spans="1:5" ht="15.75" thickBot="1" x14ac:dyDescent="0.3">
      <c r="B4" t="s">
        <v>594</v>
      </c>
    </row>
    <row r="5" spans="1:5" ht="15.75" thickBot="1" x14ac:dyDescent="0.3">
      <c r="B5" s="175" t="s">
        <v>71</v>
      </c>
      <c r="C5" s="176"/>
      <c r="D5" s="177"/>
    </row>
    <row r="7" spans="1:5" x14ac:dyDescent="0.25">
      <c r="B7" s="39" t="s">
        <v>223</v>
      </c>
      <c r="C7" s="39"/>
      <c r="D7" s="39" t="s">
        <v>201</v>
      </c>
      <c r="E7" s="39" t="s">
        <v>202</v>
      </c>
    </row>
    <row r="8" spans="1:5" x14ac:dyDescent="0.25">
      <c r="B8" s="41">
        <v>90</v>
      </c>
      <c r="C8" s="46"/>
      <c r="D8" s="41" t="s">
        <v>195</v>
      </c>
      <c r="E8" s="44">
        <f>HLOOKUP($B$5,'4.1 Comptes 2021 natures'!$E$3:$BE$173,151,0)</f>
        <v>10126.51</v>
      </c>
    </row>
    <row r="9" spans="1:5" x14ac:dyDescent="0.25">
      <c r="B9" s="41">
        <v>33</v>
      </c>
      <c r="C9" s="46" t="s">
        <v>225</v>
      </c>
      <c r="D9" s="41" t="s">
        <v>98</v>
      </c>
      <c r="E9" s="44">
        <f>HLOOKUP($B$5,'4.1 Comptes 2021 natures'!$E$3:$BE$173,25,0)</f>
        <v>48600</v>
      </c>
    </row>
    <row r="10" spans="1:5" x14ac:dyDescent="0.25">
      <c r="B10" s="41">
        <v>35</v>
      </c>
      <c r="C10" s="46" t="s">
        <v>225</v>
      </c>
      <c r="D10" s="41" t="s">
        <v>227</v>
      </c>
      <c r="E10" s="44">
        <f>HLOOKUP($B$5,'4.1 Comptes 2021 natures'!$E$3:$BE$173,37,0)</f>
        <v>0</v>
      </c>
    </row>
    <row r="11" spans="1:5" x14ac:dyDescent="0.25">
      <c r="B11" s="41">
        <v>45</v>
      </c>
      <c r="C11" s="46" t="s">
        <v>226</v>
      </c>
      <c r="D11" s="41" t="s">
        <v>174</v>
      </c>
      <c r="E11" s="44">
        <f>HLOOKUP($B$5,'4.1 Comptes 2021 natures'!$E$3:$BE$173,115,0)</f>
        <v>-200</v>
      </c>
    </row>
    <row r="12" spans="1:5" x14ac:dyDescent="0.25">
      <c r="B12" s="41">
        <v>364</v>
      </c>
      <c r="C12" s="46" t="s">
        <v>225</v>
      </c>
      <c r="D12" s="41" t="s">
        <v>234</v>
      </c>
      <c r="E12" s="44">
        <f>HLOOKUP($B$5,'4.1 Comptes 2021 natures'!$E$3:$BE$173,46,0)</f>
        <v>0</v>
      </c>
    </row>
    <row r="13" spans="1:5" x14ac:dyDescent="0.25">
      <c r="B13" s="41">
        <v>365</v>
      </c>
      <c r="C13" s="46" t="s">
        <v>225</v>
      </c>
      <c r="D13" s="41" t="s">
        <v>235</v>
      </c>
      <c r="E13" s="44">
        <f>HLOOKUP($B$5,'4.1 Comptes 2021 natures'!$E$3:$BE$173,47,0)</f>
        <v>0</v>
      </c>
    </row>
    <row r="14" spans="1:5" x14ac:dyDescent="0.25">
      <c r="B14" s="41">
        <v>366</v>
      </c>
      <c r="C14" s="46" t="s">
        <v>225</v>
      </c>
      <c r="D14" s="41" t="s">
        <v>232</v>
      </c>
      <c r="E14" s="44">
        <f>HLOOKUP($B$5,'4.1 Comptes 2021 natures'!$E$3:$BE$173,48,0)</f>
        <v>0</v>
      </c>
    </row>
    <row r="15" spans="1:5" x14ac:dyDescent="0.25">
      <c r="B15" s="41">
        <v>389</v>
      </c>
      <c r="C15" s="46" t="s">
        <v>225</v>
      </c>
      <c r="D15" s="41" t="s">
        <v>228</v>
      </c>
      <c r="E15" s="44">
        <f>HLOOKUP($B$5,'4.1 Comptes 2021 natures'!$E$3:$BE$173,60,0)</f>
        <v>0</v>
      </c>
    </row>
    <row r="16" spans="1:5" x14ac:dyDescent="0.25">
      <c r="B16" s="41">
        <v>4490</v>
      </c>
      <c r="C16" s="46" t="s">
        <v>226</v>
      </c>
      <c r="D16" s="41" t="s">
        <v>236</v>
      </c>
      <c r="E16" s="44">
        <f>HLOOKUP($B$5,'4.1 Comptes 2021 natures'!$E$3:$BE$173,162,0)</f>
        <v>0</v>
      </c>
    </row>
    <row r="17" spans="2:5" x14ac:dyDescent="0.25">
      <c r="B17" s="41">
        <v>489</v>
      </c>
      <c r="C17" s="46" t="s">
        <v>226</v>
      </c>
      <c r="D17" s="41" t="s">
        <v>233</v>
      </c>
      <c r="E17" s="44">
        <f>HLOOKUP($B$5,'4.1 Comptes 2021 natures'!$E$3:$BE$173,136,0)</f>
        <v>0</v>
      </c>
    </row>
    <row r="18" spans="2:5" x14ac:dyDescent="0.25">
      <c r="B18" s="41"/>
      <c r="C18" s="46"/>
      <c r="D18" s="41"/>
      <c r="E18" s="44"/>
    </row>
    <row r="19" spans="2:5" x14ac:dyDescent="0.25">
      <c r="B19" s="42"/>
      <c r="C19" s="42"/>
      <c r="D19" s="43" t="s">
        <v>229</v>
      </c>
      <c r="E19" s="50">
        <f>E8+E9+E10-E11+E12+E13+E14+E15-E16-E17</f>
        <v>58926.51</v>
      </c>
    </row>
    <row r="20" spans="2:5" x14ac:dyDescent="0.25">
      <c r="B20" s="41"/>
      <c r="C20" s="41"/>
      <c r="D20" s="41"/>
      <c r="E20" s="44"/>
    </row>
    <row r="21" spans="2:5" x14ac:dyDescent="0.25">
      <c r="B21" s="41" t="s">
        <v>224</v>
      </c>
      <c r="C21" s="47" t="s">
        <v>226</v>
      </c>
      <c r="D21" s="41" t="s">
        <v>230</v>
      </c>
      <c r="E21" s="44">
        <f>HLOOKUP($B$5,'6.1 Investissements'!$E$3:$BI$182,180,0)</f>
        <v>180906.95</v>
      </c>
    </row>
    <row r="22" spans="2:5" x14ac:dyDescent="0.25">
      <c r="B22" s="41"/>
      <c r="C22" s="41"/>
      <c r="D22" s="41"/>
      <c r="E22" s="44"/>
    </row>
    <row r="23" spans="2:5" x14ac:dyDescent="0.25">
      <c r="B23" s="42"/>
      <c r="C23" s="42"/>
      <c r="D23" s="43" t="s">
        <v>231</v>
      </c>
      <c r="E23" s="50">
        <f>E19-E21</f>
        <v>-121980.44</v>
      </c>
    </row>
  </sheetData>
  <mergeCells count="1">
    <mergeCell ref="B5:D5"/>
  </mergeCells>
  <pageMargins left="0.7" right="0.7" top="0.75" bottom="0.75" header="0.3" footer="0.3"/>
  <pageSetup paperSize="9" scale="7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'4.1 Comptes 2021 natures'!$E$3:$BE$3</xm:f>
          </x14:formula1>
          <xm:sqref>B5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59999389629810485"/>
  </sheetPr>
  <dimension ref="A1:BG52"/>
  <sheetViews>
    <sheetView workbookViewId="0">
      <pane xSplit="2" ySplit="3" topLeftCell="C23" activePane="bottomRight" state="frozen"/>
      <selection pane="topRight" activeCell="C1" sqref="C1"/>
      <selection pane="bottomLeft" activeCell="A4" sqref="A4"/>
      <selection pane="bottomRight" activeCell="BG50" sqref="BG50"/>
    </sheetView>
  </sheetViews>
  <sheetFormatPr baseColWidth="10" defaultColWidth="11.42578125" defaultRowHeight="15" x14ac:dyDescent="0.25"/>
  <cols>
    <col min="1" max="1" width="5.7109375" customWidth="1"/>
    <col min="2" max="2" width="63.5703125" customWidth="1"/>
    <col min="3" max="56" width="16.28515625" customWidth="1"/>
    <col min="57" max="59" width="17.85546875" customWidth="1"/>
  </cols>
  <sheetData>
    <row r="1" spans="1:59" ht="26.25" x14ac:dyDescent="0.4">
      <c r="A1" s="32" t="s">
        <v>845</v>
      </c>
      <c r="B1" s="7"/>
    </row>
    <row r="2" spans="1:59" x14ac:dyDescent="0.25">
      <c r="A2" t="s">
        <v>796</v>
      </c>
      <c r="C2" s="45">
        <f>'Base de données pop.'!C2</f>
        <v>947</v>
      </c>
      <c r="D2" s="45">
        <f>'Base de données pop.'!C3</f>
        <v>265</v>
      </c>
      <c r="E2" s="45">
        <f>'Base de données pop.'!C4</f>
        <v>469</v>
      </c>
      <c r="F2" s="45">
        <f>'Base de données pop.'!C5</f>
        <v>439</v>
      </c>
      <c r="G2" s="45">
        <f>'Base de données pop.'!C6</f>
        <v>3728</v>
      </c>
      <c r="H2" s="45">
        <f>'Base de données pop.'!C7</f>
        <v>3345</v>
      </c>
      <c r="I2" s="45">
        <f>'Base de données pop.'!C8</f>
        <v>2652</v>
      </c>
      <c r="J2" s="45">
        <f>'Base de données pop.'!C9</f>
        <v>12479</v>
      </c>
      <c r="K2" s="45">
        <f>'Base de données pop.'!C10</f>
        <v>1359</v>
      </c>
      <c r="L2" s="45">
        <f>'Base de données pop.'!C11</f>
        <v>117</v>
      </c>
      <c r="M2" s="45">
        <f>'Base de données pop.'!C12</f>
        <v>7261</v>
      </c>
      <c r="N2" s="45">
        <f>'Base de données pop.'!C13</f>
        <v>538</v>
      </c>
      <c r="O2" s="45">
        <f>'Base de données pop.'!C14</f>
        <v>111</v>
      </c>
      <c r="P2" s="45">
        <f>'Base de données pop.'!C15</f>
        <v>421</v>
      </c>
      <c r="Q2" s="45">
        <f>'Base de données pop.'!C16</f>
        <v>346</v>
      </c>
      <c r="R2" s="45">
        <f>'Base de données pop.'!C17</f>
        <v>710</v>
      </c>
      <c r="S2" s="45">
        <f>'Base de données pop.'!C18</f>
        <v>269</v>
      </c>
      <c r="T2" s="45">
        <f>'Base de données pop.'!C19</f>
        <v>440</v>
      </c>
      <c r="U2" s="45">
        <f>'Base de données pop.'!C20</f>
        <v>3229</v>
      </c>
      <c r="V2" s="45">
        <f>'Base de données pop.'!C21</f>
        <v>310</v>
      </c>
      <c r="W2" s="45">
        <f>'Base de données pop.'!C22</f>
        <v>1270</v>
      </c>
      <c r="X2" s="45">
        <f>'Base de données pop.'!C23</f>
        <v>1506</v>
      </c>
      <c r="Y2" s="45">
        <f>'Base de données pop.'!C24</f>
        <v>96</v>
      </c>
      <c r="Z2" s="45">
        <f>'Base de données pop.'!C25</f>
        <v>148</v>
      </c>
      <c r="AA2" s="45">
        <f>'Base de données pop.'!C26</f>
        <v>518</v>
      </c>
      <c r="AB2" s="45">
        <f>'Base de données pop.'!C27</f>
        <v>701</v>
      </c>
      <c r="AC2" s="45">
        <f>'Base de données pop.'!C28</f>
        <v>564</v>
      </c>
      <c r="AD2" s="45">
        <f>'Base de données pop.'!C29</f>
        <v>525</v>
      </c>
      <c r="AE2" s="45">
        <f>'Base de données pop.'!C30</f>
        <v>1909</v>
      </c>
      <c r="AF2" s="45">
        <f>'Base de données pop.'!C31</f>
        <v>2580</v>
      </c>
      <c r="AG2" s="45">
        <f>'Base de données pop.'!C32</f>
        <v>222</v>
      </c>
      <c r="AH2" s="45">
        <f>'Base de données pop.'!C33</f>
        <v>129</v>
      </c>
      <c r="AI2" s="45">
        <f>'Base de données pop.'!C34</f>
        <v>1891</v>
      </c>
      <c r="AJ2" s="45">
        <f>'Base de données pop.'!C35</f>
        <v>1126</v>
      </c>
      <c r="AK2" s="45">
        <f>'Base de données pop.'!C36</f>
        <v>1225</v>
      </c>
      <c r="AL2" s="45">
        <f>'Base de données pop.'!C37</f>
        <v>117</v>
      </c>
      <c r="AM2" s="45">
        <f>'Base de données pop.'!C38</f>
        <v>1185</v>
      </c>
      <c r="AN2" s="45">
        <f>'Base de données pop.'!C39</f>
        <v>642</v>
      </c>
      <c r="AO2" s="45">
        <f>'Base de données pop.'!C40</f>
        <v>633</v>
      </c>
      <c r="AP2" s="45">
        <f>'Base de données pop.'!C41</f>
        <v>1284</v>
      </c>
      <c r="AQ2" s="45">
        <f>'Base de données pop.'!C42</f>
        <v>731</v>
      </c>
      <c r="AR2" s="45">
        <f>'Base de données pop.'!C43</f>
        <v>1016</v>
      </c>
      <c r="AS2" s="45">
        <f>'Base de données pop.'!C44</f>
        <v>304</v>
      </c>
      <c r="AT2" s="45">
        <f>'Base de données pop.'!C45</f>
        <v>2412</v>
      </c>
      <c r="AU2" s="45">
        <f>'Base de données pop.'!C46</f>
        <v>735</v>
      </c>
      <c r="AV2" s="45">
        <f>'Base de données pop.'!C47</f>
        <v>185</v>
      </c>
      <c r="AW2" s="45">
        <f>'Base de données pop.'!C48</f>
        <v>340</v>
      </c>
      <c r="AX2" s="45">
        <f>'Base de données pop.'!C49</f>
        <v>1697</v>
      </c>
      <c r="AY2" s="45">
        <f>'Base de données pop.'!C50</f>
        <v>390</v>
      </c>
      <c r="AZ2" s="45">
        <f>'Base de données pop.'!C51</f>
        <v>1073</v>
      </c>
      <c r="BA2" s="45">
        <f>'Base de données pop.'!C52</f>
        <v>184</v>
      </c>
      <c r="BB2" s="45">
        <f>'Base de données pop.'!C53</f>
        <v>6466</v>
      </c>
      <c r="BC2" s="45">
        <f>'Base de données pop.'!C54</f>
        <v>559</v>
      </c>
      <c r="BD2" s="45">
        <f>SUM(C2:BC2)</f>
        <v>73798</v>
      </c>
      <c r="BE2" s="45">
        <f>SUM(C2:U2)</f>
        <v>39125</v>
      </c>
      <c r="BF2" s="45">
        <f>SUM(V2:AH2)</f>
        <v>10478</v>
      </c>
      <c r="BG2" s="45">
        <f>SUM(AI2:BC2)</f>
        <v>24195</v>
      </c>
    </row>
    <row r="3" spans="1:59" x14ac:dyDescent="0.25">
      <c r="C3" s="33" t="s">
        <v>56</v>
      </c>
      <c r="D3" s="33" t="s">
        <v>18</v>
      </c>
      <c r="E3" s="33" t="s">
        <v>57</v>
      </c>
      <c r="F3" s="33" t="s">
        <v>53</v>
      </c>
      <c r="G3" s="33" t="s">
        <v>33</v>
      </c>
      <c r="H3" s="33" t="s">
        <v>10</v>
      </c>
      <c r="I3" s="33" t="s">
        <v>15</v>
      </c>
      <c r="J3" s="33" t="s">
        <v>28</v>
      </c>
      <c r="K3" s="33" t="s">
        <v>42</v>
      </c>
      <c r="L3" s="33" t="s">
        <v>23</v>
      </c>
      <c r="M3" s="33" t="s">
        <v>22</v>
      </c>
      <c r="N3" s="33" t="s">
        <v>13</v>
      </c>
      <c r="O3" s="33" t="s">
        <v>17</v>
      </c>
      <c r="P3" s="33" t="s">
        <v>43</v>
      </c>
      <c r="Q3" s="33" t="s">
        <v>40</v>
      </c>
      <c r="R3" s="33" t="s">
        <v>31</v>
      </c>
      <c r="S3" s="33" t="s">
        <v>12</v>
      </c>
      <c r="T3" s="33" t="s">
        <v>59</v>
      </c>
      <c r="U3" s="33" t="s">
        <v>27</v>
      </c>
      <c r="V3" s="34" t="s">
        <v>30</v>
      </c>
      <c r="W3" s="34" t="s">
        <v>20</v>
      </c>
      <c r="X3" s="34" t="s">
        <v>45</v>
      </c>
      <c r="Y3" s="34" t="s">
        <v>71</v>
      </c>
      <c r="Z3" s="34" t="s">
        <v>39</v>
      </c>
      <c r="AA3" s="34" t="s">
        <v>19</v>
      </c>
      <c r="AB3" s="34" t="s">
        <v>41</v>
      </c>
      <c r="AC3" s="34" t="s">
        <v>36</v>
      </c>
      <c r="AD3" s="34" t="s">
        <v>7</v>
      </c>
      <c r="AE3" s="34" t="s">
        <v>55</v>
      </c>
      <c r="AF3" s="34" t="s">
        <v>21</v>
      </c>
      <c r="AG3" s="34" t="s">
        <v>6</v>
      </c>
      <c r="AH3" s="34" t="s">
        <v>34</v>
      </c>
      <c r="AI3" s="35" t="s">
        <v>52</v>
      </c>
      <c r="AJ3" s="35" t="s">
        <v>14</v>
      </c>
      <c r="AK3" s="35" t="s">
        <v>32</v>
      </c>
      <c r="AL3" s="35" t="s">
        <v>29</v>
      </c>
      <c r="AM3" s="35" t="s">
        <v>26</v>
      </c>
      <c r="AN3" s="35" t="s">
        <v>48</v>
      </c>
      <c r="AO3" s="35" t="s">
        <v>44</v>
      </c>
      <c r="AP3" s="35" t="s">
        <v>37</v>
      </c>
      <c r="AQ3" s="35" t="s">
        <v>51</v>
      </c>
      <c r="AR3" s="35" t="s">
        <v>8</v>
      </c>
      <c r="AS3" s="35" t="s">
        <v>24</v>
      </c>
      <c r="AT3" s="35" t="s">
        <v>9</v>
      </c>
      <c r="AU3" s="35" t="s">
        <v>62</v>
      </c>
      <c r="AV3" s="35" t="s">
        <v>46</v>
      </c>
      <c r="AW3" s="35" t="s">
        <v>35</v>
      </c>
      <c r="AX3" s="35" t="s">
        <v>49</v>
      </c>
      <c r="AY3" s="35" t="s">
        <v>47</v>
      </c>
      <c r="AZ3" s="35" t="s">
        <v>58</v>
      </c>
      <c r="BA3" s="35" t="s">
        <v>50</v>
      </c>
      <c r="BB3" s="35" t="s">
        <v>16</v>
      </c>
      <c r="BC3" s="35" t="s">
        <v>25</v>
      </c>
      <c r="BD3" s="36" t="s">
        <v>65</v>
      </c>
      <c r="BE3" s="37" t="s">
        <v>28</v>
      </c>
      <c r="BF3" s="34" t="s">
        <v>64</v>
      </c>
      <c r="BG3" s="35" t="s">
        <v>16</v>
      </c>
    </row>
    <row r="4" spans="1:59" ht="16.5" customHeight="1" x14ac:dyDescent="0.25">
      <c r="A4" s="55">
        <v>0</v>
      </c>
      <c r="B4" s="56" t="s">
        <v>299</v>
      </c>
      <c r="C4" s="57">
        <f>C5-C6</f>
        <v>352459.13999999996</v>
      </c>
      <c r="D4" s="57">
        <f t="shared" ref="D4:BC4" si="0">D5-D6</f>
        <v>89429.35</v>
      </c>
      <c r="E4" s="57">
        <f t="shared" si="0"/>
        <v>140044.41999999998</v>
      </c>
      <c r="F4" s="57">
        <f t="shared" si="0"/>
        <v>211087.00999999998</v>
      </c>
      <c r="G4" s="57">
        <f t="shared" si="0"/>
        <v>1214258.8299999998</v>
      </c>
      <c r="H4" s="57">
        <f t="shared" si="0"/>
        <v>808960.64999999991</v>
      </c>
      <c r="I4" s="57">
        <f t="shared" si="0"/>
        <v>816964.41</v>
      </c>
      <c r="J4" s="57">
        <f t="shared" si="0"/>
        <v>5519253.4400000004</v>
      </c>
      <c r="K4" s="57">
        <f t="shared" si="0"/>
        <v>416675.55000000005</v>
      </c>
      <c r="L4" s="57">
        <f t="shared" si="0"/>
        <v>51185.549999999996</v>
      </c>
      <c r="M4" s="57">
        <f t="shared" si="0"/>
        <v>2505161.5</v>
      </c>
      <c r="N4" s="57">
        <f t="shared" si="0"/>
        <v>148266.23999999999</v>
      </c>
      <c r="O4" s="57">
        <f t="shared" si="0"/>
        <v>67350.03</v>
      </c>
      <c r="P4" s="57">
        <f t="shared" si="0"/>
        <v>194145.22999999998</v>
      </c>
      <c r="Q4" s="57">
        <f t="shared" si="0"/>
        <v>123130.49</v>
      </c>
      <c r="R4" s="57">
        <f t="shared" si="0"/>
        <v>242097.97</v>
      </c>
      <c r="S4" s="57">
        <f t="shared" si="0"/>
        <v>127878.04</v>
      </c>
      <c r="T4" s="57">
        <f t="shared" si="0"/>
        <v>287027.09999999998</v>
      </c>
      <c r="U4" s="57">
        <f t="shared" si="0"/>
        <v>1004690.2799999999</v>
      </c>
      <c r="V4" s="57">
        <f t="shared" si="0"/>
        <v>116406.44</v>
      </c>
      <c r="W4" s="57">
        <f t="shared" si="0"/>
        <v>443749.83</v>
      </c>
      <c r="X4" s="57">
        <f t="shared" si="0"/>
        <v>470663.44</v>
      </c>
      <c r="Y4" s="57">
        <f t="shared" si="0"/>
        <v>61896.15</v>
      </c>
      <c r="Z4" s="57">
        <f t="shared" si="0"/>
        <v>57551.100000000006</v>
      </c>
      <c r="AA4" s="57">
        <f t="shared" si="0"/>
        <v>284150.69</v>
      </c>
      <c r="AB4" s="57">
        <f t="shared" si="0"/>
        <v>399427.17000000004</v>
      </c>
      <c r="AC4" s="57">
        <f t="shared" si="0"/>
        <v>220857.41</v>
      </c>
      <c r="AD4" s="57">
        <f t="shared" si="0"/>
        <v>205127.62</v>
      </c>
      <c r="AE4" s="57">
        <f t="shared" si="0"/>
        <v>558853.84</v>
      </c>
      <c r="AF4" s="57">
        <f t="shared" si="0"/>
        <v>650115.64</v>
      </c>
      <c r="AG4" s="57">
        <f t="shared" si="0"/>
        <v>135392.25</v>
      </c>
      <c r="AH4" s="57">
        <f t="shared" si="0"/>
        <v>74267.240000000005</v>
      </c>
      <c r="AI4" s="57">
        <f t="shared" si="0"/>
        <v>827770.36</v>
      </c>
      <c r="AJ4" s="57">
        <f t="shared" si="0"/>
        <v>412449.66</v>
      </c>
      <c r="AK4" s="57">
        <f>AK5-AK6</f>
        <v>396820.19999999995</v>
      </c>
      <c r="AL4" s="57">
        <f t="shared" si="0"/>
        <v>84219.5</v>
      </c>
      <c r="AM4" s="57">
        <f t="shared" si="0"/>
        <v>687699.52</v>
      </c>
      <c r="AN4" s="57">
        <f t="shared" si="0"/>
        <v>263428.07</v>
      </c>
      <c r="AO4" s="57">
        <f t="shared" si="0"/>
        <v>270530.57</v>
      </c>
      <c r="AP4" s="57">
        <f t="shared" si="0"/>
        <v>546538.84000000008</v>
      </c>
      <c r="AQ4" s="57">
        <f t="shared" si="0"/>
        <v>290735.83999999997</v>
      </c>
      <c r="AR4" s="57">
        <f t="shared" si="0"/>
        <v>362882.91</v>
      </c>
      <c r="AS4" s="57">
        <f t="shared" si="0"/>
        <v>149081.22</v>
      </c>
      <c r="AT4" s="57">
        <f t="shared" si="0"/>
        <v>784494.22</v>
      </c>
      <c r="AU4" s="57">
        <f t="shared" si="0"/>
        <v>367709.69</v>
      </c>
      <c r="AV4" s="57">
        <f t="shared" si="0"/>
        <v>109304.95999999999</v>
      </c>
      <c r="AW4" s="57">
        <f t="shared" si="0"/>
        <v>97318.549999999988</v>
      </c>
      <c r="AX4" s="57">
        <f t="shared" si="0"/>
        <v>452793.4</v>
      </c>
      <c r="AY4" s="57">
        <f t="shared" si="0"/>
        <v>122414.96999999999</v>
      </c>
      <c r="AZ4" s="57">
        <f t="shared" si="0"/>
        <v>546221.71</v>
      </c>
      <c r="BA4" s="57">
        <f t="shared" si="0"/>
        <v>87430.23</v>
      </c>
      <c r="BB4" s="57">
        <f t="shared" si="0"/>
        <v>3150744.1799999997</v>
      </c>
      <c r="BC4" s="57">
        <f t="shared" si="0"/>
        <v>238776.64</v>
      </c>
      <c r="BD4" s="57">
        <f>SUM(C4:BC4)</f>
        <v>28247889.289999995</v>
      </c>
      <c r="BE4" s="57">
        <f>SUM(C4:U4)</f>
        <v>14320065.23</v>
      </c>
      <c r="BF4" s="57">
        <f>SUM(V4:AH4)</f>
        <v>3678458.82</v>
      </c>
      <c r="BG4" s="57">
        <f>SUM(AI4:BC4)</f>
        <v>10249365.24</v>
      </c>
    </row>
    <row r="5" spans="1:59" ht="16.5" customHeight="1" x14ac:dyDescent="0.25">
      <c r="A5" s="52"/>
      <c r="B5" t="s">
        <v>310</v>
      </c>
      <c r="C5" s="4">
        <v>366239.79</v>
      </c>
      <c r="D5" s="4">
        <v>97655.85</v>
      </c>
      <c r="E5" s="4">
        <v>147329.51999999999</v>
      </c>
      <c r="F5" s="4">
        <v>237815.77</v>
      </c>
      <c r="G5" s="4">
        <v>1350834.68</v>
      </c>
      <c r="H5" s="4">
        <v>949931.33</v>
      </c>
      <c r="I5" s="4">
        <v>839297.11</v>
      </c>
      <c r="J5" s="4">
        <v>6371151.1100000003</v>
      </c>
      <c r="K5" s="4">
        <v>640327.55000000005</v>
      </c>
      <c r="L5" s="4">
        <v>70815.649999999994</v>
      </c>
      <c r="M5" s="4">
        <v>2884643.54</v>
      </c>
      <c r="N5" s="4">
        <v>194315.44</v>
      </c>
      <c r="O5" s="4">
        <v>70738.28</v>
      </c>
      <c r="P5" s="4">
        <v>207960.08</v>
      </c>
      <c r="Q5" s="4">
        <v>229341.22</v>
      </c>
      <c r="R5" s="4">
        <v>268213.25</v>
      </c>
      <c r="S5" s="4">
        <v>151419.59</v>
      </c>
      <c r="T5" s="4">
        <v>310158.09999999998</v>
      </c>
      <c r="U5" s="4">
        <v>1288694.18</v>
      </c>
      <c r="V5" s="4">
        <v>119963.39</v>
      </c>
      <c r="W5" s="4">
        <v>485849.63</v>
      </c>
      <c r="X5" s="4">
        <v>536781.49</v>
      </c>
      <c r="Y5" s="4">
        <v>84676.800000000003</v>
      </c>
      <c r="Z5" s="4">
        <v>68952.55</v>
      </c>
      <c r="AA5" s="4">
        <v>294774.44</v>
      </c>
      <c r="AB5" s="4">
        <v>435116.52</v>
      </c>
      <c r="AC5" s="4">
        <v>238229.76000000001</v>
      </c>
      <c r="AD5" s="4">
        <v>230866.52</v>
      </c>
      <c r="AE5" s="4">
        <v>604645.01</v>
      </c>
      <c r="AF5" s="4">
        <v>756356.18</v>
      </c>
      <c r="AG5" s="4">
        <v>156765.5</v>
      </c>
      <c r="AH5" s="4">
        <v>85657.16</v>
      </c>
      <c r="AI5" s="4">
        <v>881341.09</v>
      </c>
      <c r="AJ5" s="4">
        <v>571962.96</v>
      </c>
      <c r="AK5" s="4">
        <v>424164.1</v>
      </c>
      <c r="AL5" s="4">
        <v>86900.75</v>
      </c>
      <c r="AM5" s="4">
        <v>757589.48</v>
      </c>
      <c r="AN5" s="4">
        <v>306959.82</v>
      </c>
      <c r="AO5" s="4">
        <v>298987.52000000002</v>
      </c>
      <c r="AP5" s="4">
        <v>596656.17000000004</v>
      </c>
      <c r="AQ5" s="4">
        <v>321438.73</v>
      </c>
      <c r="AR5" s="4">
        <v>383587.56</v>
      </c>
      <c r="AS5" s="4">
        <v>167860.37</v>
      </c>
      <c r="AT5" s="4">
        <v>822366.71999999997</v>
      </c>
      <c r="AU5" s="4">
        <v>380735.62</v>
      </c>
      <c r="AV5" s="4">
        <v>117940.56</v>
      </c>
      <c r="AW5" s="4">
        <v>98916.4</v>
      </c>
      <c r="AX5" s="4">
        <v>517245.45</v>
      </c>
      <c r="AY5" s="4">
        <v>147779.76999999999</v>
      </c>
      <c r="AZ5" s="4">
        <v>653385.06999999995</v>
      </c>
      <c r="BA5" s="4">
        <v>95273.48</v>
      </c>
      <c r="BB5" s="4">
        <v>3477857.92</v>
      </c>
      <c r="BC5" s="4">
        <v>258548.75</v>
      </c>
      <c r="BD5" s="4">
        <f t="shared" ref="BD5:BD42" si="1">SUM(C5:BC5)</f>
        <v>32143015.280000001</v>
      </c>
      <c r="BE5" s="4">
        <f t="shared" ref="BE5:BE42" si="2">SUM(C5:U5)</f>
        <v>16676882.040000001</v>
      </c>
      <c r="BF5" s="4">
        <f t="shared" ref="BF5:BF42" si="3">SUM(V5:AH5)</f>
        <v>4098634.9500000007</v>
      </c>
      <c r="BG5" s="4">
        <f t="shared" ref="BG5:BG42" si="4">SUM(AI5:BC5)</f>
        <v>11367498.289999999</v>
      </c>
    </row>
    <row r="6" spans="1:59" ht="16.5" customHeight="1" x14ac:dyDescent="0.25">
      <c r="A6" s="52"/>
      <c r="B6" t="s">
        <v>311</v>
      </c>
      <c r="C6" s="4">
        <v>13780.65</v>
      </c>
      <c r="D6" s="4">
        <v>8226.5</v>
      </c>
      <c r="E6" s="4">
        <v>7285.1</v>
      </c>
      <c r="F6" s="4">
        <v>26728.76</v>
      </c>
      <c r="G6" s="4">
        <v>136575.85</v>
      </c>
      <c r="H6" s="4">
        <v>140970.68</v>
      </c>
      <c r="I6" s="4">
        <v>22332.7</v>
      </c>
      <c r="J6" s="4">
        <v>851897.67</v>
      </c>
      <c r="K6" s="4">
        <v>223652</v>
      </c>
      <c r="L6" s="4">
        <v>19630.099999999999</v>
      </c>
      <c r="M6" s="4">
        <v>379482.04</v>
      </c>
      <c r="N6" s="4">
        <v>46049.2</v>
      </c>
      <c r="O6" s="4">
        <v>3388.25</v>
      </c>
      <c r="P6" s="4">
        <v>13814.85</v>
      </c>
      <c r="Q6" s="4">
        <v>106210.73</v>
      </c>
      <c r="R6" s="4">
        <v>26115.279999999999</v>
      </c>
      <c r="S6" s="4">
        <v>23541.55</v>
      </c>
      <c r="T6" s="4">
        <v>23131</v>
      </c>
      <c r="U6" s="4">
        <v>284003.90000000002</v>
      </c>
      <c r="V6" s="4">
        <v>3556.95</v>
      </c>
      <c r="W6" s="4">
        <v>42099.8</v>
      </c>
      <c r="X6" s="4">
        <v>66118.05</v>
      </c>
      <c r="Y6" s="4">
        <v>22780.65</v>
      </c>
      <c r="Z6" s="4">
        <v>11401.45</v>
      </c>
      <c r="AA6" s="4">
        <v>10623.75</v>
      </c>
      <c r="AB6" s="4">
        <v>35689.35</v>
      </c>
      <c r="AC6" s="4">
        <v>17372.349999999999</v>
      </c>
      <c r="AD6" s="4">
        <v>25738.9</v>
      </c>
      <c r="AE6" s="4">
        <v>45791.17</v>
      </c>
      <c r="AF6" s="4">
        <v>106240.54</v>
      </c>
      <c r="AG6" s="4">
        <v>21373.25</v>
      </c>
      <c r="AH6" s="4">
        <v>11389.92</v>
      </c>
      <c r="AI6" s="4">
        <v>53570.73</v>
      </c>
      <c r="AJ6" s="4">
        <v>159513.29999999999</v>
      </c>
      <c r="AK6" s="4">
        <v>27343.9</v>
      </c>
      <c r="AL6" s="4">
        <v>2681.25</v>
      </c>
      <c r="AM6" s="4">
        <v>69889.960000000006</v>
      </c>
      <c r="AN6" s="4">
        <v>43531.75</v>
      </c>
      <c r="AO6" s="4">
        <v>28456.95</v>
      </c>
      <c r="AP6" s="4">
        <v>50117.33</v>
      </c>
      <c r="AQ6" s="4">
        <v>30702.89</v>
      </c>
      <c r="AR6" s="4">
        <v>20704.650000000001</v>
      </c>
      <c r="AS6" s="4">
        <v>18779.150000000001</v>
      </c>
      <c r="AT6" s="4">
        <v>37872.5</v>
      </c>
      <c r="AU6" s="4">
        <v>13025.93</v>
      </c>
      <c r="AV6" s="4">
        <v>8635.6</v>
      </c>
      <c r="AW6" s="4">
        <v>1597.85</v>
      </c>
      <c r="AX6" s="4">
        <v>64452.05</v>
      </c>
      <c r="AY6" s="4">
        <v>25364.799999999999</v>
      </c>
      <c r="AZ6" s="4">
        <v>107163.36</v>
      </c>
      <c r="BA6" s="4">
        <v>7843.25</v>
      </c>
      <c r="BB6" s="4">
        <v>327113.74</v>
      </c>
      <c r="BC6" s="4">
        <v>19772.11</v>
      </c>
      <c r="BD6" s="4">
        <f t="shared" si="1"/>
        <v>3895125.9899999998</v>
      </c>
      <c r="BE6" s="4">
        <f t="shared" si="2"/>
        <v>2356816.8100000005</v>
      </c>
      <c r="BF6" s="4">
        <f t="shared" si="3"/>
        <v>420176.13</v>
      </c>
      <c r="BG6" s="4">
        <f t="shared" si="4"/>
        <v>1118133.0500000003</v>
      </c>
    </row>
    <row r="7" spans="1:59" ht="16.5" customHeight="1" x14ac:dyDescent="0.25">
      <c r="A7" s="53"/>
      <c r="B7" s="7"/>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31"/>
      <c r="BE7" s="31"/>
      <c r="BF7" s="31"/>
      <c r="BG7" s="31"/>
    </row>
    <row r="8" spans="1:59" ht="16.5" customHeight="1" x14ac:dyDescent="0.25">
      <c r="A8" s="55" t="s">
        <v>300</v>
      </c>
      <c r="B8" s="56" t="s">
        <v>301</v>
      </c>
      <c r="C8" s="57">
        <f>C9-C10</f>
        <v>30922.399999999994</v>
      </c>
      <c r="D8" s="57">
        <f t="shared" ref="D8:BC8" si="5">D9-D10</f>
        <v>6305.3499999999985</v>
      </c>
      <c r="E8" s="57">
        <f t="shared" si="5"/>
        <v>18445.990000000002</v>
      </c>
      <c r="F8" s="57">
        <f t="shared" si="5"/>
        <v>-28039.450000000012</v>
      </c>
      <c r="G8" s="57">
        <f t="shared" si="5"/>
        <v>-7436.1499999999651</v>
      </c>
      <c r="H8" s="57">
        <f t="shared" si="5"/>
        <v>135999.54999999996</v>
      </c>
      <c r="I8" s="57">
        <f t="shared" si="5"/>
        <v>-6884.6000000000349</v>
      </c>
      <c r="J8" s="57">
        <f t="shared" si="5"/>
        <v>2048207.73</v>
      </c>
      <c r="K8" s="57">
        <f t="shared" si="5"/>
        <v>47838.049999999988</v>
      </c>
      <c r="L8" s="57">
        <f t="shared" si="5"/>
        <v>12171.43</v>
      </c>
      <c r="M8" s="57">
        <f t="shared" si="5"/>
        <v>11764.45000000007</v>
      </c>
      <c r="N8" s="57">
        <f t="shared" si="5"/>
        <v>14207.800000000003</v>
      </c>
      <c r="O8" s="57">
        <f t="shared" si="5"/>
        <v>-4088.25</v>
      </c>
      <c r="P8" s="57">
        <f t="shared" si="5"/>
        <v>11021.1</v>
      </c>
      <c r="Q8" s="57">
        <f t="shared" si="5"/>
        <v>-2949.0499999999993</v>
      </c>
      <c r="R8" s="57">
        <f t="shared" si="5"/>
        <v>11155.299999999996</v>
      </c>
      <c r="S8" s="57">
        <f t="shared" si="5"/>
        <v>829.20000000000073</v>
      </c>
      <c r="T8" s="57">
        <f t="shared" si="5"/>
        <v>-9866.6000000000058</v>
      </c>
      <c r="U8" s="57">
        <f t="shared" si="5"/>
        <v>37200.950000000012</v>
      </c>
      <c r="V8" s="57">
        <f t="shared" si="5"/>
        <v>5580.0500000000011</v>
      </c>
      <c r="W8" s="57">
        <f t="shared" si="5"/>
        <v>38522.87000000001</v>
      </c>
      <c r="X8" s="57">
        <f t="shared" si="5"/>
        <v>8590.9899999999907</v>
      </c>
      <c r="Y8" s="57">
        <f t="shared" si="5"/>
        <v>-1368.35</v>
      </c>
      <c r="Z8" s="57">
        <f t="shared" si="5"/>
        <v>1939.4400000000005</v>
      </c>
      <c r="AA8" s="57">
        <f t="shared" si="5"/>
        <v>4105.2999999999956</v>
      </c>
      <c r="AB8" s="57">
        <f t="shared" si="5"/>
        <v>-3590.7200000000012</v>
      </c>
      <c r="AC8" s="57">
        <f t="shared" si="5"/>
        <v>-14050.699999999997</v>
      </c>
      <c r="AD8" s="57">
        <f t="shared" si="5"/>
        <v>-7178</v>
      </c>
      <c r="AE8" s="57">
        <f t="shared" si="5"/>
        <v>-19992.950000000012</v>
      </c>
      <c r="AF8" s="57">
        <f t="shared" si="5"/>
        <v>34810.5</v>
      </c>
      <c r="AG8" s="57">
        <f t="shared" si="5"/>
        <v>-4560.3500000000004</v>
      </c>
      <c r="AH8" s="57">
        <f t="shared" si="5"/>
        <v>-2196</v>
      </c>
      <c r="AI8" s="57">
        <f t="shared" si="5"/>
        <v>67141.94</v>
      </c>
      <c r="AJ8" s="57">
        <f t="shared" si="5"/>
        <v>3320.1000000000058</v>
      </c>
      <c r="AK8" s="57">
        <f t="shared" si="5"/>
        <v>37649.200000000004</v>
      </c>
      <c r="AL8" s="57">
        <f t="shared" si="5"/>
        <v>16375.199999999999</v>
      </c>
      <c r="AM8" s="57">
        <f t="shared" si="5"/>
        <v>76377.62000000001</v>
      </c>
      <c r="AN8" s="57">
        <f t="shared" si="5"/>
        <v>-17879.349999999999</v>
      </c>
      <c r="AO8" s="57">
        <f t="shared" si="5"/>
        <v>13895.339999999997</v>
      </c>
      <c r="AP8" s="57">
        <f t="shared" si="5"/>
        <v>-6221.6499999999942</v>
      </c>
      <c r="AQ8" s="57">
        <f t="shared" si="5"/>
        <v>-6648.8499999999985</v>
      </c>
      <c r="AR8" s="57">
        <f t="shared" si="5"/>
        <v>6400.1999999999971</v>
      </c>
      <c r="AS8" s="57">
        <f t="shared" si="5"/>
        <v>9201.2199999999993</v>
      </c>
      <c r="AT8" s="57">
        <f t="shared" si="5"/>
        <v>2143.9499999999971</v>
      </c>
      <c r="AU8" s="57">
        <f t="shared" si="5"/>
        <v>-9225.489999999998</v>
      </c>
      <c r="AV8" s="57">
        <f t="shared" si="5"/>
        <v>-474.59999999999854</v>
      </c>
      <c r="AW8" s="57">
        <f t="shared" si="5"/>
        <v>2.6999999999999886</v>
      </c>
      <c r="AX8" s="57">
        <f t="shared" si="5"/>
        <v>16036.75</v>
      </c>
      <c r="AY8" s="57">
        <f t="shared" si="5"/>
        <v>-11018.300000000003</v>
      </c>
      <c r="AZ8" s="57">
        <f t="shared" si="5"/>
        <v>26366.33</v>
      </c>
      <c r="BA8" s="57">
        <f t="shared" si="5"/>
        <v>2125.0999999999985</v>
      </c>
      <c r="BB8" s="57">
        <f t="shared" si="5"/>
        <v>1193755.1400000001</v>
      </c>
      <c r="BC8" s="57">
        <f t="shared" si="5"/>
        <v>-11014.400000000001</v>
      </c>
      <c r="BD8" s="57">
        <f t="shared" si="1"/>
        <v>3775725.4300000006</v>
      </c>
      <c r="BE8" s="57">
        <f t="shared" si="2"/>
        <v>2326805.2000000002</v>
      </c>
      <c r="BF8" s="57">
        <f t="shared" si="3"/>
        <v>40612.079999999994</v>
      </c>
      <c r="BG8" s="57">
        <f t="shared" si="4"/>
        <v>1408308.1500000001</v>
      </c>
    </row>
    <row r="9" spans="1:59" ht="16.5" customHeight="1" x14ac:dyDescent="0.25">
      <c r="A9" s="52"/>
      <c r="B9" t="s">
        <v>310</v>
      </c>
      <c r="C9" s="4">
        <v>91775.9</v>
      </c>
      <c r="D9" s="4">
        <v>25288.75</v>
      </c>
      <c r="E9" s="4">
        <v>49638.79</v>
      </c>
      <c r="F9" s="4">
        <v>71610.899999999994</v>
      </c>
      <c r="G9" s="4">
        <v>316131.7</v>
      </c>
      <c r="H9" s="4">
        <v>383801.97</v>
      </c>
      <c r="I9" s="4">
        <v>311205.09999999998</v>
      </c>
      <c r="J9" s="4">
        <v>4050893.02</v>
      </c>
      <c r="K9" s="4">
        <v>144185.9</v>
      </c>
      <c r="L9" s="4">
        <v>13983.78</v>
      </c>
      <c r="M9" s="4">
        <v>637929.92000000004</v>
      </c>
      <c r="N9" s="4">
        <v>64865.15</v>
      </c>
      <c r="O9" s="4">
        <v>5853.1</v>
      </c>
      <c r="P9" s="4">
        <v>26780.2</v>
      </c>
      <c r="Q9" s="4">
        <v>13903.5</v>
      </c>
      <c r="R9" s="4">
        <v>63550.1</v>
      </c>
      <c r="S9" s="4">
        <v>22699.9</v>
      </c>
      <c r="T9" s="4">
        <v>39456.949999999997</v>
      </c>
      <c r="U9" s="4">
        <v>276863.7</v>
      </c>
      <c r="V9" s="4">
        <v>20622.900000000001</v>
      </c>
      <c r="W9" s="4">
        <v>119225.27</v>
      </c>
      <c r="X9" s="4">
        <v>109969.29</v>
      </c>
      <c r="Y9" s="4">
        <v>1519.85</v>
      </c>
      <c r="Z9" s="4">
        <v>12360.7</v>
      </c>
      <c r="AA9" s="4">
        <v>49736.7</v>
      </c>
      <c r="AB9" s="4">
        <v>58465.13</v>
      </c>
      <c r="AC9" s="4">
        <v>37747.050000000003</v>
      </c>
      <c r="AD9" s="4">
        <v>36015.25</v>
      </c>
      <c r="AE9" s="4">
        <v>157975.9</v>
      </c>
      <c r="AF9" s="4">
        <v>224610.35</v>
      </c>
      <c r="AG9" s="4">
        <v>10218.799999999999</v>
      </c>
      <c r="AH9" s="4">
        <v>17926.7</v>
      </c>
      <c r="AI9" s="4">
        <v>165590.44</v>
      </c>
      <c r="AJ9" s="4">
        <v>125754.85</v>
      </c>
      <c r="AK9" s="4">
        <v>98724.3</v>
      </c>
      <c r="AL9" s="4">
        <v>21187.55</v>
      </c>
      <c r="AM9" s="4">
        <v>133030.82</v>
      </c>
      <c r="AN9" s="4">
        <v>37513.85</v>
      </c>
      <c r="AO9" s="4">
        <v>56466.74</v>
      </c>
      <c r="AP9" s="4">
        <v>167263.95000000001</v>
      </c>
      <c r="AQ9" s="4">
        <v>41192.660000000003</v>
      </c>
      <c r="AR9" s="4">
        <v>103867.8</v>
      </c>
      <c r="AS9" s="4">
        <v>22704.07</v>
      </c>
      <c r="AT9" s="4">
        <v>109103.7</v>
      </c>
      <c r="AU9" s="4">
        <v>48980.21</v>
      </c>
      <c r="AV9" s="4">
        <v>17266</v>
      </c>
      <c r="AW9" s="4">
        <v>211.85</v>
      </c>
      <c r="AX9" s="4">
        <v>136246.35</v>
      </c>
      <c r="AY9" s="4">
        <v>29644.85</v>
      </c>
      <c r="AZ9" s="4">
        <v>134694.09</v>
      </c>
      <c r="BA9" s="4">
        <v>18560.8</v>
      </c>
      <c r="BB9" s="4">
        <v>2443809.4500000002</v>
      </c>
      <c r="BC9" s="4">
        <v>37469.1</v>
      </c>
      <c r="BD9" s="4">
        <f t="shared" si="1"/>
        <v>11416095.65</v>
      </c>
      <c r="BE9" s="4">
        <f t="shared" si="2"/>
        <v>6610418.330000001</v>
      </c>
      <c r="BF9" s="4">
        <f t="shared" si="3"/>
        <v>856393.89</v>
      </c>
      <c r="BG9" s="4">
        <f t="shared" si="4"/>
        <v>3949283.4300000006</v>
      </c>
    </row>
    <row r="10" spans="1:59" ht="16.5" customHeight="1" x14ac:dyDescent="0.25">
      <c r="A10" s="52"/>
      <c r="B10" t="s">
        <v>311</v>
      </c>
      <c r="C10" s="4">
        <v>60853.5</v>
      </c>
      <c r="D10" s="4">
        <v>18983.400000000001</v>
      </c>
      <c r="E10" s="4">
        <v>31192.799999999999</v>
      </c>
      <c r="F10" s="4">
        <v>99650.35</v>
      </c>
      <c r="G10" s="4">
        <v>323567.84999999998</v>
      </c>
      <c r="H10" s="4">
        <v>247802.42</v>
      </c>
      <c r="I10" s="4">
        <v>318089.7</v>
      </c>
      <c r="J10" s="4">
        <v>2002685.29</v>
      </c>
      <c r="K10" s="4">
        <v>96347.85</v>
      </c>
      <c r="L10" s="4">
        <v>1812.35</v>
      </c>
      <c r="M10" s="4">
        <v>626165.47</v>
      </c>
      <c r="N10" s="4">
        <v>50657.35</v>
      </c>
      <c r="O10" s="4">
        <v>9941.35</v>
      </c>
      <c r="P10" s="4">
        <v>15759.1</v>
      </c>
      <c r="Q10" s="4">
        <v>16852.55</v>
      </c>
      <c r="R10" s="4">
        <v>52394.8</v>
      </c>
      <c r="S10" s="4">
        <v>21870.7</v>
      </c>
      <c r="T10" s="4">
        <v>49323.55</v>
      </c>
      <c r="U10" s="4">
        <v>239662.75</v>
      </c>
      <c r="V10" s="4">
        <v>15042.85</v>
      </c>
      <c r="W10" s="4">
        <v>80702.399999999994</v>
      </c>
      <c r="X10" s="4">
        <v>101378.3</v>
      </c>
      <c r="Y10" s="4">
        <v>2888.2</v>
      </c>
      <c r="Z10" s="4">
        <v>10421.26</v>
      </c>
      <c r="AA10" s="4">
        <v>45631.4</v>
      </c>
      <c r="AB10" s="4">
        <v>62055.85</v>
      </c>
      <c r="AC10" s="4">
        <v>51797.75</v>
      </c>
      <c r="AD10" s="4">
        <v>43193.25</v>
      </c>
      <c r="AE10" s="4">
        <v>177968.85</v>
      </c>
      <c r="AF10" s="4">
        <v>189799.85</v>
      </c>
      <c r="AG10" s="4">
        <v>14779.15</v>
      </c>
      <c r="AH10" s="4">
        <v>20122.7</v>
      </c>
      <c r="AI10" s="4">
        <v>98448.5</v>
      </c>
      <c r="AJ10" s="4">
        <v>122434.75</v>
      </c>
      <c r="AK10" s="4">
        <v>61075.1</v>
      </c>
      <c r="AL10" s="4">
        <v>4812.3500000000004</v>
      </c>
      <c r="AM10" s="4">
        <v>56653.2</v>
      </c>
      <c r="AN10" s="4">
        <v>55393.2</v>
      </c>
      <c r="AO10" s="4">
        <v>42571.4</v>
      </c>
      <c r="AP10" s="4">
        <v>173485.6</v>
      </c>
      <c r="AQ10" s="4">
        <v>47841.51</v>
      </c>
      <c r="AR10" s="4">
        <v>97467.6</v>
      </c>
      <c r="AS10" s="4">
        <v>13502.85</v>
      </c>
      <c r="AT10" s="4">
        <v>106959.75</v>
      </c>
      <c r="AU10" s="4">
        <v>58205.7</v>
      </c>
      <c r="AV10" s="4">
        <v>17740.599999999999</v>
      </c>
      <c r="AW10" s="4">
        <v>209.15</v>
      </c>
      <c r="AX10" s="4">
        <v>120209.60000000001</v>
      </c>
      <c r="AY10" s="4">
        <v>40663.15</v>
      </c>
      <c r="AZ10" s="4">
        <v>108327.76</v>
      </c>
      <c r="BA10" s="4">
        <v>16435.7</v>
      </c>
      <c r="BB10" s="4">
        <v>1250054.31</v>
      </c>
      <c r="BC10" s="4">
        <v>48483.5</v>
      </c>
      <c r="BD10" s="4">
        <f t="shared" si="1"/>
        <v>7640370.2199999988</v>
      </c>
      <c r="BE10" s="4">
        <f t="shared" si="2"/>
        <v>4283613.1300000008</v>
      </c>
      <c r="BF10" s="4">
        <f t="shared" si="3"/>
        <v>815781.80999999994</v>
      </c>
      <c r="BG10" s="4">
        <f t="shared" si="4"/>
        <v>2540975.2799999998</v>
      </c>
    </row>
    <row r="11" spans="1:59" ht="16.5" customHeight="1" x14ac:dyDescent="0.25">
      <c r="A11" s="53"/>
      <c r="B11" s="7"/>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31"/>
      <c r="BE11" s="31"/>
      <c r="BF11" s="31"/>
      <c r="BG11" s="31"/>
    </row>
    <row r="12" spans="1:59" ht="16.5" customHeight="1" x14ac:dyDescent="0.25">
      <c r="A12" s="58">
        <v>2</v>
      </c>
      <c r="B12" s="56" t="s">
        <v>302</v>
      </c>
      <c r="C12" s="57">
        <f>C13-C14</f>
        <v>1300540.0399999998</v>
      </c>
      <c r="D12" s="57">
        <f t="shared" ref="D12:BC12" si="6">D13-D14</f>
        <v>333015.40000000002</v>
      </c>
      <c r="E12" s="57">
        <f t="shared" si="6"/>
        <v>662335.32000000007</v>
      </c>
      <c r="F12" s="57">
        <f t="shared" si="6"/>
        <v>600071.82000000007</v>
      </c>
      <c r="G12" s="57">
        <f t="shared" si="6"/>
        <v>4861806.46</v>
      </c>
      <c r="H12" s="57">
        <f t="shared" si="6"/>
        <v>4310621.79</v>
      </c>
      <c r="I12" s="57">
        <f t="shared" si="6"/>
        <v>3416693.38</v>
      </c>
      <c r="J12" s="57">
        <f t="shared" si="6"/>
        <v>16377369.050000001</v>
      </c>
      <c r="K12" s="57">
        <f t="shared" si="6"/>
        <v>1817730.76</v>
      </c>
      <c r="L12" s="57">
        <f t="shared" si="6"/>
        <v>134846.39999999999</v>
      </c>
      <c r="M12" s="57">
        <f t="shared" si="6"/>
        <v>9213195.5899999999</v>
      </c>
      <c r="N12" s="57">
        <f t="shared" si="6"/>
        <v>749776.56</v>
      </c>
      <c r="O12" s="57">
        <f t="shared" si="6"/>
        <v>142350.29</v>
      </c>
      <c r="P12" s="57">
        <f t="shared" si="6"/>
        <v>519836.35</v>
      </c>
      <c r="Q12" s="57">
        <f t="shared" si="6"/>
        <v>457433.91000000003</v>
      </c>
      <c r="R12" s="57">
        <f t="shared" si="6"/>
        <v>990294.35</v>
      </c>
      <c r="S12" s="57">
        <f t="shared" si="6"/>
        <v>290803.64999999997</v>
      </c>
      <c r="T12" s="57">
        <f t="shared" si="6"/>
        <v>564938.25</v>
      </c>
      <c r="U12" s="57">
        <f t="shared" si="6"/>
        <v>4290993.0999999996</v>
      </c>
      <c r="V12" s="57">
        <f t="shared" si="6"/>
        <v>370572.92000000004</v>
      </c>
      <c r="W12" s="57">
        <f t="shared" si="6"/>
        <v>1558551.0799999998</v>
      </c>
      <c r="X12" s="57">
        <f t="shared" si="6"/>
        <v>2140562.79</v>
      </c>
      <c r="Y12" s="57">
        <f t="shared" si="6"/>
        <v>159068.47</v>
      </c>
      <c r="Z12" s="57">
        <f t="shared" si="6"/>
        <v>178646.09</v>
      </c>
      <c r="AA12" s="57">
        <f t="shared" si="6"/>
        <v>662926.80000000005</v>
      </c>
      <c r="AB12" s="57">
        <f t="shared" si="6"/>
        <v>857377.25</v>
      </c>
      <c r="AC12" s="57">
        <f t="shared" si="6"/>
        <v>685656.71</v>
      </c>
      <c r="AD12" s="57">
        <f t="shared" si="6"/>
        <v>652092.63</v>
      </c>
      <c r="AE12" s="57">
        <f t="shared" si="6"/>
        <v>2722992.35</v>
      </c>
      <c r="AF12" s="57">
        <f t="shared" si="6"/>
        <v>3174762.89</v>
      </c>
      <c r="AG12" s="57">
        <f t="shared" si="6"/>
        <v>261596.55</v>
      </c>
      <c r="AH12" s="57">
        <f t="shared" si="6"/>
        <v>141372.5</v>
      </c>
      <c r="AI12" s="57">
        <f t="shared" si="6"/>
        <v>2416524.7599999998</v>
      </c>
      <c r="AJ12" s="57">
        <f t="shared" si="6"/>
        <v>1469762.49</v>
      </c>
      <c r="AK12" s="57">
        <f t="shared" si="6"/>
        <v>1645338.5</v>
      </c>
      <c r="AL12" s="57">
        <f t="shared" si="6"/>
        <v>130642</v>
      </c>
      <c r="AM12" s="57">
        <f t="shared" si="6"/>
        <v>2550436.88</v>
      </c>
      <c r="AN12" s="57">
        <f t="shared" si="6"/>
        <v>857664.8899999999</v>
      </c>
      <c r="AO12" s="57">
        <f t="shared" si="6"/>
        <v>862537.61</v>
      </c>
      <c r="AP12" s="57">
        <f t="shared" si="6"/>
        <v>1603240.7999999998</v>
      </c>
      <c r="AQ12" s="57">
        <f t="shared" si="6"/>
        <v>1070596.1199999999</v>
      </c>
      <c r="AR12" s="57">
        <f t="shared" si="6"/>
        <v>1336920.1100000001</v>
      </c>
      <c r="AS12" s="57">
        <f t="shared" si="6"/>
        <v>377895.23000000004</v>
      </c>
      <c r="AT12" s="57">
        <f t="shared" si="6"/>
        <v>2987601.42</v>
      </c>
      <c r="AU12" s="57">
        <f t="shared" si="6"/>
        <v>995386.47</v>
      </c>
      <c r="AV12" s="57">
        <f t="shared" si="6"/>
        <v>217459.92</v>
      </c>
      <c r="AW12" s="57">
        <f t="shared" si="6"/>
        <v>49423.6</v>
      </c>
      <c r="AX12" s="57">
        <f t="shared" si="6"/>
        <v>2374336.88</v>
      </c>
      <c r="AY12" s="57">
        <f t="shared" si="6"/>
        <v>524583.49</v>
      </c>
      <c r="AZ12" s="57">
        <f t="shared" si="6"/>
        <v>1395399.5299999998</v>
      </c>
      <c r="BA12" s="57">
        <f t="shared" si="6"/>
        <v>232636.83</v>
      </c>
      <c r="BB12" s="57">
        <f t="shared" si="6"/>
        <v>7593483.5499999998</v>
      </c>
      <c r="BC12" s="57">
        <f t="shared" si="6"/>
        <v>647639.4</v>
      </c>
      <c r="BD12" s="57">
        <f t="shared" si="1"/>
        <v>95940341.979999989</v>
      </c>
      <c r="BE12" s="57">
        <f t="shared" si="2"/>
        <v>51034652.470000006</v>
      </c>
      <c r="BF12" s="57">
        <f t="shared" si="3"/>
        <v>13566179.030000001</v>
      </c>
      <c r="BG12" s="57">
        <f t="shared" si="4"/>
        <v>31339510.479999997</v>
      </c>
    </row>
    <row r="13" spans="1:59" ht="16.5" customHeight="1" x14ac:dyDescent="0.25">
      <c r="A13" s="53"/>
      <c r="B13" t="s">
        <v>310</v>
      </c>
      <c r="C13" s="4">
        <v>1341325.3899999999</v>
      </c>
      <c r="D13" s="4">
        <v>337619.5</v>
      </c>
      <c r="E13" s="4">
        <v>667736.77</v>
      </c>
      <c r="F13" s="4">
        <v>604893.02</v>
      </c>
      <c r="G13" s="4">
        <v>5365197.91</v>
      </c>
      <c r="H13" s="4">
        <v>4403237.4400000004</v>
      </c>
      <c r="I13" s="4">
        <v>3442661.78</v>
      </c>
      <c r="J13" s="4">
        <v>17576525.32</v>
      </c>
      <c r="K13" s="4">
        <v>1858640.81</v>
      </c>
      <c r="L13" s="4">
        <v>134981.4</v>
      </c>
      <c r="M13" s="4">
        <v>9635551.0899999999</v>
      </c>
      <c r="N13" s="4">
        <v>777495.76</v>
      </c>
      <c r="O13" s="4">
        <v>144021.69</v>
      </c>
      <c r="P13" s="4">
        <v>530030.35</v>
      </c>
      <c r="Q13" s="4">
        <v>537912.41</v>
      </c>
      <c r="R13" s="4">
        <v>1013732.95</v>
      </c>
      <c r="S13" s="4">
        <v>320548.3</v>
      </c>
      <c r="T13" s="4">
        <v>710520.5</v>
      </c>
      <c r="U13" s="4">
        <v>4673074.3499999996</v>
      </c>
      <c r="V13" s="4">
        <v>426526.77</v>
      </c>
      <c r="W13" s="4">
        <v>1640608.68</v>
      </c>
      <c r="X13" s="4">
        <v>2685295.29</v>
      </c>
      <c r="Y13" s="4">
        <v>165682.22</v>
      </c>
      <c r="Z13" s="4">
        <v>179445.54</v>
      </c>
      <c r="AA13" s="4">
        <v>719923</v>
      </c>
      <c r="AB13" s="4">
        <v>1096622.23</v>
      </c>
      <c r="AC13" s="4">
        <v>868296.01</v>
      </c>
      <c r="AD13" s="4">
        <v>652936.63</v>
      </c>
      <c r="AE13" s="4">
        <v>2831989.95</v>
      </c>
      <c r="AF13" s="4">
        <v>3304714.64</v>
      </c>
      <c r="AG13" s="4">
        <v>292815.34999999998</v>
      </c>
      <c r="AH13" s="4">
        <v>141417.5</v>
      </c>
      <c r="AI13" s="4">
        <v>2443323.36</v>
      </c>
      <c r="AJ13" s="4">
        <v>1556315.6</v>
      </c>
      <c r="AK13" s="4">
        <v>1880254.65</v>
      </c>
      <c r="AL13" s="4">
        <v>130710</v>
      </c>
      <c r="AM13" s="4">
        <v>2581269.62</v>
      </c>
      <c r="AN13" s="4">
        <v>954582.69</v>
      </c>
      <c r="AO13" s="4">
        <v>863608.61</v>
      </c>
      <c r="AP13" s="4">
        <v>1882740.15</v>
      </c>
      <c r="AQ13" s="4">
        <v>1177329.6499999999</v>
      </c>
      <c r="AR13" s="4">
        <v>1364635.24</v>
      </c>
      <c r="AS13" s="4">
        <v>380405.78</v>
      </c>
      <c r="AT13" s="4">
        <v>3069736.07</v>
      </c>
      <c r="AU13" s="4">
        <v>1064080.46</v>
      </c>
      <c r="AV13" s="4">
        <v>217820.92</v>
      </c>
      <c r="AW13" s="4">
        <v>55239.5</v>
      </c>
      <c r="AX13" s="4">
        <v>2506248.88</v>
      </c>
      <c r="AY13" s="4">
        <v>701327.6</v>
      </c>
      <c r="AZ13" s="4">
        <v>1436691.63</v>
      </c>
      <c r="BA13" s="4">
        <v>232907.83</v>
      </c>
      <c r="BB13" s="4">
        <v>8084534.25</v>
      </c>
      <c r="BC13" s="4">
        <v>757173.9</v>
      </c>
      <c r="BD13" s="4">
        <f t="shared" si="1"/>
        <v>102422916.93999998</v>
      </c>
      <c r="BE13" s="4">
        <f t="shared" si="2"/>
        <v>54075706.740000002</v>
      </c>
      <c r="BF13" s="4">
        <f t="shared" si="3"/>
        <v>15006273.810000001</v>
      </c>
      <c r="BG13" s="4">
        <f t="shared" si="4"/>
        <v>33340936.389999997</v>
      </c>
    </row>
    <row r="14" spans="1:59" ht="16.5" customHeight="1" x14ac:dyDescent="0.25">
      <c r="A14" s="53"/>
      <c r="B14" t="s">
        <v>311</v>
      </c>
      <c r="C14" s="4">
        <v>40785.35</v>
      </c>
      <c r="D14" s="4">
        <v>4604.1000000000004</v>
      </c>
      <c r="E14" s="4">
        <v>5401.45</v>
      </c>
      <c r="F14" s="4">
        <v>4821.2</v>
      </c>
      <c r="G14" s="4">
        <v>503391.45</v>
      </c>
      <c r="H14" s="4">
        <v>92615.65</v>
      </c>
      <c r="I14" s="4">
        <v>25968.400000000001</v>
      </c>
      <c r="J14" s="4">
        <v>1199156.27</v>
      </c>
      <c r="K14" s="4">
        <v>40910.050000000003</v>
      </c>
      <c r="L14" s="4">
        <v>135</v>
      </c>
      <c r="M14" s="4">
        <v>422355.5</v>
      </c>
      <c r="N14" s="4">
        <v>27719.200000000001</v>
      </c>
      <c r="O14" s="4">
        <v>1671.4</v>
      </c>
      <c r="P14" s="4">
        <v>10194</v>
      </c>
      <c r="Q14" s="4">
        <v>80478.5</v>
      </c>
      <c r="R14" s="4">
        <v>23438.6</v>
      </c>
      <c r="S14" s="4">
        <v>29744.65</v>
      </c>
      <c r="T14" s="4">
        <v>145582.25</v>
      </c>
      <c r="U14" s="4">
        <v>382081.25</v>
      </c>
      <c r="V14" s="4">
        <v>55953.85</v>
      </c>
      <c r="W14" s="4">
        <v>82057.600000000006</v>
      </c>
      <c r="X14" s="4">
        <v>544732.5</v>
      </c>
      <c r="Y14" s="4">
        <v>6613.75</v>
      </c>
      <c r="Z14" s="4">
        <v>799.45</v>
      </c>
      <c r="AA14" s="4">
        <v>56996.2</v>
      </c>
      <c r="AB14" s="4">
        <v>239244.98</v>
      </c>
      <c r="AC14" s="4">
        <v>182639.3</v>
      </c>
      <c r="AD14" s="4">
        <v>844</v>
      </c>
      <c r="AE14" s="4">
        <v>108997.6</v>
      </c>
      <c r="AF14" s="4">
        <v>129951.75</v>
      </c>
      <c r="AG14" s="4">
        <v>31218.799999999999</v>
      </c>
      <c r="AH14" s="4">
        <v>45</v>
      </c>
      <c r="AI14" s="4">
        <v>26798.6</v>
      </c>
      <c r="AJ14" s="4">
        <v>86553.11</v>
      </c>
      <c r="AK14" s="4">
        <v>234916.15</v>
      </c>
      <c r="AL14" s="4">
        <v>68</v>
      </c>
      <c r="AM14" s="4">
        <v>30832.74</v>
      </c>
      <c r="AN14" s="4">
        <v>96917.8</v>
      </c>
      <c r="AO14" s="4">
        <v>1071</v>
      </c>
      <c r="AP14" s="4">
        <v>279499.34999999998</v>
      </c>
      <c r="AQ14" s="4">
        <v>106733.53</v>
      </c>
      <c r="AR14" s="4">
        <v>27715.13</v>
      </c>
      <c r="AS14" s="4">
        <v>2510.5500000000002</v>
      </c>
      <c r="AT14" s="4">
        <v>82134.649999999994</v>
      </c>
      <c r="AU14" s="4">
        <v>68693.990000000005</v>
      </c>
      <c r="AV14" s="4">
        <v>361</v>
      </c>
      <c r="AW14" s="4">
        <v>5815.9</v>
      </c>
      <c r="AX14" s="4">
        <v>131912</v>
      </c>
      <c r="AY14" s="4">
        <v>176744.11</v>
      </c>
      <c r="AZ14" s="4">
        <v>41292.1</v>
      </c>
      <c r="BA14" s="4">
        <v>271</v>
      </c>
      <c r="BB14" s="4">
        <v>491050.7</v>
      </c>
      <c r="BC14" s="4">
        <v>109534.5</v>
      </c>
      <c r="BD14" s="4">
        <f t="shared" si="1"/>
        <v>6482574.9600000009</v>
      </c>
      <c r="BE14" s="4">
        <f t="shared" si="2"/>
        <v>3041054.27</v>
      </c>
      <c r="BF14" s="4">
        <f t="shared" si="3"/>
        <v>1440094.78</v>
      </c>
      <c r="BG14" s="4">
        <f t="shared" si="4"/>
        <v>2001425.91</v>
      </c>
    </row>
    <row r="15" spans="1:59" ht="16.5" customHeight="1" x14ac:dyDescent="0.25">
      <c r="A15" s="53"/>
      <c r="B15" s="7"/>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31"/>
      <c r="BE15" s="31"/>
      <c r="BF15" s="31"/>
      <c r="BG15" s="31"/>
    </row>
    <row r="16" spans="1:59" ht="16.5" customHeight="1" x14ac:dyDescent="0.25">
      <c r="A16" s="58">
        <v>3</v>
      </c>
      <c r="B16" s="56" t="s">
        <v>303</v>
      </c>
      <c r="C16" s="57">
        <f>C17-C18</f>
        <v>21519</v>
      </c>
      <c r="D16" s="57">
        <f t="shared" ref="D16:BC16" si="7">D17-D18</f>
        <v>30646.05</v>
      </c>
      <c r="E16" s="57">
        <f t="shared" si="7"/>
        <v>6075.45</v>
      </c>
      <c r="F16" s="57">
        <f t="shared" si="7"/>
        <v>9077.65</v>
      </c>
      <c r="G16" s="57">
        <f t="shared" si="7"/>
        <v>101105.45</v>
      </c>
      <c r="H16" s="57">
        <f t="shared" si="7"/>
        <v>242072.22999999998</v>
      </c>
      <c r="I16" s="57">
        <f t="shared" si="7"/>
        <v>204754.35</v>
      </c>
      <c r="J16" s="57">
        <f t="shared" si="7"/>
        <v>4997380.5199999996</v>
      </c>
      <c r="K16" s="57">
        <f t="shared" si="7"/>
        <v>51895.05</v>
      </c>
      <c r="L16" s="57">
        <f t="shared" si="7"/>
        <v>0</v>
      </c>
      <c r="M16" s="57">
        <f t="shared" si="7"/>
        <v>641598.25</v>
      </c>
      <c r="N16" s="57">
        <f t="shared" si="7"/>
        <v>13210</v>
      </c>
      <c r="O16" s="57">
        <f t="shared" si="7"/>
        <v>2919.3</v>
      </c>
      <c r="P16" s="57">
        <f t="shared" si="7"/>
        <v>9212.5</v>
      </c>
      <c r="Q16" s="57">
        <f t="shared" si="7"/>
        <v>21435.800000000003</v>
      </c>
      <c r="R16" s="57">
        <f t="shared" si="7"/>
        <v>26222.65</v>
      </c>
      <c r="S16" s="57">
        <f t="shared" si="7"/>
        <v>21937.439999999999</v>
      </c>
      <c r="T16" s="57">
        <f t="shared" si="7"/>
        <v>55766.7</v>
      </c>
      <c r="U16" s="57">
        <f t="shared" si="7"/>
        <v>69137.45</v>
      </c>
      <c r="V16" s="57">
        <f t="shared" si="7"/>
        <v>30390.45</v>
      </c>
      <c r="W16" s="57">
        <f t="shared" si="7"/>
        <v>314126.40000000002</v>
      </c>
      <c r="X16" s="57">
        <f t="shared" si="7"/>
        <v>374322.45</v>
      </c>
      <c r="Y16" s="57">
        <f t="shared" si="7"/>
        <v>6915.7</v>
      </c>
      <c r="Z16" s="57">
        <f t="shared" si="7"/>
        <v>15185.9</v>
      </c>
      <c r="AA16" s="57">
        <f t="shared" si="7"/>
        <v>101057.65</v>
      </c>
      <c r="AB16" s="57">
        <f t="shared" si="7"/>
        <v>143752.12</v>
      </c>
      <c r="AC16" s="57">
        <f t="shared" si="7"/>
        <v>53846.85</v>
      </c>
      <c r="AD16" s="57">
        <f t="shared" si="7"/>
        <v>43313.75</v>
      </c>
      <c r="AE16" s="57">
        <f t="shared" si="7"/>
        <v>237875.46000000002</v>
      </c>
      <c r="AF16" s="57">
        <f t="shared" si="7"/>
        <v>615727.55000000005</v>
      </c>
      <c r="AG16" s="57">
        <f t="shared" si="7"/>
        <v>14935.5</v>
      </c>
      <c r="AH16" s="57">
        <f t="shared" si="7"/>
        <v>7849.2</v>
      </c>
      <c r="AI16" s="57">
        <f t="shared" si="7"/>
        <v>182873.05</v>
      </c>
      <c r="AJ16" s="57">
        <f t="shared" si="7"/>
        <v>54880.75</v>
      </c>
      <c r="AK16" s="57">
        <f t="shared" si="7"/>
        <v>76500.38</v>
      </c>
      <c r="AL16" s="57">
        <f t="shared" si="7"/>
        <v>8260.9</v>
      </c>
      <c r="AM16" s="57">
        <f t="shared" si="7"/>
        <v>781924.47</v>
      </c>
      <c r="AN16" s="57">
        <f t="shared" si="7"/>
        <v>49256.33</v>
      </c>
      <c r="AO16" s="57">
        <f t="shared" si="7"/>
        <v>25616.06</v>
      </c>
      <c r="AP16" s="57">
        <f t="shared" si="7"/>
        <v>80520.05</v>
      </c>
      <c r="AQ16" s="57">
        <f t="shared" si="7"/>
        <v>33865.040000000001</v>
      </c>
      <c r="AR16" s="57">
        <f t="shared" si="7"/>
        <v>35932</v>
      </c>
      <c r="AS16" s="57">
        <f t="shared" si="7"/>
        <v>24667</v>
      </c>
      <c r="AT16" s="57">
        <f t="shared" si="7"/>
        <v>268012.10000000003</v>
      </c>
      <c r="AU16" s="57">
        <f t="shared" si="7"/>
        <v>54488.35</v>
      </c>
      <c r="AV16" s="57">
        <f t="shared" si="7"/>
        <v>5171.3500000000004</v>
      </c>
      <c r="AW16" s="57">
        <f t="shared" si="7"/>
        <v>63314.049999999996</v>
      </c>
      <c r="AX16" s="57">
        <f t="shared" si="7"/>
        <v>169909.15</v>
      </c>
      <c r="AY16" s="57">
        <f t="shared" si="7"/>
        <v>22355.93</v>
      </c>
      <c r="AZ16" s="57">
        <f t="shared" si="7"/>
        <v>104362.93999999999</v>
      </c>
      <c r="BA16" s="57">
        <f t="shared" si="7"/>
        <v>7122.4</v>
      </c>
      <c r="BB16" s="57">
        <f t="shared" si="7"/>
        <v>3144935.27</v>
      </c>
      <c r="BC16" s="57">
        <f t="shared" si="7"/>
        <v>90199.1</v>
      </c>
      <c r="BD16" s="57">
        <f t="shared" si="1"/>
        <v>13769431.490000002</v>
      </c>
      <c r="BE16" s="57">
        <f t="shared" si="2"/>
        <v>6525965.8399999999</v>
      </c>
      <c r="BF16" s="57">
        <f t="shared" si="3"/>
        <v>1959298.98</v>
      </c>
      <c r="BG16" s="57">
        <f t="shared" si="4"/>
        <v>5284166.67</v>
      </c>
    </row>
    <row r="17" spans="1:59" ht="16.5" customHeight="1" x14ac:dyDescent="0.25">
      <c r="A17" s="53"/>
      <c r="B17" t="s">
        <v>310</v>
      </c>
      <c r="C17" s="4">
        <v>22519</v>
      </c>
      <c r="D17" s="4">
        <v>32096.05</v>
      </c>
      <c r="E17" s="4">
        <v>6075.45</v>
      </c>
      <c r="F17" s="4">
        <v>9077.65</v>
      </c>
      <c r="G17" s="4">
        <v>117105.45</v>
      </c>
      <c r="H17" s="4">
        <v>261898.33</v>
      </c>
      <c r="I17" s="4">
        <v>241712.95</v>
      </c>
      <c r="J17" s="4">
        <v>5750884.2199999997</v>
      </c>
      <c r="K17" s="4">
        <v>65897.05</v>
      </c>
      <c r="L17" s="4">
        <v>0</v>
      </c>
      <c r="M17" s="4">
        <v>776422.5</v>
      </c>
      <c r="N17" s="4">
        <v>13210</v>
      </c>
      <c r="O17" s="4">
        <v>8024.3</v>
      </c>
      <c r="P17" s="4">
        <v>10226.549999999999</v>
      </c>
      <c r="Q17" s="4">
        <v>39813.800000000003</v>
      </c>
      <c r="R17" s="4">
        <v>26739.15</v>
      </c>
      <c r="S17" s="4">
        <v>21937.439999999999</v>
      </c>
      <c r="T17" s="4">
        <v>85386.7</v>
      </c>
      <c r="U17" s="4">
        <v>79677.45</v>
      </c>
      <c r="V17" s="4">
        <v>30390.45</v>
      </c>
      <c r="W17" s="4">
        <v>319811.40000000002</v>
      </c>
      <c r="X17" s="4">
        <v>386277.55</v>
      </c>
      <c r="Y17" s="4">
        <v>6915.7</v>
      </c>
      <c r="Z17" s="4">
        <v>15185.9</v>
      </c>
      <c r="AA17" s="4">
        <v>123564.75</v>
      </c>
      <c r="AB17" s="4">
        <v>164734.88</v>
      </c>
      <c r="AC17" s="4">
        <v>53846.85</v>
      </c>
      <c r="AD17" s="4">
        <v>43313.75</v>
      </c>
      <c r="AE17" s="4">
        <v>248594.01</v>
      </c>
      <c r="AF17" s="4">
        <v>615727.55000000005</v>
      </c>
      <c r="AG17" s="4">
        <v>14935.5</v>
      </c>
      <c r="AH17" s="4">
        <v>7849.2</v>
      </c>
      <c r="AI17" s="4">
        <v>182873.05</v>
      </c>
      <c r="AJ17" s="4">
        <v>56855.75</v>
      </c>
      <c r="AK17" s="4">
        <v>86160.38</v>
      </c>
      <c r="AL17" s="4">
        <v>9090.9</v>
      </c>
      <c r="AM17" s="4">
        <v>874857.52</v>
      </c>
      <c r="AN17" s="4">
        <v>56215.3</v>
      </c>
      <c r="AO17" s="4">
        <v>25616.06</v>
      </c>
      <c r="AP17" s="4">
        <v>80670.05</v>
      </c>
      <c r="AQ17" s="4">
        <v>44055.040000000001</v>
      </c>
      <c r="AR17" s="4">
        <v>39519.65</v>
      </c>
      <c r="AS17" s="4">
        <v>24667</v>
      </c>
      <c r="AT17" s="4">
        <v>289537.45</v>
      </c>
      <c r="AU17" s="4">
        <v>58458.35</v>
      </c>
      <c r="AV17" s="4">
        <v>8331.35</v>
      </c>
      <c r="AW17" s="4">
        <v>72982.399999999994</v>
      </c>
      <c r="AX17" s="4">
        <v>182989.15</v>
      </c>
      <c r="AY17" s="4">
        <v>22355.93</v>
      </c>
      <c r="AZ17" s="4">
        <v>119051.04</v>
      </c>
      <c r="BA17" s="4">
        <v>7172.4</v>
      </c>
      <c r="BB17" s="4">
        <v>3266637.25</v>
      </c>
      <c r="BC17" s="4">
        <v>111744.1</v>
      </c>
      <c r="BD17" s="4">
        <f t="shared" si="1"/>
        <v>15219691.650000002</v>
      </c>
      <c r="BE17" s="4">
        <f t="shared" si="2"/>
        <v>7568704.04</v>
      </c>
      <c r="BF17" s="4">
        <f t="shared" si="3"/>
        <v>2031147.49</v>
      </c>
      <c r="BG17" s="4">
        <f t="shared" si="4"/>
        <v>5619840.1199999992</v>
      </c>
    </row>
    <row r="18" spans="1:59" ht="16.5" customHeight="1" x14ac:dyDescent="0.25">
      <c r="A18" s="53"/>
      <c r="B18" t="s">
        <v>311</v>
      </c>
      <c r="C18" s="4">
        <v>1000</v>
      </c>
      <c r="D18" s="4">
        <v>1450</v>
      </c>
      <c r="E18" s="4">
        <v>0</v>
      </c>
      <c r="F18" s="4">
        <v>0</v>
      </c>
      <c r="G18" s="4">
        <v>16000</v>
      </c>
      <c r="H18" s="4">
        <v>19826.099999999999</v>
      </c>
      <c r="I18" s="4">
        <v>36958.6</v>
      </c>
      <c r="J18" s="4">
        <v>753503.7</v>
      </c>
      <c r="K18" s="4">
        <v>14002</v>
      </c>
      <c r="L18" s="4">
        <v>0</v>
      </c>
      <c r="M18" s="4">
        <v>134824.25</v>
      </c>
      <c r="N18" s="4">
        <v>0</v>
      </c>
      <c r="O18" s="4">
        <v>5105</v>
      </c>
      <c r="P18" s="4">
        <v>1014.05</v>
      </c>
      <c r="Q18" s="4">
        <v>18378</v>
      </c>
      <c r="R18" s="4">
        <v>516.5</v>
      </c>
      <c r="S18" s="4">
        <v>0</v>
      </c>
      <c r="T18" s="4">
        <v>29620</v>
      </c>
      <c r="U18" s="4">
        <v>10540</v>
      </c>
      <c r="V18" s="4">
        <v>0</v>
      </c>
      <c r="W18" s="4">
        <v>5685</v>
      </c>
      <c r="X18" s="4">
        <v>11955.1</v>
      </c>
      <c r="Y18" s="4">
        <v>0</v>
      </c>
      <c r="Z18" s="4">
        <v>0</v>
      </c>
      <c r="AA18" s="4">
        <v>22507.1</v>
      </c>
      <c r="AB18" s="4">
        <v>20982.76</v>
      </c>
      <c r="AC18" s="4">
        <v>0</v>
      </c>
      <c r="AD18" s="4">
        <v>0</v>
      </c>
      <c r="AE18" s="4">
        <v>10718.55</v>
      </c>
      <c r="AF18" s="4">
        <v>0</v>
      </c>
      <c r="AG18" s="4">
        <v>0</v>
      </c>
      <c r="AH18" s="4">
        <v>0</v>
      </c>
      <c r="AI18" s="4">
        <v>0</v>
      </c>
      <c r="AJ18" s="4">
        <v>1975</v>
      </c>
      <c r="AK18" s="4">
        <v>9660</v>
      </c>
      <c r="AL18" s="4">
        <v>830</v>
      </c>
      <c r="AM18" s="4">
        <v>92933.05</v>
      </c>
      <c r="AN18" s="4">
        <v>6958.97</v>
      </c>
      <c r="AO18" s="4">
        <v>0</v>
      </c>
      <c r="AP18" s="4">
        <v>150</v>
      </c>
      <c r="AQ18" s="4">
        <v>10190</v>
      </c>
      <c r="AR18" s="4">
        <v>3587.65</v>
      </c>
      <c r="AS18" s="4">
        <v>0</v>
      </c>
      <c r="AT18" s="4">
        <v>21525.35</v>
      </c>
      <c r="AU18" s="4">
        <v>3970</v>
      </c>
      <c r="AV18" s="4">
        <v>3160</v>
      </c>
      <c r="AW18" s="4">
        <v>9668.35</v>
      </c>
      <c r="AX18" s="4">
        <v>13080</v>
      </c>
      <c r="AY18" s="4">
        <v>0</v>
      </c>
      <c r="AZ18" s="4">
        <v>14688.1</v>
      </c>
      <c r="BA18" s="4">
        <v>50</v>
      </c>
      <c r="BB18" s="4">
        <v>121701.98</v>
      </c>
      <c r="BC18" s="4">
        <v>21545</v>
      </c>
      <c r="BD18" s="4">
        <f t="shared" si="1"/>
        <v>1450260.1600000004</v>
      </c>
      <c r="BE18" s="4">
        <f t="shared" si="2"/>
        <v>1042738.2</v>
      </c>
      <c r="BF18" s="4">
        <f t="shared" si="3"/>
        <v>71848.509999999995</v>
      </c>
      <c r="BG18" s="4">
        <f t="shared" si="4"/>
        <v>335673.45</v>
      </c>
    </row>
    <row r="19" spans="1:59" ht="16.5" customHeight="1" x14ac:dyDescent="0.25">
      <c r="A19" s="53"/>
      <c r="B19" s="7"/>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31"/>
      <c r="BE19" s="31"/>
      <c r="BF19" s="31"/>
      <c r="BG19" s="31"/>
    </row>
    <row r="20" spans="1:59" ht="16.5" customHeight="1" x14ac:dyDescent="0.25">
      <c r="A20" s="58">
        <v>4</v>
      </c>
      <c r="B20" s="56" t="s">
        <v>304</v>
      </c>
      <c r="C20" s="57">
        <f>C21-C22</f>
        <v>7417.54</v>
      </c>
      <c r="D20" s="57">
        <f t="shared" ref="D20:BC20" si="8">D21-D22</f>
        <v>2427.6</v>
      </c>
      <c r="E20" s="57">
        <f t="shared" si="8"/>
        <v>4745.26</v>
      </c>
      <c r="F20" s="57">
        <f t="shared" si="8"/>
        <v>2178.38</v>
      </c>
      <c r="G20" s="57">
        <f t="shared" si="8"/>
        <v>37804.379999999997</v>
      </c>
      <c r="H20" s="57">
        <f t="shared" si="8"/>
        <v>26967.75</v>
      </c>
      <c r="I20" s="57">
        <f t="shared" si="8"/>
        <v>28207.87</v>
      </c>
      <c r="J20" s="57">
        <f t="shared" si="8"/>
        <v>105365.25</v>
      </c>
      <c r="K20" s="57">
        <f t="shared" si="8"/>
        <v>12158.07</v>
      </c>
      <c r="L20" s="57">
        <f t="shared" si="8"/>
        <v>486.95</v>
      </c>
      <c r="M20" s="57">
        <f t="shared" si="8"/>
        <v>49631.86</v>
      </c>
      <c r="N20" s="57">
        <f t="shared" si="8"/>
        <v>3832.67</v>
      </c>
      <c r="O20" s="57">
        <f t="shared" si="8"/>
        <v>2574.7800000000002</v>
      </c>
      <c r="P20" s="57">
        <f t="shared" si="8"/>
        <v>975.1</v>
      </c>
      <c r="Q20" s="57">
        <f t="shared" si="8"/>
        <v>1964.95</v>
      </c>
      <c r="R20" s="57">
        <f t="shared" si="8"/>
        <v>1879.9</v>
      </c>
      <c r="S20" s="57">
        <f t="shared" si="8"/>
        <v>2035.49</v>
      </c>
      <c r="T20" s="57">
        <f t="shared" si="8"/>
        <v>2201.35</v>
      </c>
      <c r="U20" s="57">
        <f t="shared" si="8"/>
        <v>35280.089999999997</v>
      </c>
      <c r="V20" s="57">
        <f t="shared" si="8"/>
        <v>2611.06</v>
      </c>
      <c r="W20" s="57">
        <f t="shared" si="8"/>
        <v>7228.35</v>
      </c>
      <c r="X20" s="57">
        <f t="shared" si="8"/>
        <v>12035.06</v>
      </c>
      <c r="Y20" s="57">
        <f t="shared" si="8"/>
        <v>396.15</v>
      </c>
      <c r="Z20" s="57">
        <f t="shared" si="8"/>
        <v>2145.5100000000002</v>
      </c>
      <c r="AA20" s="57">
        <f t="shared" si="8"/>
        <v>4942</v>
      </c>
      <c r="AB20" s="57">
        <f t="shared" si="8"/>
        <v>3469</v>
      </c>
      <c r="AC20" s="57">
        <f t="shared" si="8"/>
        <v>3510.34</v>
      </c>
      <c r="AD20" s="57">
        <f t="shared" si="8"/>
        <v>7702.95</v>
      </c>
      <c r="AE20" s="57">
        <f t="shared" si="8"/>
        <v>17028.740000000002</v>
      </c>
      <c r="AF20" s="57">
        <f t="shared" si="8"/>
        <v>12777.1</v>
      </c>
      <c r="AG20" s="57">
        <f t="shared" si="8"/>
        <v>1136.76</v>
      </c>
      <c r="AH20" s="57">
        <f t="shared" si="8"/>
        <v>540.6</v>
      </c>
      <c r="AI20" s="57">
        <f t="shared" si="8"/>
        <v>17895.490000000002</v>
      </c>
      <c r="AJ20" s="57">
        <f t="shared" si="8"/>
        <v>9025.64</v>
      </c>
      <c r="AK20" s="57">
        <f t="shared" si="8"/>
        <v>16469.099999999999</v>
      </c>
      <c r="AL20" s="57">
        <f t="shared" si="8"/>
        <v>491.05</v>
      </c>
      <c r="AM20" s="57">
        <f t="shared" si="8"/>
        <v>10169.09</v>
      </c>
      <c r="AN20" s="57">
        <f t="shared" si="8"/>
        <v>4700.8100000000004</v>
      </c>
      <c r="AO20" s="57">
        <f t="shared" si="8"/>
        <v>5382.49</v>
      </c>
      <c r="AP20" s="57">
        <f t="shared" si="8"/>
        <v>8609.2000000000007</v>
      </c>
      <c r="AQ20" s="57">
        <f t="shared" si="8"/>
        <v>4865.37</v>
      </c>
      <c r="AR20" s="57">
        <f t="shared" si="8"/>
        <v>6849.44</v>
      </c>
      <c r="AS20" s="57">
        <f t="shared" si="8"/>
        <v>1432.57</v>
      </c>
      <c r="AT20" s="57">
        <f t="shared" si="8"/>
        <v>18904.68</v>
      </c>
      <c r="AU20" s="57">
        <f t="shared" si="8"/>
        <v>4562.07</v>
      </c>
      <c r="AV20" s="57">
        <f t="shared" si="8"/>
        <v>1508.77</v>
      </c>
      <c r="AW20" s="57">
        <f t="shared" si="8"/>
        <v>1000</v>
      </c>
      <c r="AX20" s="57">
        <f t="shared" si="8"/>
        <v>11232.77</v>
      </c>
      <c r="AY20" s="57">
        <f t="shared" si="8"/>
        <v>5749.96</v>
      </c>
      <c r="AZ20" s="57">
        <f t="shared" si="8"/>
        <v>5787.9</v>
      </c>
      <c r="BA20" s="57">
        <f t="shared" si="8"/>
        <v>2129.81</v>
      </c>
      <c r="BB20" s="57">
        <f t="shared" si="8"/>
        <v>58685.8</v>
      </c>
      <c r="BC20" s="57">
        <f t="shared" si="8"/>
        <v>6044.05</v>
      </c>
      <c r="BD20" s="57">
        <f t="shared" si="1"/>
        <v>605154.92000000016</v>
      </c>
      <c r="BE20" s="57">
        <f t="shared" si="2"/>
        <v>328135.24</v>
      </c>
      <c r="BF20" s="57">
        <f t="shared" si="3"/>
        <v>75523.62000000001</v>
      </c>
      <c r="BG20" s="57">
        <f t="shared" si="4"/>
        <v>201496.06</v>
      </c>
    </row>
    <row r="21" spans="1:59" ht="16.5" customHeight="1" x14ac:dyDescent="0.25">
      <c r="A21" s="53"/>
      <c r="B21" t="s">
        <v>310</v>
      </c>
      <c r="C21" s="4">
        <v>7417.54</v>
      </c>
      <c r="D21" s="4">
        <v>2427.6</v>
      </c>
      <c r="E21" s="4">
        <v>4756.26</v>
      </c>
      <c r="F21" s="4">
        <v>2178.38</v>
      </c>
      <c r="G21" s="4">
        <v>37804.379999999997</v>
      </c>
      <c r="H21" s="4">
        <v>26967.75</v>
      </c>
      <c r="I21" s="4">
        <v>28432.87</v>
      </c>
      <c r="J21" s="4">
        <v>188074.1</v>
      </c>
      <c r="K21" s="4">
        <v>12158.07</v>
      </c>
      <c r="L21" s="4">
        <v>486.95</v>
      </c>
      <c r="M21" s="4">
        <v>49631.86</v>
      </c>
      <c r="N21" s="4">
        <v>3832.67</v>
      </c>
      <c r="O21" s="4">
        <v>2574.7800000000002</v>
      </c>
      <c r="P21" s="4">
        <v>975.1</v>
      </c>
      <c r="Q21" s="4">
        <v>2231.54</v>
      </c>
      <c r="R21" s="4">
        <v>1879.9</v>
      </c>
      <c r="S21" s="4">
        <v>2035.49</v>
      </c>
      <c r="T21" s="4">
        <v>2201.35</v>
      </c>
      <c r="U21" s="4">
        <v>35280.089999999997</v>
      </c>
      <c r="V21" s="4">
        <v>2611.06</v>
      </c>
      <c r="W21" s="4">
        <v>7228.35</v>
      </c>
      <c r="X21" s="4">
        <v>12035.06</v>
      </c>
      <c r="Y21" s="4">
        <v>396.15</v>
      </c>
      <c r="Z21" s="4">
        <v>2145.5100000000002</v>
      </c>
      <c r="AA21" s="4">
        <v>4942</v>
      </c>
      <c r="AB21" s="4">
        <v>3469</v>
      </c>
      <c r="AC21" s="4">
        <v>3510.34</v>
      </c>
      <c r="AD21" s="4">
        <v>7702.95</v>
      </c>
      <c r="AE21" s="4">
        <v>17028.740000000002</v>
      </c>
      <c r="AF21" s="4">
        <v>12777.1</v>
      </c>
      <c r="AG21" s="4">
        <v>1136.76</v>
      </c>
      <c r="AH21" s="4">
        <v>540.6</v>
      </c>
      <c r="AI21" s="4">
        <v>17895.490000000002</v>
      </c>
      <c r="AJ21" s="4">
        <v>9025.64</v>
      </c>
      <c r="AK21" s="4">
        <v>16469.099999999999</v>
      </c>
      <c r="AL21" s="4">
        <v>491.05</v>
      </c>
      <c r="AM21" s="4">
        <v>10319.09</v>
      </c>
      <c r="AN21" s="4">
        <v>4700.8100000000004</v>
      </c>
      <c r="AO21" s="4">
        <v>5382.49</v>
      </c>
      <c r="AP21" s="4">
        <v>8609.2000000000007</v>
      </c>
      <c r="AQ21" s="4">
        <v>4865.37</v>
      </c>
      <c r="AR21" s="4">
        <v>6849.44</v>
      </c>
      <c r="AS21" s="4">
        <v>1432.57</v>
      </c>
      <c r="AT21" s="4">
        <v>18904.68</v>
      </c>
      <c r="AU21" s="4">
        <v>4562.07</v>
      </c>
      <c r="AV21" s="4">
        <v>1508.77</v>
      </c>
      <c r="AW21" s="4">
        <v>1000</v>
      </c>
      <c r="AX21" s="4">
        <v>21232.77</v>
      </c>
      <c r="AY21" s="4">
        <v>6499.96</v>
      </c>
      <c r="AZ21" s="4">
        <v>5787.9</v>
      </c>
      <c r="BA21" s="4">
        <v>2129.81</v>
      </c>
      <c r="BB21" s="4">
        <v>60685.8</v>
      </c>
      <c r="BC21" s="4">
        <v>6044.05</v>
      </c>
      <c r="BD21" s="4">
        <f t="shared" si="1"/>
        <v>701266.36</v>
      </c>
      <c r="BE21" s="4">
        <f t="shared" si="2"/>
        <v>411346.67999999993</v>
      </c>
      <c r="BF21" s="4">
        <f t="shared" si="3"/>
        <v>75523.62000000001</v>
      </c>
      <c r="BG21" s="4">
        <f t="shared" si="4"/>
        <v>214396.06</v>
      </c>
    </row>
    <row r="22" spans="1:59" ht="16.5" customHeight="1" x14ac:dyDescent="0.25">
      <c r="A22" s="53"/>
      <c r="B22" t="s">
        <v>311</v>
      </c>
      <c r="C22" s="4">
        <v>0</v>
      </c>
      <c r="D22" s="4">
        <v>0</v>
      </c>
      <c r="E22" s="4">
        <v>11</v>
      </c>
      <c r="F22" s="4">
        <v>0</v>
      </c>
      <c r="G22" s="4">
        <v>0</v>
      </c>
      <c r="H22" s="4">
        <v>0</v>
      </c>
      <c r="I22" s="4">
        <v>225</v>
      </c>
      <c r="J22" s="4">
        <v>82708.850000000006</v>
      </c>
      <c r="K22" s="4">
        <v>0</v>
      </c>
      <c r="L22" s="4">
        <v>0</v>
      </c>
      <c r="M22" s="4">
        <v>0</v>
      </c>
      <c r="N22" s="4">
        <v>0</v>
      </c>
      <c r="O22" s="4">
        <v>0</v>
      </c>
      <c r="P22" s="4">
        <v>0</v>
      </c>
      <c r="Q22" s="4">
        <v>266.58999999999997</v>
      </c>
      <c r="R22" s="4">
        <v>0</v>
      </c>
      <c r="S22" s="4">
        <v>0</v>
      </c>
      <c r="T22" s="4">
        <v>0</v>
      </c>
      <c r="U22" s="4">
        <v>0</v>
      </c>
      <c r="V22" s="4">
        <v>0</v>
      </c>
      <c r="W22" s="4">
        <v>0</v>
      </c>
      <c r="X22" s="4">
        <v>0</v>
      </c>
      <c r="Y22" s="4">
        <v>0</v>
      </c>
      <c r="Z22" s="4">
        <v>0</v>
      </c>
      <c r="AA22" s="4">
        <v>0</v>
      </c>
      <c r="AB22" s="4">
        <v>0</v>
      </c>
      <c r="AC22" s="4">
        <v>0</v>
      </c>
      <c r="AD22" s="4">
        <v>0</v>
      </c>
      <c r="AE22" s="4">
        <v>0</v>
      </c>
      <c r="AF22" s="4">
        <v>0</v>
      </c>
      <c r="AG22" s="4">
        <v>0</v>
      </c>
      <c r="AH22" s="4">
        <v>0</v>
      </c>
      <c r="AI22" s="4">
        <v>0</v>
      </c>
      <c r="AJ22" s="4">
        <v>0</v>
      </c>
      <c r="AK22" s="4">
        <v>0</v>
      </c>
      <c r="AL22" s="4">
        <v>0</v>
      </c>
      <c r="AM22" s="4">
        <v>150</v>
      </c>
      <c r="AN22" s="4">
        <v>0</v>
      </c>
      <c r="AO22" s="4">
        <v>0</v>
      </c>
      <c r="AP22" s="4">
        <v>0</v>
      </c>
      <c r="AQ22" s="4">
        <v>0</v>
      </c>
      <c r="AR22" s="4">
        <v>0</v>
      </c>
      <c r="AS22" s="4">
        <v>0</v>
      </c>
      <c r="AT22" s="4">
        <v>0</v>
      </c>
      <c r="AU22" s="4">
        <v>0</v>
      </c>
      <c r="AV22" s="4">
        <v>0</v>
      </c>
      <c r="AW22" s="4">
        <v>0</v>
      </c>
      <c r="AX22" s="4">
        <v>10000</v>
      </c>
      <c r="AY22" s="4">
        <v>750</v>
      </c>
      <c r="AZ22" s="4">
        <v>0</v>
      </c>
      <c r="BA22" s="4">
        <v>0</v>
      </c>
      <c r="BB22" s="4">
        <v>2000</v>
      </c>
      <c r="BC22" s="4">
        <v>0</v>
      </c>
      <c r="BD22" s="4">
        <f t="shared" si="1"/>
        <v>96111.44</v>
      </c>
      <c r="BE22" s="4">
        <f t="shared" si="2"/>
        <v>83211.44</v>
      </c>
      <c r="BF22" s="4">
        <f t="shared" si="3"/>
        <v>0</v>
      </c>
      <c r="BG22" s="4">
        <f t="shared" si="4"/>
        <v>12900</v>
      </c>
    </row>
    <row r="23" spans="1:59" ht="16.5" customHeight="1" x14ac:dyDescent="0.25">
      <c r="A23" s="53"/>
      <c r="B23" s="7"/>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31"/>
      <c r="BE23" s="31"/>
      <c r="BF23" s="31"/>
      <c r="BG23" s="31"/>
    </row>
    <row r="24" spans="1:59" ht="16.5" customHeight="1" x14ac:dyDescent="0.25">
      <c r="A24" s="58">
        <v>5</v>
      </c>
      <c r="B24" s="56" t="s">
        <v>305</v>
      </c>
      <c r="C24" s="57">
        <f>C25-C26</f>
        <v>743888.3</v>
      </c>
      <c r="D24" s="57">
        <f t="shared" ref="D24:BC24" si="9">D25-D26</f>
        <v>207851.9</v>
      </c>
      <c r="E24" s="57">
        <f t="shared" si="9"/>
        <v>373566.04</v>
      </c>
      <c r="F24" s="57">
        <f t="shared" si="9"/>
        <v>331156.65000000002</v>
      </c>
      <c r="G24" s="57">
        <f t="shared" si="9"/>
        <v>2920006.75</v>
      </c>
      <c r="H24" s="57">
        <f t="shared" si="9"/>
        <v>2616330.92</v>
      </c>
      <c r="I24" s="57">
        <f t="shared" si="9"/>
        <v>1947605.19</v>
      </c>
      <c r="J24" s="57">
        <f t="shared" si="9"/>
        <v>9430192.5599999987</v>
      </c>
      <c r="K24" s="57">
        <f t="shared" si="9"/>
        <v>1115717.8899999999</v>
      </c>
      <c r="L24" s="57">
        <f t="shared" si="9"/>
        <v>79792.3</v>
      </c>
      <c r="M24" s="57">
        <f t="shared" si="9"/>
        <v>5811506.6200000001</v>
      </c>
      <c r="N24" s="57">
        <f t="shared" si="9"/>
        <v>391413.55000000005</v>
      </c>
      <c r="O24" s="57">
        <f t="shared" si="9"/>
        <v>86488.45</v>
      </c>
      <c r="P24" s="57">
        <f t="shared" si="9"/>
        <v>339471.65</v>
      </c>
      <c r="Q24" s="57">
        <f t="shared" si="9"/>
        <v>259834.25</v>
      </c>
      <c r="R24" s="57">
        <f t="shared" si="9"/>
        <v>486869.3</v>
      </c>
      <c r="S24" s="57">
        <f t="shared" si="9"/>
        <v>186498.35</v>
      </c>
      <c r="T24" s="57">
        <f t="shared" si="9"/>
        <v>345076.20999999996</v>
      </c>
      <c r="U24" s="57">
        <f t="shared" si="9"/>
        <v>2486492.69</v>
      </c>
      <c r="V24" s="57">
        <f t="shared" si="9"/>
        <v>236381.7</v>
      </c>
      <c r="W24" s="57">
        <f t="shared" si="9"/>
        <v>1058420.7599999998</v>
      </c>
      <c r="X24" s="57">
        <f t="shared" si="9"/>
        <v>1235086.6300000001</v>
      </c>
      <c r="Y24" s="57">
        <f t="shared" si="9"/>
        <v>69983.5</v>
      </c>
      <c r="Z24" s="57">
        <f t="shared" si="9"/>
        <v>176265.2</v>
      </c>
      <c r="AA24" s="57">
        <f t="shared" si="9"/>
        <v>424466.64999999997</v>
      </c>
      <c r="AB24" s="57">
        <f t="shared" si="9"/>
        <v>532152.54999999993</v>
      </c>
      <c r="AC24" s="57">
        <f t="shared" si="9"/>
        <v>460800.7</v>
      </c>
      <c r="AD24" s="57">
        <f t="shared" si="9"/>
        <v>383053.95</v>
      </c>
      <c r="AE24" s="57">
        <f t="shared" si="9"/>
        <v>1525833.6700000002</v>
      </c>
      <c r="AF24" s="57">
        <f t="shared" si="9"/>
        <v>2142040.52</v>
      </c>
      <c r="AG24" s="57">
        <f t="shared" si="9"/>
        <v>171883.15</v>
      </c>
      <c r="AH24" s="57">
        <f t="shared" si="9"/>
        <v>157182.6</v>
      </c>
      <c r="AI24" s="57">
        <f t="shared" si="9"/>
        <v>1480538.29</v>
      </c>
      <c r="AJ24" s="57">
        <f t="shared" si="9"/>
        <v>976688.31</v>
      </c>
      <c r="AK24" s="57">
        <f t="shared" si="9"/>
        <v>1065007.76</v>
      </c>
      <c r="AL24" s="57">
        <f t="shared" si="9"/>
        <v>136733.45000000001</v>
      </c>
      <c r="AM24" s="57">
        <f t="shared" si="9"/>
        <v>922797.3</v>
      </c>
      <c r="AN24" s="57">
        <f t="shared" si="9"/>
        <v>478087.16000000003</v>
      </c>
      <c r="AO24" s="57">
        <f t="shared" si="9"/>
        <v>367622.45</v>
      </c>
      <c r="AP24" s="57">
        <f t="shared" si="9"/>
        <v>1005513.7</v>
      </c>
      <c r="AQ24" s="57">
        <f t="shared" si="9"/>
        <v>586163.05000000005</v>
      </c>
      <c r="AR24" s="57">
        <f t="shared" si="9"/>
        <v>933182.63000000012</v>
      </c>
      <c r="AS24" s="57">
        <f t="shared" si="9"/>
        <v>310875.40000000002</v>
      </c>
      <c r="AT24" s="57">
        <f t="shared" si="9"/>
        <v>1778573.7699999998</v>
      </c>
      <c r="AU24" s="57">
        <f t="shared" si="9"/>
        <v>555402.19999999995</v>
      </c>
      <c r="AV24" s="57">
        <f t="shared" si="9"/>
        <v>144298</v>
      </c>
      <c r="AW24" s="57">
        <f t="shared" si="9"/>
        <v>57224.25</v>
      </c>
      <c r="AX24" s="57">
        <f t="shared" si="9"/>
        <v>1364071.25</v>
      </c>
      <c r="AY24" s="57">
        <f t="shared" si="9"/>
        <v>321765.64999999997</v>
      </c>
      <c r="AZ24" s="57">
        <f t="shared" si="9"/>
        <v>815457.5199999999</v>
      </c>
      <c r="BA24" s="57">
        <f t="shared" si="9"/>
        <v>139983.4</v>
      </c>
      <c r="BB24" s="57">
        <f t="shared" si="9"/>
        <v>5762879.2200000007</v>
      </c>
      <c r="BC24" s="57">
        <f t="shared" si="9"/>
        <v>445106.50999999995</v>
      </c>
      <c r="BD24" s="57">
        <f t="shared" si="1"/>
        <v>58381282.420000009</v>
      </c>
      <c r="BE24" s="57">
        <f t="shared" si="2"/>
        <v>30159759.570000004</v>
      </c>
      <c r="BF24" s="57">
        <f t="shared" si="3"/>
        <v>8573551.5800000001</v>
      </c>
      <c r="BG24" s="57">
        <f t="shared" si="4"/>
        <v>19647971.270000003</v>
      </c>
    </row>
    <row r="25" spans="1:59" ht="16.5" customHeight="1" x14ac:dyDescent="0.25">
      <c r="A25" s="53"/>
      <c r="B25" t="s">
        <v>310</v>
      </c>
      <c r="C25" s="4">
        <v>902289.4</v>
      </c>
      <c r="D25" s="4">
        <v>231914.8</v>
      </c>
      <c r="E25" s="4">
        <v>403988.69</v>
      </c>
      <c r="F25" s="4">
        <v>363209.2</v>
      </c>
      <c r="G25" s="4">
        <v>3709834.5</v>
      </c>
      <c r="H25" s="4">
        <v>3967773.72</v>
      </c>
      <c r="I25" s="4">
        <v>2776879.78</v>
      </c>
      <c r="J25" s="4">
        <v>22302588.199999999</v>
      </c>
      <c r="K25" s="4">
        <v>1689054.64</v>
      </c>
      <c r="L25" s="4">
        <v>196337.44</v>
      </c>
      <c r="M25" s="4">
        <v>6216929.6500000004</v>
      </c>
      <c r="N25" s="4">
        <v>408224.65</v>
      </c>
      <c r="O25" s="4">
        <v>87968.45</v>
      </c>
      <c r="P25" s="4">
        <v>347202.4</v>
      </c>
      <c r="Q25" s="4">
        <v>295548.45</v>
      </c>
      <c r="R25" s="4">
        <v>489485.35</v>
      </c>
      <c r="S25" s="4">
        <v>197585.25</v>
      </c>
      <c r="T25" s="4">
        <v>672040.71</v>
      </c>
      <c r="U25" s="4">
        <v>3259946.53</v>
      </c>
      <c r="V25" s="4">
        <v>238420.95</v>
      </c>
      <c r="W25" s="4">
        <v>1928610.91</v>
      </c>
      <c r="X25" s="4">
        <v>2486444.4300000002</v>
      </c>
      <c r="Y25" s="4">
        <v>71362.5</v>
      </c>
      <c r="Z25" s="4">
        <v>179695.2</v>
      </c>
      <c r="AA25" s="4">
        <v>442332.85</v>
      </c>
      <c r="AB25" s="4">
        <v>541169.19999999995</v>
      </c>
      <c r="AC25" s="4">
        <v>464372.7</v>
      </c>
      <c r="AD25" s="4">
        <v>389014.95</v>
      </c>
      <c r="AE25" s="4">
        <v>1810025.87</v>
      </c>
      <c r="AF25" s="4">
        <v>2587558.8199999998</v>
      </c>
      <c r="AG25" s="4">
        <v>174006.15</v>
      </c>
      <c r="AH25" s="4">
        <v>158903.1</v>
      </c>
      <c r="AI25" s="4">
        <v>2213910.29</v>
      </c>
      <c r="AJ25" s="4">
        <v>1283538.05</v>
      </c>
      <c r="AK25" s="4">
        <v>1459217.26</v>
      </c>
      <c r="AL25" s="4">
        <v>138288.70000000001</v>
      </c>
      <c r="AM25" s="4">
        <v>1414145.55</v>
      </c>
      <c r="AN25" s="4">
        <v>1441505.29</v>
      </c>
      <c r="AO25" s="4">
        <v>464736.45</v>
      </c>
      <c r="AP25" s="4">
        <v>1785115.95</v>
      </c>
      <c r="AQ25" s="4">
        <v>628819.15</v>
      </c>
      <c r="AR25" s="4">
        <v>1202528.58</v>
      </c>
      <c r="AS25" s="4">
        <v>337151.15</v>
      </c>
      <c r="AT25" s="4">
        <v>3208458.09</v>
      </c>
      <c r="AU25" s="4">
        <v>596335.35</v>
      </c>
      <c r="AV25" s="4">
        <v>147435.5</v>
      </c>
      <c r="AW25" s="4">
        <v>57292.2</v>
      </c>
      <c r="AX25" s="4">
        <v>1724940.5</v>
      </c>
      <c r="AY25" s="4">
        <v>324832.05</v>
      </c>
      <c r="AZ25" s="4">
        <v>1733908.18</v>
      </c>
      <c r="BA25" s="4">
        <v>141588.65</v>
      </c>
      <c r="BB25" s="4">
        <v>13823990.630000001</v>
      </c>
      <c r="BC25" s="4">
        <v>560628.71</v>
      </c>
      <c r="BD25" s="4">
        <f t="shared" si="1"/>
        <v>94679085.720000029</v>
      </c>
      <c r="BE25" s="4">
        <f t="shared" si="2"/>
        <v>48518801.810000002</v>
      </c>
      <c r="BF25" s="4">
        <f t="shared" si="3"/>
        <v>11471917.630000001</v>
      </c>
      <c r="BG25" s="4">
        <f t="shared" si="4"/>
        <v>34688366.280000001</v>
      </c>
    </row>
    <row r="26" spans="1:59" ht="16.5" customHeight="1" x14ac:dyDescent="0.25">
      <c r="A26" s="53"/>
      <c r="B26" t="s">
        <v>311</v>
      </c>
      <c r="C26" s="4">
        <v>158401.1</v>
      </c>
      <c r="D26" s="4">
        <v>24062.9</v>
      </c>
      <c r="E26" s="4">
        <v>30422.65</v>
      </c>
      <c r="F26" s="4">
        <v>32052.55</v>
      </c>
      <c r="G26" s="4">
        <v>789827.75</v>
      </c>
      <c r="H26" s="4">
        <v>1351442.8</v>
      </c>
      <c r="I26" s="4">
        <v>829274.59</v>
      </c>
      <c r="J26" s="4">
        <v>12872395.640000001</v>
      </c>
      <c r="K26" s="4">
        <v>573336.75</v>
      </c>
      <c r="L26" s="4">
        <v>116545.14</v>
      </c>
      <c r="M26" s="4">
        <v>405423.03</v>
      </c>
      <c r="N26" s="4">
        <v>16811.099999999999</v>
      </c>
      <c r="O26" s="4">
        <v>1480</v>
      </c>
      <c r="P26" s="4">
        <v>7730.75</v>
      </c>
      <c r="Q26" s="4">
        <v>35714.199999999997</v>
      </c>
      <c r="R26" s="4">
        <v>2616.0500000000002</v>
      </c>
      <c r="S26" s="4">
        <v>11086.9</v>
      </c>
      <c r="T26" s="4">
        <v>326964.5</v>
      </c>
      <c r="U26" s="4">
        <v>773453.84</v>
      </c>
      <c r="V26" s="4">
        <v>2039.25</v>
      </c>
      <c r="W26" s="4">
        <v>870190.15</v>
      </c>
      <c r="X26" s="4">
        <v>1251357.8</v>
      </c>
      <c r="Y26" s="4">
        <v>1379</v>
      </c>
      <c r="Z26" s="4">
        <v>3430</v>
      </c>
      <c r="AA26" s="4">
        <v>17866.2</v>
      </c>
      <c r="AB26" s="4">
        <v>9016.65</v>
      </c>
      <c r="AC26" s="4">
        <v>3572</v>
      </c>
      <c r="AD26" s="4">
        <v>5961</v>
      </c>
      <c r="AE26" s="4">
        <v>284192.2</v>
      </c>
      <c r="AF26" s="4">
        <v>445518.3</v>
      </c>
      <c r="AG26" s="4">
        <v>2123</v>
      </c>
      <c r="AH26" s="4">
        <v>1720.5</v>
      </c>
      <c r="AI26" s="4">
        <v>733372</v>
      </c>
      <c r="AJ26" s="4">
        <v>306849.74</v>
      </c>
      <c r="AK26" s="4">
        <v>394209.5</v>
      </c>
      <c r="AL26" s="4">
        <v>1555.25</v>
      </c>
      <c r="AM26" s="4">
        <v>491348.25</v>
      </c>
      <c r="AN26" s="4">
        <v>963418.13</v>
      </c>
      <c r="AO26" s="4">
        <v>97114</v>
      </c>
      <c r="AP26" s="4">
        <v>779602.25</v>
      </c>
      <c r="AQ26" s="4">
        <v>42656.1</v>
      </c>
      <c r="AR26" s="4">
        <v>269345.95</v>
      </c>
      <c r="AS26" s="4">
        <v>26275.75</v>
      </c>
      <c r="AT26" s="4">
        <v>1429884.32</v>
      </c>
      <c r="AU26" s="4">
        <v>40933.15</v>
      </c>
      <c r="AV26" s="4">
        <v>3137.5</v>
      </c>
      <c r="AW26" s="4">
        <v>67.95</v>
      </c>
      <c r="AX26" s="4">
        <v>360869.25</v>
      </c>
      <c r="AY26" s="4">
        <v>3066.4</v>
      </c>
      <c r="AZ26" s="4">
        <v>918450.66</v>
      </c>
      <c r="BA26" s="4">
        <v>1605.25</v>
      </c>
      <c r="BB26" s="4">
        <v>8061111.4100000001</v>
      </c>
      <c r="BC26" s="4">
        <v>115522.2</v>
      </c>
      <c r="BD26" s="4">
        <f t="shared" si="1"/>
        <v>36297803.299999997</v>
      </c>
      <c r="BE26" s="4">
        <f t="shared" si="2"/>
        <v>18359042.240000002</v>
      </c>
      <c r="BF26" s="4">
        <f t="shared" si="3"/>
        <v>2898366.0500000003</v>
      </c>
      <c r="BG26" s="4">
        <f t="shared" si="4"/>
        <v>15040395.010000002</v>
      </c>
    </row>
    <row r="27" spans="1:59" ht="16.5" customHeight="1" x14ac:dyDescent="0.25">
      <c r="A27" s="53"/>
      <c r="B27" s="7"/>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31"/>
      <c r="BE27" s="31"/>
      <c r="BF27" s="31"/>
      <c r="BG27" s="31"/>
    </row>
    <row r="28" spans="1:59" ht="16.5" customHeight="1" x14ac:dyDescent="0.25">
      <c r="A28" s="58">
        <v>6</v>
      </c>
      <c r="B28" s="56" t="s">
        <v>306</v>
      </c>
      <c r="C28" s="57">
        <f>C29-C30</f>
        <v>249719.37</v>
      </c>
      <c r="D28" s="57">
        <f t="shared" ref="D28:BC28" si="10">D29-D30</f>
        <v>62157.449999999983</v>
      </c>
      <c r="E28" s="57">
        <f t="shared" si="10"/>
        <v>35684.6</v>
      </c>
      <c r="F28" s="57">
        <f t="shared" si="10"/>
        <v>65264.6</v>
      </c>
      <c r="G28" s="57">
        <f t="shared" si="10"/>
        <v>539735.77</v>
      </c>
      <c r="H28" s="57">
        <f t="shared" si="10"/>
        <v>695270.04</v>
      </c>
      <c r="I28" s="57">
        <f t="shared" si="10"/>
        <v>451203.1</v>
      </c>
      <c r="J28" s="57">
        <f t="shared" si="10"/>
        <v>5397569.5600000005</v>
      </c>
      <c r="K28" s="57">
        <f t="shared" si="10"/>
        <v>241020.97000000003</v>
      </c>
      <c r="L28" s="57">
        <f t="shared" si="10"/>
        <v>22688.01</v>
      </c>
      <c r="M28" s="57">
        <f t="shared" si="10"/>
        <v>1353398.85</v>
      </c>
      <c r="N28" s="57">
        <f t="shared" si="10"/>
        <v>34014.25</v>
      </c>
      <c r="O28" s="57">
        <f t="shared" si="10"/>
        <v>8507.9500000000007</v>
      </c>
      <c r="P28" s="57">
        <f t="shared" si="10"/>
        <v>79512.95</v>
      </c>
      <c r="Q28" s="57">
        <f t="shared" si="10"/>
        <v>23407.949999999997</v>
      </c>
      <c r="R28" s="57">
        <f t="shared" si="10"/>
        <v>29428.450000000004</v>
      </c>
      <c r="S28" s="57">
        <f t="shared" si="10"/>
        <v>49936.070000000007</v>
      </c>
      <c r="T28" s="57">
        <f t="shared" si="10"/>
        <v>135300.40000000002</v>
      </c>
      <c r="U28" s="57">
        <f t="shared" si="10"/>
        <v>706336.48</v>
      </c>
      <c r="V28" s="57">
        <f t="shared" si="10"/>
        <v>67683.55</v>
      </c>
      <c r="W28" s="57">
        <f t="shared" si="10"/>
        <v>304397.19</v>
      </c>
      <c r="X28" s="57">
        <f t="shared" si="10"/>
        <v>446874.45999999996</v>
      </c>
      <c r="Y28" s="57">
        <f t="shared" si="10"/>
        <v>33755.35</v>
      </c>
      <c r="Z28" s="57">
        <f t="shared" si="10"/>
        <v>11593.099999999999</v>
      </c>
      <c r="AA28" s="57">
        <f t="shared" si="10"/>
        <v>230188.94999999998</v>
      </c>
      <c r="AB28" s="57">
        <f t="shared" si="10"/>
        <v>161213.07999999999</v>
      </c>
      <c r="AC28" s="57">
        <f t="shared" si="10"/>
        <v>164714.15</v>
      </c>
      <c r="AD28" s="57">
        <f t="shared" si="10"/>
        <v>181765.21000000002</v>
      </c>
      <c r="AE28" s="57">
        <f t="shared" si="10"/>
        <v>678090.48</v>
      </c>
      <c r="AF28" s="57">
        <f t="shared" si="10"/>
        <v>755665.05</v>
      </c>
      <c r="AG28" s="57">
        <f t="shared" si="10"/>
        <v>15509.100000000006</v>
      </c>
      <c r="AH28" s="57">
        <f t="shared" si="10"/>
        <v>33009.199999999997</v>
      </c>
      <c r="AI28" s="57">
        <f t="shared" si="10"/>
        <v>326436.75</v>
      </c>
      <c r="AJ28" s="57">
        <f t="shared" si="10"/>
        <v>236358.08000000002</v>
      </c>
      <c r="AK28" s="57">
        <f t="shared" si="10"/>
        <v>329056.73</v>
      </c>
      <c r="AL28" s="57">
        <f t="shared" si="10"/>
        <v>31951</v>
      </c>
      <c r="AM28" s="57">
        <f t="shared" si="10"/>
        <v>742277.04</v>
      </c>
      <c r="AN28" s="57">
        <f t="shared" si="10"/>
        <v>153295.45000000001</v>
      </c>
      <c r="AO28" s="57">
        <f t="shared" si="10"/>
        <v>149131.13</v>
      </c>
      <c r="AP28" s="57">
        <f t="shared" si="10"/>
        <v>234384.09999999998</v>
      </c>
      <c r="AQ28" s="57">
        <f t="shared" si="10"/>
        <v>229527.09000000003</v>
      </c>
      <c r="AR28" s="57">
        <f t="shared" si="10"/>
        <v>193031</v>
      </c>
      <c r="AS28" s="57">
        <f t="shared" si="10"/>
        <v>77034.100000000006</v>
      </c>
      <c r="AT28" s="57">
        <f t="shared" si="10"/>
        <v>559201.73</v>
      </c>
      <c r="AU28" s="57">
        <f t="shared" si="10"/>
        <v>241104.03000000003</v>
      </c>
      <c r="AV28" s="57">
        <f t="shared" si="10"/>
        <v>2744.3500000000004</v>
      </c>
      <c r="AW28" s="57">
        <f t="shared" si="10"/>
        <v>29830.75</v>
      </c>
      <c r="AX28" s="57">
        <f t="shared" si="10"/>
        <v>527895.44999999995</v>
      </c>
      <c r="AY28" s="57">
        <f t="shared" si="10"/>
        <v>66842.75</v>
      </c>
      <c r="AZ28" s="57">
        <f t="shared" si="10"/>
        <v>515288.48000000004</v>
      </c>
      <c r="BA28" s="57">
        <f t="shared" si="10"/>
        <v>4884.3499999999985</v>
      </c>
      <c r="BB28" s="57">
        <f t="shared" si="10"/>
        <v>2563901.0699999998</v>
      </c>
      <c r="BC28" s="57">
        <f t="shared" si="10"/>
        <v>148436.70000000001</v>
      </c>
      <c r="BD28" s="57">
        <f t="shared" si="1"/>
        <v>20627227.819999997</v>
      </c>
      <c r="BE28" s="57">
        <f t="shared" si="2"/>
        <v>10180156.819999998</v>
      </c>
      <c r="BF28" s="57">
        <f t="shared" si="3"/>
        <v>3084458.8699999996</v>
      </c>
      <c r="BG28" s="57">
        <f t="shared" si="4"/>
        <v>7362612.1299999999</v>
      </c>
    </row>
    <row r="29" spans="1:59" ht="16.5" customHeight="1" x14ac:dyDescent="0.25">
      <c r="A29" s="53"/>
      <c r="B29" t="s">
        <v>310</v>
      </c>
      <c r="C29" s="4">
        <v>328958.07</v>
      </c>
      <c r="D29" s="4">
        <v>134194.79999999999</v>
      </c>
      <c r="E29" s="4">
        <v>55054.6</v>
      </c>
      <c r="F29" s="4">
        <v>96874.2</v>
      </c>
      <c r="G29" s="4">
        <v>797504.17</v>
      </c>
      <c r="H29" s="4">
        <v>990007.49</v>
      </c>
      <c r="I29" s="4">
        <v>840972.35</v>
      </c>
      <c r="J29" s="4">
        <v>7106265.0300000003</v>
      </c>
      <c r="K29" s="4">
        <v>533477.17000000004</v>
      </c>
      <c r="L29" s="4">
        <v>28664.01</v>
      </c>
      <c r="M29" s="4">
        <v>2023539.1</v>
      </c>
      <c r="N29" s="4">
        <v>84758.25</v>
      </c>
      <c r="O29" s="4">
        <v>12923.95</v>
      </c>
      <c r="P29" s="4">
        <v>151041.9</v>
      </c>
      <c r="Q29" s="4">
        <v>45889.45</v>
      </c>
      <c r="R29" s="4">
        <v>66482.8</v>
      </c>
      <c r="S29" s="4">
        <v>67586.070000000007</v>
      </c>
      <c r="T29" s="4">
        <v>223805.95</v>
      </c>
      <c r="U29" s="4">
        <v>912820.48</v>
      </c>
      <c r="V29" s="4">
        <v>82222.55</v>
      </c>
      <c r="W29" s="4">
        <v>343740.54</v>
      </c>
      <c r="X29" s="4">
        <v>535424.11</v>
      </c>
      <c r="Y29" s="4">
        <v>32920.85</v>
      </c>
      <c r="Z29" s="4">
        <v>48186.35</v>
      </c>
      <c r="AA29" s="4">
        <v>286171.34999999998</v>
      </c>
      <c r="AB29" s="4">
        <v>401839.93</v>
      </c>
      <c r="AC29" s="4">
        <v>268625</v>
      </c>
      <c r="AD29" s="4">
        <v>272589.21000000002</v>
      </c>
      <c r="AE29" s="4">
        <v>835227.88</v>
      </c>
      <c r="AF29" s="4">
        <v>1043261.65</v>
      </c>
      <c r="AG29" s="4">
        <v>102588.3</v>
      </c>
      <c r="AH29" s="4">
        <v>44849.2</v>
      </c>
      <c r="AI29" s="4">
        <v>487047.2</v>
      </c>
      <c r="AJ29" s="4">
        <v>309346.53000000003</v>
      </c>
      <c r="AK29" s="4">
        <v>383548.62</v>
      </c>
      <c r="AL29" s="4">
        <v>41979</v>
      </c>
      <c r="AM29" s="4">
        <v>775383.12</v>
      </c>
      <c r="AN29" s="4">
        <v>225301.35</v>
      </c>
      <c r="AO29" s="4">
        <v>189973.63</v>
      </c>
      <c r="AP29" s="4">
        <v>412657.3</v>
      </c>
      <c r="AQ29" s="4">
        <v>310601.77</v>
      </c>
      <c r="AR29" s="4">
        <v>275725.75</v>
      </c>
      <c r="AS29" s="4">
        <v>92338.1</v>
      </c>
      <c r="AT29" s="4">
        <v>724647.13</v>
      </c>
      <c r="AU29" s="4">
        <v>279101.40000000002</v>
      </c>
      <c r="AV29" s="4">
        <v>13221.35</v>
      </c>
      <c r="AW29" s="4">
        <v>29848.05</v>
      </c>
      <c r="AX29" s="4">
        <v>681356.25</v>
      </c>
      <c r="AY29" s="4">
        <v>91435.95</v>
      </c>
      <c r="AZ29" s="4">
        <v>638822.9</v>
      </c>
      <c r="BA29" s="4">
        <v>45775.9</v>
      </c>
      <c r="BB29" s="4">
        <v>3159048.86</v>
      </c>
      <c r="BC29" s="4">
        <v>176726.7</v>
      </c>
      <c r="BD29" s="4">
        <f t="shared" si="1"/>
        <v>28142353.619999997</v>
      </c>
      <c r="BE29" s="4">
        <f t="shared" si="2"/>
        <v>14500819.84</v>
      </c>
      <c r="BF29" s="4">
        <f t="shared" si="3"/>
        <v>4297646.92</v>
      </c>
      <c r="BG29" s="4">
        <f t="shared" si="4"/>
        <v>9343886.8599999994</v>
      </c>
    </row>
    <row r="30" spans="1:59" ht="16.5" customHeight="1" x14ac:dyDescent="0.25">
      <c r="A30" s="53"/>
      <c r="B30" t="s">
        <v>311</v>
      </c>
      <c r="C30" s="4">
        <v>79238.7</v>
      </c>
      <c r="D30" s="4">
        <v>72037.350000000006</v>
      </c>
      <c r="E30" s="4">
        <v>19370</v>
      </c>
      <c r="F30" s="4">
        <v>31609.599999999999</v>
      </c>
      <c r="G30" s="4">
        <v>257768.4</v>
      </c>
      <c r="H30" s="4">
        <v>294737.45</v>
      </c>
      <c r="I30" s="4">
        <v>389769.25</v>
      </c>
      <c r="J30" s="4">
        <v>1708695.47</v>
      </c>
      <c r="K30" s="4">
        <v>292456.2</v>
      </c>
      <c r="L30" s="4">
        <v>5976</v>
      </c>
      <c r="M30" s="4">
        <v>670140.25</v>
      </c>
      <c r="N30" s="4">
        <v>50744</v>
      </c>
      <c r="O30" s="4">
        <v>4416</v>
      </c>
      <c r="P30" s="4">
        <v>71528.95</v>
      </c>
      <c r="Q30" s="4">
        <v>22481.5</v>
      </c>
      <c r="R30" s="4">
        <v>37054.35</v>
      </c>
      <c r="S30" s="4">
        <v>17650</v>
      </c>
      <c r="T30" s="4">
        <v>88505.55</v>
      </c>
      <c r="U30" s="4">
        <v>206484</v>
      </c>
      <c r="V30" s="4">
        <v>14539</v>
      </c>
      <c r="W30" s="4">
        <v>39343.35</v>
      </c>
      <c r="X30" s="4">
        <v>88549.65</v>
      </c>
      <c r="Y30" s="4">
        <v>-834.5</v>
      </c>
      <c r="Z30" s="4">
        <v>36593.25</v>
      </c>
      <c r="AA30" s="4">
        <v>55982.400000000001</v>
      </c>
      <c r="AB30" s="4">
        <v>240626.85</v>
      </c>
      <c r="AC30" s="4">
        <v>103910.85</v>
      </c>
      <c r="AD30" s="4">
        <v>90824</v>
      </c>
      <c r="AE30" s="4">
        <v>157137.4</v>
      </c>
      <c r="AF30" s="4">
        <v>287596.59999999998</v>
      </c>
      <c r="AG30" s="4">
        <v>87079.2</v>
      </c>
      <c r="AH30" s="4">
        <v>11840</v>
      </c>
      <c r="AI30" s="4">
        <v>160610.45000000001</v>
      </c>
      <c r="AJ30" s="4">
        <v>72988.45</v>
      </c>
      <c r="AK30" s="4">
        <v>54491.89</v>
      </c>
      <c r="AL30" s="4">
        <v>10028</v>
      </c>
      <c r="AM30" s="4">
        <v>33106.080000000002</v>
      </c>
      <c r="AN30" s="4">
        <v>72005.899999999994</v>
      </c>
      <c r="AO30" s="4">
        <v>40842.5</v>
      </c>
      <c r="AP30" s="4">
        <v>178273.2</v>
      </c>
      <c r="AQ30" s="4">
        <v>81074.679999999993</v>
      </c>
      <c r="AR30" s="4">
        <v>82694.75</v>
      </c>
      <c r="AS30" s="4">
        <v>15304</v>
      </c>
      <c r="AT30" s="4">
        <v>165445.4</v>
      </c>
      <c r="AU30" s="4">
        <v>37997.370000000003</v>
      </c>
      <c r="AV30" s="4">
        <v>10477</v>
      </c>
      <c r="AW30" s="4">
        <v>17.3</v>
      </c>
      <c r="AX30" s="4">
        <v>153460.79999999999</v>
      </c>
      <c r="AY30" s="4">
        <v>24593.200000000001</v>
      </c>
      <c r="AZ30" s="4">
        <v>123534.42</v>
      </c>
      <c r="BA30" s="4">
        <v>40891.550000000003</v>
      </c>
      <c r="BB30" s="4">
        <v>595147.79</v>
      </c>
      <c r="BC30" s="4">
        <v>28290</v>
      </c>
      <c r="BD30" s="4">
        <f t="shared" si="1"/>
        <v>7515125.7999999998</v>
      </c>
      <c r="BE30" s="4">
        <f t="shared" si="2"/>
        <v>4320663.0199999996</v>
      </c>
      <c r="BF30" s="4">
        <f t="shared" si="3"/>
        <v>1213188.05</v>
      </c>
      <c r="BG30" s="4">
        <f t="shared" si="4"/>
        <v>1981274.73</v>
      </c>
    </row>
    <row r="31" spans="1:59" ht="16.5" customHeight="1" x14ac:dyDescent="0.25">
      <c r="A31" s="53"/>
      <c r="B31" s="7"/>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31"/>
      <c r="BE31" s="31"/>
      <c r="BF31" s="31"/>
      <c r="BG31" s="31"/>
    </row>
    <row r="32" spans="1:59" ht="16.5" customHeight="1" x14ac:dyDescent="0.25">
      <c r="A32" s="58">
        <v>7</v>
      </c>
      <c r="B32" s="56" t="s">
        <v>307</v>
      </c>
      <c r="C32" s="57">
        <f>C33-C34</f>
        <v>-177793.18000000005</v>
      </c>
      <c r="D32" s="57">
        <f t="shared" ref="D32:BC32" si="11">D33-D34</f>
        <v>-7784.1700000000128</v>
      </c>
      <c r="E32" s="57">
        <f t="shared" si="11"/>
        <v>6679.1800000000221</v>
      </c>
      <c r="F32" s="57">
        <f t="shared" si="11"/>
        <v>-69113.75</v>
      </c>
      <c r="G32" s="57">
        <f t="shared" si="11"/>
        <v>-319112.13000000012</v>
      </c>
      <c r="H32" s="57">
        <f t="shared" si="11"/>
        <v>-156089.24999999988</v>
      </c>
      <c r="I32" s="57">
        <f t="shared" si="11"/>
        <v>-330718.08000000007</v>
      </c>
      <c r="J32" s="57">
        <f t="shared" si="11"/>
        <v>-606310.25</v>
      </c>
      <c r="K32" s="57">
        <f t="shared" si="11"/>
        <v>-81149.810000000056</v>
      </c>
      <c r="L32" s="57">
        <f t="shared" si="11"/>
        <v>-1338.8099999999977</v>
      </c>
      <c r="M32" s="57">
        <f t="shared" si="11"/>
        <v>-812595.26999999955</v>
      </c>
      <c r="N32" s="57">
        <f t="shared" si="11"/>
        <v>-44390.19</v>
      </c>
      <c r="O32" s="57">
        <f t="shared" si="11"/>
        <v>4430.3999999999942</v>
      </c>
      <c r="P32" s="57">
        <f t="shared" si="11"/>
        <v>-4664.1199999999953</v>
      </c>
      <c r="Q32" s="57">
        <f t="shared" si="11"/>
        <v>-78688</v>
      </c>
      <c r="R32" s="57">
        <f t="shared" si="11"/>
        <v>-200167.83999999997</v>
      </c>
      <c r="S32" s="57">
        <f t="shared" si="11"/>
        <v>-15072.640000000014</v>
      </c>
      <c r="T32" s="57">
        <f t="shared" si="11"/>
        <v>49565.989999999962</v>
      </c>
      <c r="U32" s="57">
        <f t="shared" si="11"/>
        <v>-285253.61</v>
      </c>
      <c r="V32" s="57">
        <f t="shared" si="11"/>
        <v>-10951.949999999983</v>
      </c>
      <c r="W32" s="57">
        <f t="shared" si="11"/>
        <v>-103756.5</v>
      </c>
      <c r="X32" s="57">
        <f t="shared" si="11"/>
        <v>-134989.69999999995</v>
      </c>
      <c r="Y32" s="57">
        <f t="shared" si="11"/>
        <v>11004.100000000006</v>
      </c>
      <c r="Z32" s="57">
        <f t="shared" si="11"/>
        <v>-4593.3000000000029</v>
      </c>
      <c r="AA32" s="57">
        <f t="shared" si="11"/>
        <v>108105.90000000002</v>
      </c>
      <c r="AB32" s="57">
        <f t="shared" si="11"/>
        <v>-39520.539999999979</v>
      </c>
      <c r="AC32" s="57">
        <f t="shared" si="11"/>
        <v>108491.46000000002</v>
      </c>
      <c r="AD32" s="57">
        <f t="shared" si="11"/>
        <v>20327.77999999997</v>
      </c>
      <c r="AE32" s="57">
        <f t="shared" si="11"/>
        <v>-44671.279999999795</v>
      </c>
      <c r="AF32" s="57">
        <f t="shared" si="11"/>
        <v>-817335.67999999993</v>
      </c>
      <c r="AG32" s="57">
        <f t="shared" si="11"/>
        <v>-5081.5899999999965</v>
      </c>
      <c r="AH32" s="57">
        <f t="shared" si="11"/>
        <v>5441.0500000000029</v>
      </c>
      <c r="AI32" s="57">
        <f t="shared" si="11"/>
        <v>-5536.0499999999302</v>
      </c>
      <c r="AJ32" s="57">
        <f t="shared" si="11"/>
        <v>11469.890000000014</v>
      </c>
      <c r="AK32" s="57">
        <f t="shared" si="11"/>
        <v>28297.719999999972</v>
      </c>
      <c r="AL32" s="57">
        <f t="shared" si="11"/>
        <v>18584.339999999997</v>
      </c>
      <c r="AM32" s="57">
        <f t="shared" si="11"/>
        <v>-36334.530000000028</v>
      </c>
      <c r="AN32" s="57">
        <f t="shared" si="11"/>
        <v>-26782.739999999991</v>
      </c>
      <c r="AO32" s="57">
        <f t="shared" si="11"/>
        <v>-19565.440000000002</v>
      </c>
      <c r="AP32" s="57">
        <f t="shared" si="11"/>
        <v>-12910.150000000023</v>
      </c>
      <c r="AQ32" s="57">
        <f t="shared" si="11"/>
        <v>39227.360000000044</v>
      </c>
      <c r="AR32" s="57">
        <f t="shared" si="11"/>
        <v>-39246.849999999977</v>
      </c>
      <c r="AS32" s="57">
        <f t="shared" si="11"/>
        <v>-14552.640000000014</v>
      </c>
      <c r="AT32" s="57">
        <f t="shared" si="11"/>
        <v>-120593.11999999988</v>
      </c>
      <c r="AU32" s="57">
        <f t="shared" si="11"/>
        <v>-7250.0599999999977</v>
      </c>
      <c r="AV32" s="57">
        <f t="shared" si="11"/>
        <v>-14616.080000000002</v>
      </c>
      <c r="AW32" s="57">
        <f t="shared" si="11"/>
        <v>-47880.960000000006</v>
      </c>
      <c r="AX32" s="57">
        <f t="shared" si="11"/>
        <v>31741</v>
      </c>
      <c r="AY32" s="57">
        <f t="shared" si="11"/>
        <v>-125854.30000000002</v>
      </c>
      <c r="AZ32" s="57">
        <f t="shared" si="11"/>
        <v>-45454.719999999972</v>
      </c>
      <c r="BA32" s="57">
        <f t="shared" si="11"/>
        <v>13236.649999999994</v>
      </c>
      <c r="BB32" s="57">
        <f t="shared" si="11"/>
        <v>72992.169999999925</v>
      </c>
      <c r="BC32" s="57">
        <f t="shared" si="11"/>
        <v>-44249.78</v>
      </c>
      <c r="BD32" s="57">
        <f t="shared" si="1"/>
        <v>-4382374.0699999984</v>
      </c>
      <c r="BE32" s="57">
        <f t="shared" si="2"/>
        <v>-3129565.53</v>
      </c>
      <c r="BF32" s="57">
        <f t="shared" si="3"/>
        <v>-907530.24999999953</v>
      </c>
      <c r="BG32" s="57">
        <f t="shared" si="4"/>
        <v>-345278.28999999992</v>
      </c>
    </row>
    <row r="33" spans="1:59" ht="16.5" customHeight="1" x14ac:dyDescent="0.25">
      <c r="A33" s="53"/>
      <c r="B33" t="s">
        <v>310</v>
      </c>
      <c r="C33" s="4">
        <v>426046.71999999997</v>
      </c>
      <c r="D33" s="4">
        <v>170810.33</v>
      </c>
      <c r="E33" s="4">
        <v>159834.73000000001</v>
      </c>
      <c r="F33" s="4">
        <v>84370.85</v>
      </c>
      <c r="G33" s="4">
        <v>1257710.98</v>
      </c>
      <c r="H33" s="4">
        <v>1030021.18</v>
      </c>
      <c r="I33" s="4">
        <v>864384.99</v>
      </c>
      <c r="J33" s="4">
        <v>9636575.9800000004</v>
      </c>
      <c r="K33" s="4">
        <v>666867.84</v>
      </c>
      <c r="L33" s="4">
        <v>42756.79</v>
      </c>
      <c r="M33" s="4">
        <v>3220093.74</v>
      </c>
      <c r="N33" s="4">
        <v>106135.65</v>
      </c>
      <c r="O33" s="4">
        <v>80997.649999999994</v>
      </c>
      <c r="P33" s="4">
        <v>152713.48000000001</v>
      </c>
      <c r="Q33" s="4">
        <v>284096.07</v>
      </c>
      <c r="R33" s="4">
        <v>208832.51</v>
      </c>
      <c r="S33" s="4">
        <v>135854.46</v>
      </c>
      <c r="T33" s="4">
        <v>286771.15999999997</v>
      </c>
      <c r="U33" s="4">
        <v>638351.79</v>
      </c>
      <c r="V33" s="4">
        <v>174645.7</v>
      </c>
      <c r="W33" s="4">
        <v>703520.35</v>
      </c>
      <c r="X33" s="4">
        <v>850880.9</v>
      </c>
      <c r="Y33" s="4">
        <v>79548.850000000006</v>
      </c>
      <c r="Z33" s="4">
        <v>91804.7</v>
      </c>
      <c r="AA33" s="4">
        <v>468824.4</v>
      </c>
      <c r="AB33" s="4">
        <v>391904.76</v>
      </c>
      <c r="AC33" s="4">
        <v>547289.79</v>
      </c>
      <c r="AD33" s="4">
        <v>289601.18</v>
      </c>
      <c r="AE33" s="4">
        <v>1247732.1100000001</v>
      </c>
      <c r="AF33" s="4">
        <v>1513166.47</v>
      </c>
      <c r="AG33" s="4">
        <v>170179.66</v>
      </c>
      <c r="AH33" s="4">
        <v>124410.95</v>
      </c>
      <c r="AI33" s="4">
        <v>942690.9</v>
      </c>
      <c r="AJ33" s="4">
        <v>621646.77</v>
      </c>
      <c r="AK33" s="4">
        <v>588905.77</v>
      </c>
      <c r="AL33" s="4">
        <v>87226.19</v>
      </c>
      <c r="AM33" s="4">
        <v>855144.03</v>
      </c>
      <c r="AN33" s="4">
        <v>319031.81</v>
      </c>
      <c r="AO33" s="4">
        <v>297045.08</v>
      </c>
      <c r="AP33" s="4">
        <v>598043.94999999995</v>
      </c>
      <c r="AQ33" s="4">
        <v>346690.33</v>
      </c>
      <c r="AR33" s="4">
        <v>629069.15</v>
      </c>
      <c r="AS33" s="4">
        <v>145524.03</v>
      </c>
      <c r="AT33" s="4">
        <v>1065376.08</v>
      </c>
      <c r="AU33" s="4">
        <v>348408.65</v>
      </c>
      <c r="AV33" s="4">
        <v>87892.61</v>
      </c>
      <c r="AW33" s="4">
        <v>68843.789999999994</v>
      </c>
      <c r="AX33" s="4">
        <v>810385.55</v>
      </c>
      <c r="AY33" s="4">
        <v>165274.03</v>
      </c>
      <c r="AZ33" s="4">
        <v>656284.78</v>
      </c>
      <c r="BA33" s="4">
        <v>88437.15</v>
      </c>
      <c r="BB33" s="4">
        <v>3776810.53</v>
      </c>
      <c r="BC33" s="4">
        <v>223391.27</v>
      </c>
      <c r="BD33" s="4">
        <f t="shared" si="1"/>
        <v>38828859.169999994</v>
      </c>
      <c r="BE33" s="4">
        <f t="shared" si="2"/>
        <v>19453226.900000002</v>
      </c>
      <c r="BF33" s="4">
        <f t="shared" si="3"/>
        <v>6653509.8200000003</v>
      </c>
      <c r="BG33" s="4">
        <f t="shared" si="4"/>
        <v>12722122.450000001</v>
      </c>
    </row>
    <row r="34" spans="1:59" ht="16.5" customHeight="1" x14ac:dyDescent="0.25">
      <c r="A34" s="53"/>
      <c r="B34" t="s">
        <v>311</v>
      </c>
      <c r="C34" s="4">
        <v>603839.9</v>
      </c>
      <c r="D34" s="4">
        <v>178594.5</v>
      </c>
      <c r="E34" s="4">
        <v>153155.54999999999</v>
      </c>
      <c r="F34" s="4">
        <v>153484.6</v>
      </c>
      <c r="G34" s="4">
        <v>1576823.11</v>
      </c>
      <c r="H34" s="4">
        <v>1186110.43</v>
      </c>
      <c r="I34" s="4">
        <v>1195103.07</v>
      </c>
      <c r="J34" s="4">
        <v>10242886.23</v>
      </c>
      <c r="K34" s="4">
        <v>748017.65</v>
      </c>
      <c r="L34" s="4">
        <v>44095.6</v>
      </c>
      <c r="M34" s="4">
        <v>4032689.01</v>
      </c>
      <c r="N34" s="4">
        <v>150525.84</v>
      </c>
      <c r="O34" s="4">
        <v>76567.25</v>
      </c>
      <c r="P34" s="4">
        <v>157377.60000000001</v>
      </c>
      <c r="Q34" s="4">
        <v>362784.07</v>
      </c>
      <c r="R34" s="4">
        <v>409000.35</v>
      </c>
      <c r="S34" s="4">
        <v>150927.1</v>
      </c>
      <c r="T34" s="4">
        <v>237205.17</v>
      </c>
      <c r="U34" s="4">
        <v>923605.4</v>
      </c>
      <c r="V34" s="4">
        <v>185597.65</v>
      </c>
      <c r="W34" s="4">
        <v>807276.85</v>
      </c>
      <c r="X34" s="4">
        <v>985870.6</v>
      </c>
      <c r="Y34" s="4">
        <v>68544.75</v>
      </c>
      <c r="Z34" s="4">
        <v>96398</v>
      </c>
      <c r="AA34" s="4">
        <v>360718.5</v>
      </c>
      <c r="AB34" s="4">
        <v>431425.3</v>
      </c>
      <c r="AC34" s="4">
        <v>438798.33</v>
      </c>
      <c r="AD34" s="4">
        <v>269273.40000000002</v>
      </c>
      <c r="AE34" s="4">
        <v>1292403.3899999999</v>
      </c>
      <c r="AF34" s="4">
        <v>2330502.15</v>
      </c>
      <c r="AG34" s="4">
        <v>175261.25</v>
      </c>
      <c r="AH34" s="4">
        <v>118969.9</v>
      </c>
      <c r="AI34" s="4">
        <v>948226.95</v>
      </c>
      <c r="AJ34" s="4">
        <v>610176.88</v>
      </c>
      <c r="AK34" s="4">
        <v>560608.05000000005</v>
      </c>
      <c r="AL34" s="4">
        <v>68641.850000000006</v>
      </c>
      <c r="AM34" s="4">
        <v>891478.56</v>
      </c>
      <c r="AN34" s="4">
        <v>345814.55</v>
      </c>
      <c r="AO34" s="4">
        <v>316610.52</v>
      </c>
      <c r="AP34" s="4">
        <v>610954.1</v>
      </c>
      <c r="AQ34" s="4">
        <v>307462.96999999997</v>
      </c>
      <c r="AR34" s="4">
        <v>668316</v>
      </c>
      <c r="AS34" s="4">
        <v>160076.67000000001</v>
      </c>
      <c r="AT34" s="4">
        <v>1185969.2</v>
      </c>
      <c r="AU34" s="4">
        <v>355658.71</v>
      </c>
      <c r="AV34" s="4">
        <v>102508.69</v>
      </c>
      <c r="AW34" s="4">
        <v>116724.75</v>
      </c>
      <c r="AX34" s="4">
        <v>778644.55</v>
      </c>
      <c r="AY34" s="4">
        <v>291128.33</v>
      </c>
      <c r="AZ34" s="4">
        <v>701739.5</v>
      </c>
      <c r="BA34" s="4">
        <v>75200.5</v>
      </c>
      <c r="BB34" s="4">
        <v>3703818.36</v>
      </c>
      <c r="BC34" s="4">
        <v>267641.05</v>
      </c>
      <c r="BD34" s="4">
        <f t="shared" si="1"/>
        <v>43211233.239999995</v>
      </c>
      <c r="BE34" s="4">
        <f t="shared" si="2"/>
        <v>22582792.430000003</v>
      </c>
      <c r="BF34" s="4">
        <f t="shared" si="3"/>
        <v>7561040.0700000003</v>
      </c>
      <c r="BG34" s="4">
        <f t="shared" si="4"/>
        <v>13067400.74</v>
      </c>
    </row>
    <row r="35" spans="1:59" ht="16.5" customHeight="1" x14ac:dyDescent="0.25">
      <c r="A35" s="53"/>
      <c r="B35" s="7"/>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31"/>
      <c r="BE35" s="31"/>
      <c r="BF35" s="31"/>
      <c r="BG35" s="31"/>
    </row>
    <row r="36" spans="1:59" ht="16.5" customHeight="1" x14ac:dyDescent="0.25">
      <c r="A36" s="58">
        <v>8</v>
      </c>
      <c r="B36" s="56" t="s">
        <v>308</v>
      </c>
      <c r="C36" s="57">
        <f>C37-C38</f>
        <v>3251.9000000000015</v>
      </c>
      <c r="D36" s="57">
        <f t="shared" ref="D36:BC36" si="12">D37-D38</f>
        <v>1083</v>
      </c>
      <c r="E36" s="57">
        <f t="shared" si="12"/>
        <v>3542.7000000000007</v>
      </c>
      <c r="F36" s="57">
        <f t="shared" si="12"/>
        <v>-51629.609999999986</v>
      </c>
      <c r="G36" s="57">
        <f t="shared" si="12"/>
        <v>39090.239999999991</v>
      </c>
      <c r="H36" s="57">
        <f t="shared" si="12"/>
        <v>-14201.630000000005</v>
      </c>
      <c r="I36" s="57">
        <f t="shared" si="12"/>
        <v>-24091.100000000035</v>
      </c>
      <c r="J36" s="57">
        <f t="shared" si="12"/>
        <v>-955061.75</v>
      </c>
      <c r="K36" s="57">
        <f t="shared" si="12"/>
        <v>-73231.449999999953</v>
      </c>
      <c r="L36" s="57">
        <f t="shared" si="12"/>
        <v>0</v>
      </c>
      <c r="M36" s="57">
        <f t="shared" si="12"/>
        <v>-39196.98000000004</v>
      </c>
      <c r="N36" s="57">
        <f t="shared" si="12"/>
        <v>-15081.799999999996</v>
      </c>
      <c r="O36" s="57">
        <f t="shared" si="12"/>
        <v>-5650.15</v>
      </c>
      <c r="P36" s="57">
        <f t="shared" si="12"/>
        <v>-19204.650000000001</v>
      </c>
      <c r="Q36" s="57">
        <f t="shared" si="12"/>
        <v>21539.9</v>
      </c>
      <c r="R36" s="57">
        <f t="shared" si="12"/>
        <v>-15969.880000000005</v>
      </c>
      <c r="S36" s="57">
        <f t="shared" si="12"/>
        <v>3004.2</v>
      </c>
      <c r="T36" s="57">
        <f t="shared" si="12"/>
        <v>-5160.0499999999993</v>
      </c>
      <c r="U36" s="57">
        <f t="shared" si="12"/>
        <v>-18635.300000000003</v>
      </c>
      <c r="V36" s="57">
        <f t="shared" si="12"/>
        <v>-2760.2000000000698</v>
      </c>
      <c r="W36" s="57">
        <f t="shared" si="12"/>
        <v>12653.710000000003</v>
      </c>
      <c r="X36" s="57">
        <f t="shared" si="12"/>
        <v>-76820.479999999981</v>
      </c>
      <c r="Y36" s="57">
        <f t="shared" si="12"/>
        <v>-9685.3999999999942</v>
      </c>
      <c r="Z36" s="57">
        <f t="shared" si="12"/>
        <v>-26254.299999999988</v>
      </c>
      <c r="AA36" s="57">
        <f t="shared" si="12"/>
        <v>-42516.049999999988</v>
      </c>
      <c r="AB36" s="57">
        <f t="shared" si="12"/>
        <v>448.97000000000116</v>
      </c>
      <c r="AC36" s="57">
        <f t="shared" si="12"/>
        <v>7256.7000000000116</v>
      </c>
      <c r="AD36" s="57">
        <f t="shared" si="12"/>
        <v>-189403.20000000019</v>
      </c>
      <c r="AE36" s="57">
        <f t="shared" si="12"/>
        <v>11142.780000000028</v>
      </c>
      <c r="AF36" s="57">
        <f t="shared" si="12"/>
        <v>-40002.769999999902</v>
      </c>
      <c r="AG36" s="57">
        <f t="shared" si="12"/>
        <v>48046.14</v>
      </c>
      <c r="AH36" s="57">
        <f t="shared" si="12"/>
        <v>-27099</v>
      </c>
      <c r="AI36" s="57">
        <f t="shared" si="12"/>
        <v>-20432.199999999983</v>
      </c>
      <c r="AJ36" s="57">
        <f t="shared" si="12"/>
        <v>-55177.059999999939</v>
      </c>
      <c r="AK36" s="57">
        <f t="shared" si="12"/>
        <v>-235918.33999999997</v>
      </c>
      <c r="AL36" s="57">
        <f t="shared" si="12"/>
        <v>-61173.420000000006</v>
      </c>
      <c r="AM36" s="57">
        <f t="shared" si="12"/>
        <v>20284.350000000035</v>
      </c>
      <c r="AN36" s="57">
        <f t="shared" si="12"/>
        <v>-71814.630000000034</v>
      </c>
      <c r="AO36" s="57">
        <f t="shared" si="12"/>
        <v>-35961.630000000005</v>
      </c>
      <c r="AP36" s="57">
        <f t="shared" si="12"/>
        <v>135668.20000000001</v>
      </c>
      <c r="AQ36" s="57">
        <f t="shared" si="12"/>
        <v>-42473.270000000019</v>
      </c>
      <c r="AR36" s="57">
        <f t="shared" si="12"/>
        <v>43650.850000000006</v>
      </c>
      <c r="AS36" s="57">
        <f t="shared" si="12"/>
        <v>-17210.630000000005</v>
      </c>
      <c r="AT36" s="57">
        <f t="shared" si="12"/>
        <v>6521.3099999999977</v>
      </c>
      <c r="AU36" s="57">
        <f t="shared" si="12"/>
        <v>-29303.78</v>
      </c>
      <c r="AV36" s="57">
        <f t="shared" si="12"/>
        <v>1051.5999999999913</v>
      </c>
      <c r="AW36" s="57">
        <f t="shared" si="12"/>
        <v>-8285.75</v>
      </c>
      <c r="AX36" s="57">
        <f t="shared" si="12"/>
        <v>80686.09</v>
      </c>
      <c r="AY36" s="57">
        <f t="shared" si="12"/>
        <v>11534.75</v>
      </c>
      <c r="AZ36" s="57">
        <f t="shared" si="12"/>
        <v>-116862.66</v>
      </c>
      <c r="BA36" s="57">
        <f t="shared" si="12"/>
        <v>-3680.5999999999985</v>
      </c>
      <c r="BB36" s="57">
        <f t="shared" si="12"/>
        <v>-321049.75999999995</v>
      </c>
      <c r="BC36" s="57">
        <f t="shared" si="12"/>
        <v>-40887.359999999986</v>
      </c>
      <c r="BD36" s="57">
        <f t="shared" si="1"/>
        <v>-2261429.4499999997</v>
      </c>
      <c r="BE36" s="57">
        <f t="shared" si="2"/>
        <v>-1165602.4099999999</v>
      </c>
      <c r="BF36" s="57">
        <f t="shared" si="3"/>
        <v>-334993.10000000009</v>
      </c>
      <c r="BG36" s="57">
        <f t="shared" si="4"/>
        <v>-760833.93999999983</v>
      </c>
    </row>
    <row r="37" spans="1:59" ht="16.5" customHeight="1" x14ac:dyDescent="0.25">
      <c r="A37" s="53"/>
      <c r="B37" t="s">
        <v>310</v>
      </c>
      <c r="C37" s="4">
        <v>59795.05</v>
      </c>
      <c r="D37" s="4">
        <v>1110</v>
      </c>
      <c r="E37" s="4">
        <v>22749.5</v>
      </c>
      <c r="F37" s="4">
        <v>306314.99</v>
      </c>
      <c r="G37" s="4">
        <v>1221465.07</v>
      </c>
      <c r="H37" s="4">
        <v>709162.89</v>
      </c>
      <c r="I37" s="4">
        <v>360219.55</v>
      </c>
      <c r="J37" s="4">
        <v>26161144.670000002</v>
      </c>
      <c r="K37" s="4">
        <v>1681496.79</v>
      </c>
      <c r="L37" s="4">
        <v>0</v>
      </c>
      <c r="M37" s="4">
        <v>345697.47</v>
      </c>
      <c r="N37" s="4">
        <v>37428.400000000001</v>
      </c>
      <c r="O37" s="4">
        <v>744.35</v>
      </c>
      <c r="P37" s="4">
        <v>16098.75</v>
      </c>
      <c r="Q37" s="4">
        <v>39978.15</v>
      </c>
      <c r="R37" s="4">
        <v>201930.68</v>
      </c>
      <c r="S37" s="4">
        <v>7864.9</v>
      </c>
      <c r="T37" s="4">
        <v>16999.75</v>
      </c>
      <c r="U37" s="4">
        <v>71561.5</v>
      </c>
      <c r="V37" s="4">
        <v>684027.84</v>
      </c>
      <c r="W37" s="4">
        <v>38774.51</v>
      </c>
      <c r="X37" s="4">
        <v>844340.97</v>
      </c>
      <c r="Y37" s="4">
        <v>189923.65</v>
      </c>
      <c r="Z37" s="4">
        <v>258548.45</v>
      </c>
      <c r="AA37" s="4">
        <v>413590.95</v>
      </c>
      <c r="AB37" s="4">
        <v>197772.52</v>
      </c>
      <c r="AC37" s="4">
        <v>384892.3</v>
      </c>
      <c r="AD37" s="4">
        <v>1224709.8799999999</v>
      </c>
      <c r="AE37" s="4">
        <v>868230.76</v>
      </c>
      <c r="AF37" s="4">
        <v>918278.43</v>
      </c>
      <c r="AG37" s="4">
        <v>120063.79</v>
      </c>
      <c r="AH37" s="4">
        <v>71653.3</v>
      </c>
      <c r="AI37" s="4">
        <v>187370.1</v>
      </c>
      <c r="AJ37" s="4">
        <v>553727.89</v>
      </c>
      <c r="AK37" s="4">
        <v>83388.070000000007</v>
      </c>
      <c r="AL37" s="4">
        <v>62875.6</v>
      </c>
      <c r="AM37" s="4">
        <v>308982.32</v>
      </c>
      <c r="AN37" s="4">
        <v>231234.65</v>
      </c>
      <c r="AO37" s="4">
        <v>15691.35</v>
      </c>
      <c r="AP37" s="4">
        <v>369040.45</v>
      </c>
      <c r="AQ37" s="4">
        <v>313145.61</v>
      </c>
      <c r="AR37" s="4">
        <v>254968.46</v>
      </c>
      <c r="AS37" s="4">
        <v>105124.45</v>
      </c>
      <c r="AT37" s="4">
        <v>130584.92</v>
      </c>
      <c r="AU37" s="4">
        <v>119599.72</v>
      </c>
      <c r="AV37" s="4">
        <v>71768.2</v>
      </c>
      <c r="AW37" s="4">
        <v>3314.25</v>
      </c>
      <c r="AX37" s="4">
        <v>82141.41</v>
      </c>
      <c r="AY37" s="4">
        <v>30459.85</v>
      </c>
      <c r="AZ37" s="4">
        <v>112231.19</v>
      </c>
      <c r="BA37" s="4">
        <v>44883.55</v>
      </c>
      <c r="BB37" s="4">
        <v>433646.59</v>
      </c>
      <c r="BC37" s="4">
        <v>132033.95000000001</v>
      </c>
      <c r="BD37" s="4">
        <f t="shared" si="1"/>
        <v>41122782.390000008</v>
      </c>
      <c r="BE37" s="4">
        <f t="shared" si="2"/>
        <v>31261762.459999997</v>
      </c>
      <c r="BF37" s="4">
        <f t="shared" si="3"/>
        <v>6214807.3499999987</v>
      </c>
      <c r="BG37" s="4">
        <f t="shared" si="4"/>
        <v>3646212.5800000005</v>
      </c>
    </row>
    <row r="38" spans="1:59" ht="16.5" customHeight="1" x14ac:dyDescent="0.25">
      <c r="A38" s="53"/>
      <c r="B38" t="s">
        <v>311</v>
      </c>
      <c r="C38" s="4">
        <v>56543.15</v>
      </c>
      <c r="D38" s="4">
        <v>27</v>
      </c>
      <c r="E38" s="4">
        <v>19206.8</v>
      </c>
      <c r="F38" s="4">
        <v>357944.6</v>
      </c>
      <c r="G38" s="4">
        <v>1182374.83</v>
      </c>
      <c r="H38" s="4">
        <v>723364.52</v>
      </c>
      <c r="I38" s="4">
        <v>384310.65</v>
      </c>
      <c r="J38" s="4">
        <v>27116206.420000002</v>
      </c>
      <c r="K38" s="4">
        <v>1754728.24</v>
      </c>
      <c r="L38" s="4">
        <v>0</v>
      </c>
      <c r="M38" s="4">
        <v>384894.45</v>
      </c>
      <c r="N38" s="4">
        <v>52510.2</v>
      </c>
      <c r="O38" s="4">
        <v>6394.5</v>
      </c>
      <c r="P38" s="4">
        <v>35303.4</v>
      </c>
      <c r="Q38" s="4">
        <v>18438.25</v>
      </c>
      <c r="R38" s="4">
        <v>217900.56</v>
      </c>
      <c r="S38" s="4">
        <v>4860.7</v>
      </c>
      <c r="T38" s="4">
        <v>22159.8</v>
      </c>
      <c r="U38" s="4">
        <v>90196.800000000003</v>
      </c>
      <c r="V38" s="4">
        <v>686788.04</v>
      </c>
      <c r="W38" s="4">
        <v>26120.799999999999</v>
      </c>
      <c r="X38" s="4">
        <v>921161.45</v>
      </c>
      <c r="Y38" s="4">
        <v>199609.05</v>
      </c>
      <c r="Z38" s="4">
        <v>284802.75</v>
      </c>
      <c r="AA38" s="4">
        <v>456107</v>
      </c>
      <c r="AB38" s="4">
        <v>197323.55</v>
      </c>
      <c r="AC38" s="4">
        <v>377635.6</v>
      </c>
      <c r="AD38" s="4">
        <v>1414113.08</v>
      </c>
      <c r="AE38" s="4">
        <v>857087.98</v>
      </c>
      <c r="AF38" s="4">
        <v>958281.2</v>
      </c>
      <c r="AG38" s="4">
        <v>72017.649999999994</v>
      </c>
      <c r="AH38" s="4">
        <v>98752.3</v>
      </c>
      <c r="AI38" s="4">
        <v>207802.3</v>
      </c>
      <c r="AJ38" s="4">
        <v>608904.94999999995</v>
      </c>
      <c r="AK38" s="4">
        <v>319306.40999999997</v>
      </c>
      <c r="AL38" s="4">
        <v>124049.02</v>
      </c>
      <c r="AM38" s="4">
        <v>288697.96999999997</v>
      </c>
      <c r="AN38" s="4">
        <v>303049.28000000003</v>
      </c>
      <c r="AO38" s="4">
        <v>51652.98</v>
      </c>
      <c r="AP38" s="4">
        <v>233372.25</v>
      </c>
      <c r="AQ38" s="4">
        <v>355618.88</v>
      </c>
      <c r="AR38" s="4">
        <v>211317.61</v>
      </c>
      <c r="AS38" s="4">
        <v>122335.08</v>
      </c>
      <c r="AT38" s="4">
        <v>124063.61</v>
      </c>
      <c r="AU38" s="4">
        <v>148903.5</v>
      </c>
      <c r="AV38" s="4">
        <v>70716.600000000006</v>
      </c>
      <c r="AW38" s="4">
        <v>11600</v>
      </c>
      <c r="AX38" s="4">
        <v>1455.32</v>
      </c>
      <c r="AY38" s="4">
        <v>18925.099999999999</v>
      </c>
      <c r="AZ38" s="4">
        <v>229093.85</v>
      </c>
      <c r="BA38" s="4">
        <v>48564.15</v>
      </c>
      <c r="BB38" s="4">
        <v>754696.35</v>
      </c>
      <c r="BC38" s="4">
        <v>172921.31</v>
      </c>
      <c r="BD38" s="4">
        <f t="shared" si="1"/>
        <v>43384211.839999989</v>
      </c>
      <c r="BE38" s="4">
        <f t="shared" si="2"/>
        <v>32427364.869999997</v>
      </c>
      <c r="BF38" s="4">
        <f t="shared" si="3"/>
        <v>6549800.4500000011</v>
      </c>
      <c r="BG38" s="4">
        <f t="shared" si="4"/>
        <v>4407046.5199999996</v>
      </c>
    </row>
    <row r="39" spans="1:59" ht="16.5" customHeight="1" x14ac:dyDescent="0.25">
      <c r="A39" s="53"/>
      <c r="B39" s="7"/>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31"/>
      <c r="BE39" s="31"/>
      <c r="BF39" s="31"/>
      <c r="BG39" s="31"/>
    </row>
    <row r="40" spans="1:59" ht="16.5" customHeight="1" x14ac:dyDescent="0.25">
      <c r="A40" s="58">
        <v>9</v>
      </c>
      <c r="B40" s="56" t="s">
        <v>309</v>
      </c>
      <c r="C40" s="57">
        <f>C41-C42</f>
        <v>-2531924.5100000002</v>
      </c>
      <c r="D40" s="57">
        <f t="shared" ref="D40:BC40" si="13">D41-D42</f>
        <v>-676574.61</v>
      </c>
      <c r="E40" s="57">
        <f t="shared" si="13"/>
        <v>-1156290.3599999999</v>
      </c>
      <c r="F40" s="57">
        <f t="shared" si="13"/>
        <v>-1176166.0900000001</v>
      </c>
      <c r="G40" s="57">
        <f t="shared" si="13"/>
        <v>-9387259.6000000015</v>
      </c>
      <c r="H40" s="57">
        <f t="shared" si="13"/>
        <v>-8665932.0500000007</v>
      </c>
      <c r="I40" s="57">
        <f t="shared" si="13"/>
        <v>-6503734.5199999996</v>
      </c>
      <c r="J40" s="57">
        <f t="shared" si="13"/>
        <v>-42313966.109999999</v>
      </c>
      <c r="K40" s="57">
        <f t="shared" si="13"/>
        <v>-3836913.17</v>
      </c>
      <c r="L40" s="57">
        <f t="shared" si="13"/>
        <v>-290599.71000000002</v>
      </c>
      <c r="M40" s="57">
        <f t="shared" si="13"/>
        <v>-18734464.870000001</v>
      </c>
      <c r="N40" s="57">
        <f t="shared" si="13"/>
        <v>-1393611.27</v>
      </c>
      <c r="O40" s="57">
        <f t="shared" si="13"/>
        <v>-300176.99</v>
      </c>
      <c r="P40" s="57">
        <f t="shared" si="13"/>
        <v>-1130306.1100000001</v>
      </c>
      <c r="Q40" s="57">
        <f t="shared" si="13"/>
        <v>-876057.42</v>
      </c>
      <c r="R40" s="57">
        <f t="shared" si="13"/>
        <v>-2115821.0300000003</v>
      </c>
      <c r="S40" s="57">
        <f t="shared" si="13"/>
        <v>-652768.89</v>
      </c>
      <c r="T40" s="57">
        <f t="shared" si="13"/>
        <v>-1424849.35</v>
      </c>
      <c r="U40" s="57">
        <f t="shared" si="13"/>
        <v>-8326242.1300000008</v>
      </c>
      <c r="V40" s="57">
        <f t="shared" si="13"/>
        <v>-954603.79</v>
      </c>
      <c r="W40" s="57">
        <f t="shared" si="13"/>
        <v>-5400243.1499999994</v>
      </c>
      <c r="X40" s="57">
        <f t="shared" si="13"/>
        <v>-5596424.7199999997</v>
      </c>
      <c r="Y40" s="57">
        <f t="shared" si="13"/>
        <v>-345338.77999999997</v>
      </c>
      <c r="Z40" s="57">
        <f t="shared" si="13"/>
        <v>-412478.74</v>
      </c>
      <c r="AA40" s="57">
        <f t="shared" si="13"/>
        <v>-1480369.71</v>
      </c>
      <c r="AB40" s="57">
        <f t="shared" si="13"/>
        <v>-2054728.8800000001</v>
      </c>
      <c r="AC40" s="57">
        <f t="shared" si="13"/>
        <v>-1441699.44</v>
      </c>
      <c r="AD40" s="57">
        <f t="shared" si="13"/>
        <v>-1373208.27</v>
      </c>
      <c r="AE40" s="57">
        <f t="shared" si="13"/>
        <v>-6591680.79</v>
      </c>
      <c r="AF40" s="57">
        <f t="shared" si="13"/>
        <v>-7398295.5599999996</v>
      </c>
      <c r="AG40" s="57">
        <f t="shared" si="13"/>
        <v>-601788.61</v>
      </c>
      <c r="AH40" s="57">
        <f t="shared" si="13"/>
        <v>-390367.39</v>
      </c>
      <c r="AI40" s="57">
        <f t="shared" si="13"/>
        <v>-5293212.3899999997</v>
      </c>
      <c r="AJ40" s="57">
        <f t="shared" si="13"/>
        <v>-3163865.7</v>
      </c>
      <c r="AK40" s="57">
        <f t="shared" si="13"/>
        <v>-3482989.92</v>
      </c>
      <c r="AL40" s="57">
        <f t="shared" si="13"/>
        <v>-372313.76</v>
      </c>
      <c r="AM40" s="57">
        <f t="shared" si="13"/>
        <v>-5755631.7400000002</v>
      </c>
      <c r="AN40" s="57">
        <f t="shared" si="13"/>
        <v>-1890261.85</v>
      </c>
      <c r="AO40" s="57">
        <f t="shared" si="13"/>
        <v>-1639188.58</v>
      </c>
      <c r="AP40" s="57">
        <f t="shared" si="13"/>
        <v>-3595343.0900000003</v>
      </c>
      <c r="AQ40" s="57">
        <f t="shared" si="13"/>
        <v>-2207146.5</v>
      </c>
      <c r="AR40" s="57">
        <f t="shared" si="13"/>
        <v>-2879602.29</v>
      </c>
      <c r="AS40" s="57">
        <f t="shared" si="13"/>
        <v>-966258.34</v>
      </c>
      <c r="AT40" s="57">
        <f t="shared" si="13"/>
        <v>-6284860.0599999996</v>
      </c>
      <c r="AU40" s="57">
        <f t="shared" si="13"/>
        <v>-2504292.14</v>
      </c>
      <c r="AV40" s="57">
        <f t="shared" si="13"/>
        <v>-415873.35</v>
      </c>
      <c r="AW40" s="57">
        <f t="shared" si="13"/>
        <v>-744748.12</v>
      </c>
      <c r="AX40" s="57">
        <f t="shared" si="13"/>
        <v>-5028702.74</v>
      </c>
      <c r="AY40" s="57">
        <f t="shared" si="13"/>
        <v>-1060401.1599999999</v>
      </c>
      <c r="AZ40" s="57">
        <f t="shared" si="13"/>
        <v>-3259864.36</v>
      </c>
      <c r="BA40" s="57">
        <f t="shared" si="13"/>
        <v>-545627.9</v>
      </c>
      <c r="BB40" s="57">
        <f t="shared" si="13"/>
        <v>-23220326.640000001</v>
      </c>
      <c r="BC40" s="57">
        <f t="shared" si="13"/>
        <v>-1596064.47</v>
      </c>
      <c r="BD40" s="57">
        <f t="shared" si="1"/>
        <v>-221441461.71999994</v>
      </c>
      <c r="BE40" s="57">
        <f t="shared" si="2"/>
        <v>-111493658.78999998</v>
      </c>
      <c r="BF40" s="57">
        <f t="shared" si="3"/>
        <v>-34041227.829999998</v>
      </c>
      <c r="BG40" s="57">
        <f t="shared" si="4"/>
        <v>-75906575.099999994</v>
      </c>
    </row>
    <row r="41" spans="1:59" ht="16.5" customHeight="1" x14ac:dyDescent="0.35">
      <c r="A41" s="54"/>
      <c r="B41" t="s">
        <v>310</v>
      </c>
      <c r="C41" s="4">
        <v>204114.48</v>
      </c>
      <c r="D41" s="4">
        <v>71110.87</v>
      </c>
      <c r="E41" s="4">
        <v>119834.38</v>
      </c>
      <c r="F41" s="4">
        <v>95138.23</v>
      </c>
      <c r="G41" s="4">
        <v>2170782.46</v>
      </c>
      <c r="H41" s="4">
        <v>1625429.63</v>
      </c>
      <c r="I41" s="4">
        <v>1275288.75</v>
      </c>
      <c r="J41" s="4">
        <v>10366093.949999999</v>
      </c>
      <c r="K41" s="4">
        <v>189185.99</v>
      </c>
      <c r="L41" s="4">
        <v>47994.63</v>
      </c>
      <c r="M41" s="4">
        <v>1864099.7</v>
      </c>
      <c r="N41" s="4">
        <v>100726.38</v>
      </c>
      <c r="O41" s="4">
        <v>11687.78</v>
      </c>
      <c r="P41" s="4">
        <v>104295.76</v>
      </c>
      <c r="Q41" s="4">
        <v>161279.99</v>
      </c>
      <c r="R41" s="4">
        <v>143830.46</v>
      </c>
      <c r="S41" s="4">
        <v>29370.58</v>
      </c>
      <c r="T41" s="4">
        <v>228592.47</v>
      </c>
      <c r="U41" s="4">
        <v>1743206.76</v>
      </c>
      <c r="V41" s="4">
        <v>22574.75</v>
      </c>
      <c r="W41" s="4">
        <v>165080.16</v>
      </c>
      <c r="X41" s="4">
        <v>1967055.99</v>
      </c>
      <c r="Y41" s="4">
        <v>10050.94</v>
      </c>
      <c r="Z41" s="4">
        <v>63996.19</v>
      </c>
      <c r="AA41" s="4">
        <v>85561.06</v>
      </c>
      <c r="AB41" s="4">
        <v>186664.24</v>
      </c>
      <c r="AC41" s="4">
        <v>161114.01</v>
      </c>
      <c r="AD41" s="4">
        <v>243635.39</v>
      </c>
      <c r="AE41" s="4">
        <v>631513.69999999995</v>
      </c>
      <c r="AF41" s="4">
        <v>854226.03</v>
      </c>
      <c r="AG41" s="4">
        <v>89086.97</v>
      </c>
      <c r="AH41" s="4">
        <v>102073.41</v>
      </c>
      <c r="AI41" s="4">
        <v>1213103.71</v>
      </c>
      <c r="AJ41" s="4">
        <v>545615.22</v>
      </c>
      <c r="AK41" s="4">
        <v>314042.65999999997</v>
      </c>
      <c r="AL41" s="4">
        <v>28375.02</v>
      </c>
      <c r="AM41" s="4">
        <v>2756109.93</v>
      </c>
      <c r="AN41" s="4">
        <v>103529.22</v>
      </c>
      <c r="AO41" s="4">
        <v>191859.13</v>
      </c>
      <c r="AP41" s="4">
        <v>729227.9</v>
      </c>
      <c r="AQ41" s="4">
        <v>379514.68</v>
      </c>
      <c r="AR41" s="4">
        <v>294236.68</v>
      </c>
      <c r="AS41" s="4">
        <v>127161.41</v>
      </c>
      <c r="AT41" s="4">
        <v>729124.07</v>
      </c>
      <c r="AU41" s="4">
        <v>115548.15</v>
      </c>
      <c r="AV41" s="4">
        <v>22193.51</v>
      </c>
      <c r="AW41" s="4">
        <v>44380.639999999999</v>
      </c>
      <c r="AX41" s="4">
        <v>676757</v>
      </c>
      <c r="AY41" s="4">
        <v>93470.86</v>
      </c>
      <c r="AZ41" s="4">
        <v>605177.15</v>
      </c>
      <c r="BA41" s="4">
        <v>17751.7</v>
      </c>
      <c r="BB41" s="4">
        <v>5951416.7999999998</v>
      </c>
      <c r="BC41" s="4">
        <v>184839.09</v>
      </c>
      <c r="BD41" s="4">
        <f t="shared" si="1"/>
        <v>40258130.619999997</v>
      </c>
      <c r="BE41" s="4">
        <f t="shared" si="2"/>
        <v>20552063.25</v>
      </c>
      <c r="BF41" s="4">
        <f t="shared" si="3"/>
        <v>4582632.84</v>
      </c>
      <c r="BG41" s="4">
        <f t="shared" si="4"/>
        <v>15123434.529999997</v>
      </c>
    </row>
    <row r="42" spans="1:59" ht="16.5" customHeight="1" x14ac:dyDescent="0.35">
      <c r="A42" s="54"/>
      <c r="B42" t="s">
        <v>311</v>
      </c>
      <c r="C42" s="4">
        <v>2736038.99</v>
      </c>
      <c r="D42" s="4">
        <v>747685.48</v>
      </c>
      <c r="E42" s="4">
        <v>1276124.74</v>
      </c>
      <c r="F42" s="4">
        <v>1271304.32</v>
      </c>
      <c r="G42" s="4">
        <v>11558042.060000001</v>
      </c>
      <c r="H42" s="4">
        <v>10291361.68</v>
      </c>
      <c r="I42" s="4">
        <v>7779023.2699999996</v>
      </c>
      <c r="J42" s="4">
        <v>52680060.060000002</v>
      </c>
      <c r="K42" s="4">
        <v>4026099.16</v>
      </c>
      <c r="L42" s="4">
        <v>338594.34</v>
      </c>
      <c r="M42" s="4">
        <v>20598564.57</v>
      </c>
      <c r="N42" s="4">
        <v>1494337.65</v>
      </c>
      <c r="O42" s="4">
        <v>311864.77</v>
      </c>
      <c r="P42" s="4">
        <v>1234601.8700000001</v>
      </c>
      <c r="Q42" s="4">
        <v>1037337.41</v>
      </c>
      <c r="R42" s="4">
        <v>2259651.4900000002</v>
      </c>
      <c r="S42" s="4">
        <v>682139.47</v>
      </c>
      <c r="T42" s="4">
        <v>1653441.82</v>
      </c>
      <c r="U42" s="4">
        <v>10069448.890000001</v>
      </c>
      <c r="V42" s="4">
        <v>977178.54</v>
      </c>
      <c r="W42" s="4">
        <v>5565323.3099999996</v>
      </c>
      <c r="X42" s="4">
        <v>7563480.71</v>
      </c>
      <c r="Y42" s="4">
        <v>355389.72</v>
      </c>
      <c r="Z42" s="4">
        <v>476474.93</v>
      </c>
      <c r="AA42" s="4">
        <v>1565930.77</v>
      </c>
      <c r="AB42" s="4">
        <v>2241393.12</v>
      </c>
      <c r="AC42" s="4">
        <v>1602813.45</v>
      </c>
      <c r="AD42" s="4">
        <v>1616843.66</v>
      </c>
      <c r="AE42" s="4">
        <v>7223194.4900000002</v>
      </c>
      <c r="AF42" s="4">
        <v>8252521.5899999999</v>
      </c>
      <c r="AG42" s="4">
        <v>690875.58</v>
      </c>
      <c r="AH42" s="4">
        <v>492440.8</v>
      </c>
      <c r="AI42" s="4">
        <v>6506316.0999999996</v>
      </c>
      <c r="AJ42" s="4">
        <v>3709480.92</v>
      </c>
      <c r="AK42" s="4">
        <v>3797032.58</v>
      </c>
      <c r="AL42" s="4">
        <v>400688.78</v>
      </c>
      <c r="AM42" s="4">
        <v>8511741.6699999999</v>
      </c>
      <c r="AN42" s="4">
        <v>1993791.07</v>
      </c>
      <c r="AO42" s="4">
        <v>1831047.71</v>
      </c>
      <c r="AP42" s="4">
        <v>4324570.99</v>
      </c>
      <c r="AQ42" s="4">
        <v>2586661.1800000002</v>
      </c>
      <c r="AR42" s="4">
        <v>3173838.97</v>
      </c>
      <c r="AS42" s="4">
        <v>1093419.75</v>
      </c>
      <c r="AT42" s="4">
        <v>7013984.1299999999</v>
      </c>
      <c r="AU42" s="4">
        <v>2619840.29</v>
      </c>
      <c r="AV42" s="4">
        <v>438066.86</v>
      </c>
      <c r="AW42" s="4">
        <v>789128.76</v>
      </c>
      <c r="AX42" s="4">
        <v>5705459.7400000002</v>
      </c>
      <c r="AY42" s="4">
        <v>1153872.02</v>
      </c>
      <c r="AZ42" s="4">
        <v>3865041.51</v>
      </c>
      <c r="BA42" s="4">
        <v>563379.6</v>
      </c>
      <c r="BB42" s="4">
        <v>29171743.440000001</v>
      </c>
      <c r="BC42" s="4">
        <v>1780903.56</v>
      </c>
      <c r="BD42" s="4">
        <f t="shared" si="1"/>
        <v>261699592.34000003</v>
      </c>
      <c r="BE42" s="4">
        <f t="shared" si="2"/>
        <v>132045722.03999998</v>
      </c>
      <c r="BF42" s="4">
        <f t="shared" si="3"/>
        <v>38623860.669999987</v>
      </c>
      <c r="BG42" s="4">
        <f t="shared" si="4"/>
        <v>91030009.63000001</v>
      </c>
    </row>
    <row r="43" spans="1:59" ht="16.5" customHeight="1" x14ac:dyDescent="0.35">
      <c r="A43" s="54"/>
      <c r="B43" s="51"/>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row>
    <row r="44" spans="1:59" ht="16.5" customHeight="1" x14ac:dyDescent="0.25">
      <c r="A44" s="58"/>
      <c r="B44" s="56" t="s">
        <v>312</v>
      </c>
      <c r="C44" s="57">
        <f>C4+C8+C12+C16+C20+C24+C28+C32+C36+C40</f>
        <v>0</v>
      </c>
      <c r="D44" s="57">
        <f t="shared" ref="D44:BG44" si="14">D4+D8+D12+D16+D20+D24+D28+D32+D36+D40</f>
        <v>48557.319999999949</v>
      </c>
      <c r="E44" s="57">
        <f t="shared" si="14"/>
        <v>94828.600000000093</v>
      </c>
      <c r="F44" s="57">
        <f t="shared" si="14"/>
        <v>-106112.7899999998</v>
      </c>
      <c r="G44" s="57">
        <f t="shared" si="14"/>
        <v>0</v>
      </c>
      <c r="H44" s="57">
        <f t="shared" si="14"/>
        <v>0</v>
      </c>
      <c r="I44" s="57">
        <f t="shared" si="14"/>
        <v>0</v>
      </c>
      <c r="J44" s="57">
        <f t="shared" si="14"/>
        <v>0</v>
      </c>
      <c r="K44" s="57">
        <f t="shared" si="14"/>
        <v>-288258.09000000078</v>
      </c>
      <c r="L44" s="57">
        <f t="shared" si="14"/>
        <v>9232.1199999999953</v>
      </c>
      <c r="M44" s="57">
        <f t="shared" si="14"/>
        <v>0</v>
      </c>
      <c r="N44" s="57">
        <f t="shared" si="14"/>
        <v>-98362.189999999711</v>
      </c>
      <c r="O44" s="57">
        <f t="shared" si="14"/>
        <v>4705.8099999999395</v>
      </c>
      <c r="P44" s="57">
        <f t="shared" si="14"/>
        <v>0</v>
      </c>
      <c r="Q44" s="57">
        <f t="shared" si="14"/>
        <v>-48947.219999999972</v>
      </c>
      <c r="R44" s="57">
        <f t="shared" si="14"/>
        <v>-544010.83000000054</v>
      </c>
      <c r="S44" s="57">
        <f t="shared" si="14"/>
        <v>15080.909999999916</v>
      </c>
      <c r="T44" s="57">
        <f t="shared" si="14"/>
        <v>0</v>
      </c>
      <c r="U44" s="57">
        <f t="shared" si="14"/>
        <v>0</v>
      </c>
      <c r="V44" s="57">
        <f t="shared" si="14"/>
        <v>-138689.7699999999</v>
      </c>
      <c r="W44" s="57">
        <f t="shared" si="14"/>
        <v>-1766349.46</v>
      </c>
      <c r="X44" s="57">
        <f t="shared" si="14"/>
        <v>-1120099.0799999991</v>
      </c>
      <c r="Y44" s="57">
        <f t="shared" si="14"/>
        <v>-13373.110000000044</v>
      </c>
      <c r="Z44" s="57">
        <f t="shared" si="14"/>
        <v>0</v>
      </c>
      <c r="AA44" s="57">
        <f t="shared" si="14"/>
        <v>297058.17999999993</v>
      </c>
      <c r="AB44" s="57">
        <f t="shared" si="14"/>
        <v>0</v>
      </c>
      <c r="AC44" s="57">
        <f t="shared" si="14"/>
        <v>249384.1799999997</v>
      </c>
      <c r="AD44" s="57">
        <f t="shared" si="14"/>
        <v>-76405.580000000307</v>
      </c>
      <c r="AE44" s="57">
        <f t="shared" si="14"/>
        <v>-904527.69999999925</v>
      </c>
      <c r="AF44" s="57">
        <f t="shared" si="14"/>
        <v>-869734.75999999978</v>
      </c>
      <c r="AG44" s="57">
        <f t="shared" si="14"/>
        <v>37068.900000000023</v>
      </c>
      <c r="AH44" s="57">
        <f t="shared" si="14"/>
        <v>0</v>
      </c>
      <c r="AI44" s="57">
        <f t="shared" si="14"/>
        <v>0</v>
      </c>
      <c r="AJ44" s="57">
        <f t="shared" si="14"/>
        <v>-45087.839999999851</v>
      </c>
      <c r="AK44" s="57">
        <f t="shared" si="14"/>
        <v>-123768.66999999993</v>
      </c>
      <c r="AL44" s="57">
        <f t="shared" si="14"/>
        <v>-6229.7400000000489</v>
      </c>
      <c r="AM44" s="57">
        <f t="shared" si="14"/>
        <v>0</v>
      </c>
      <c r="AN44" s="57">
        <f t="shared" si="14"/>
        <v>-200305.8600000001</v>
      </c>
      <c r="AO44" s="57">
        <f t="shared" si="14"/>
        <v>0</v>
      </c>
      <c r="AP44" s="57">
        <f t="shared" si="14"/>
        <v>0</v>
      </c>
      <c r="AQ44" s="57">
        <f t="shared" si="14"/>
        <v>-1288.75</v>
      </c>
      <c r="AR44" s="57">
        <f t="shared" si="14"/>
        <v>0</v>
      </c>
      <c r="AS44" s="57">
        <f t="shared" si="14"/>
        <v>-47834.869999999995</v>
      </c>
      <c r="AT44" s="57">
        <f t="shared" si="14"/>
        <v>0</v>
      </c>
      <c r="AU44" s="57">
        <f t="shared" si="14"/>
        <v>-331418.65999999968</v>
      </c>
      <c r="AV44" s="57">
        <f t="shared" si="14"/>
        <v>50574.919999999984</v>
      </c>
      <c r="AW44" s="57">
        <f t="shared" si="14"/>
        <v>-502800.93000000005</v>
      </c>
      <c r="AX44" s="57">
        <f t="shared" si="14"/>
        <v>0</v>
      </c>
      <c r="AY44" s="57">
        <f t="shared" si="14"/>
        <v>-122026.26000000001</v>
      </c>
      <c r="AZ44" s="57">
        <f t="shared" si="14"/>
        <v>-13297.33000000054</v>
      </c>
      <c r="BA44" s="57">
        <f t="shared" si="14"/>
        <v>-59759.729999999981</v>
      </c>
      <c r="BB44" s="57">
        <f t="shared" si="14"/>
        <v>0</v>
      </c>
      <c r="BC44" s="57">
        <f t="shared" si="14"/>
        <v>-116013.6100000001</v>
      </c>
      <c r="BD44" s="57">
        <f t="shared" si="14"/>
        <v>-6738211.8899999261</v>
      </c>
      <c r="BE44" s="57">
        <f t="shared" si="14"/>
        <v>-913286.3599999696</v>
      </c>
      <c r="BF44" s="57">
        <f t="shared" si="14"/>
        <v>-4305668.1999999993</v>
      </c>
      <c r="BG44" s="57">
        <f t="shared" si="14"/>
        <v>-1519257.3299999982</v>
      </c>
    </row>
    <row r="45" spans="1:59" ht="16.5" customHeight="1" x14ac:dyDescent="0.35">
      <c r="A45" s="54"/>
      <c r="B45" t="s">
        <v>310</v>
      </c>
      <c r="C45" s="4">
        <f>C5+C9+C13+C17+C21+C25+C29+C33+C37+C41</f>
        <v>3750481.3399999994</v>
      </c>
      <c r="D45" s="4">
        <f t="shared" ref="D45:BG45" si="15">D5+D9+D13+D17+D21+D25+D29+D33+D37+D41</f>
        <v>1104228.5499999998</v>
      </c>
      <c r="E45" s="4">
        <f t="shared" si="15"/>
        <v>1636998.69</v>
      </c>
      <c r="F45" s="4">
        <f t="shared" si="15"/>
        <v>1871483.19</v>
      </c>
      <c r="G45" s="4">
        <f t="shared" si="15"/>
        <v>16344371.300000001</v>
      </c>
      <c r="H45" s="4">
        <f t="shared" si="15"/>
        <v>14348231.73</v>
      </c>
      <c r="I45" s="4">
        <f t="shared" si="15"/>
        <v>10981055.23</v>
      </c>
      <c r="J45" s="4">
        <f t="shared" si="15"/>
        <v>109510195.60000001</v>
      </c>
      <c r="K45" s="4">
        <f t="shared" si="15"/>
        <v>7481291.8099999996</v>
      </c>
      <c r="L45" s="4">
        <f t="shared" si="15"/>
        <v>536020.64999999991</v>
      </c>
      <c r="M45" s="4">
        <f t="shared" si="15"/>
        <v>27654538.570000004</v>
      </c>
      <c r="N45" s="4">
        <f t="shared" si="15"/>
        <v>1790992.3499999996</v>
      </c>
      <c r="O45" s="4">
        <f t="shared" si="15"/>
        <v>425534.32999999996</v>
      </c>
      <c r="P45" s="4">
        <f t="shared" si="15"/>
        <v>1547324.57</v>
      </c>
      <c r="Q45" s="4">
        <f t="shared" si="15"/>
        <v>1649994.58</v>
      </c>
      <c r="R45" s="4">
        <f t="shared" si="15"/>
        <v>2484677.15</v>
      </c>
      <c r="S45" s="4">
        <f t="shared" si="15"/>
        <v>956901.98</v>
      </c>
      <c r="T45" s="4">
        <f t="shared" si="15"/>
        <v>2575933.64</v>
      </c>
      <c r="U45" s="4">
        <f t="shared" si="15"/>
        <v>12979476.83</v>
      </c>
      <c r="V45" s="4">
        <f t="shared" si="15"/>
        <v>1802006.3599999999</v>
      </c>
      <c r="W45" s="4">
        <f t="shared" si="15"/>
        <v>5752449.7999999998</v>
      </c>
      <c r="X45" s="4">
        <f t="shared" si="15"/>
        <v>10414505.080000002</v>
      </c>
      <c r="Y45" s="4">
        <f t="shared" si="15"/>
        <v>642997.50999999989</v>
      </c>
      <c r="Z45" s="4">
        <f t="shared" si="15"/>
        <v>920321.08999999985</v>
      </c>
      <c r="AA45" s="4">
        <f t="shared" si="15"/>
        <v>2889421.5000000005</v>
      </c>
      <c r="AB45" s="4">
        <f t="shared" si="15"/>
        <v>3477758.41</v>
      </c>
      <c r="AC45" s="4">
        <f t="shared" si="15"/>
        <v>3027923.8099999996</v>
      </c>
      <c r="AD45" s="4">
        <f t="shared" si="15"/>
        <v>3390385.71</v>
      </c>
      <c r="AE45" s="4">
        <f t="shared" si="15"/>
        <v>9252963.9299999997</v>
      </c>
      <c r="AF45" s="4">
        <f t="shared" si="15"/>
        <v>11830677.219999999</v>
      </c>
      <c r="AG45" s="4">
        <f t="shared" si="15"/>
        <v>1131796.78</v>
      </c>
      <c r="AH45" s="4">
        <f t="shared" si="15"/>
        <v>755281.12000000011</v>
      </c>
      <c r="AI45" s="4">
        <f t="shared" si="15"/>
        <v>8735145.629999999</v>
      </c>
      <c r="AJ45" s="4">
        <f t="shared" si="15"/>
        <v>5633789.2599999998</v>
      </c>
      <c r="AK45" s="4">
        <f t="shared" si="15"/>
        <v>5334874.91</v>
      </c>
      <c r="AL45" s="4">
        <f t="shared" si="15"/>
        <v>607124.76</v>
      </c>
      <c r="AM45" s="4">
        <f t="shared" si="15"/>
        <v>10466831.48</v>
      </c>
      <c r="AN45" s="4">
        <f t="shared" si="15"/>
        <v>3680574.79</v>
      </c>
      <c r="AO45" s="4">
        <f t="shared" si="15"/>
        <v>2409367.06</v>
      </c>
      <c r="AP45" s="4">
        <f t="shared" si="15"/>
        <v>6630025.0700000003</v>
      </c>
      <c r="AQ45" s="4">
        <f t="shared" si="15"/>
        <v>3567652.99</v>
      </c>
      <c r="AR45" s="4">
        <f t="shared" si="15"/>
        <v>4554988.3099999996</v>
      </c>
      <c r="AS45" s="4">
        <f t="shared" si="15"/>
        <v>1404368.9299999997</v>
      </c>
      <c r="AT45" s="4">
        <f t="shared" si="15"/>
        <v>10167838.909999998</v>
      </c>
      <c r="AU45" s="4">
        <f t="shared" si="15"/>
        <v>3015809.98</v>
      </c>
      <c r="AV45" s="4">
        <f t="shared" si="15"/>
        <v>705378.7699999999</v>
      </c>
      <c r="AW45" s="4">
        <f t="shared" si="15"/>
        <v>432029.07999999996</v>
      </c>
      <c r="AX45" s="4">
        <f t="shared" si="15"/>
        <v>7339543.3099999996</v>
      </c>
      <c r="AY45" s="4">
        <f t="shared" si="15"/>
        <v>1613080.85</v>
      </c>
      <c r="AZ45" s="4">
        <f t="shared" si="15"/>
        <v>6096033.9300000016</v>
      </c>
      <c r="BA45" s="4">
        <f t="shared" si="15"/>
        <v>694481.27</v>
      </c>
      <c r="BB45" s="4">
        <f t="shared" si="15"/>
        <v>44478438.080000006</v>
      </c>
      <c r="BC45" s="4">
        <f t="shared" si="15"/>
        <v>2448599.62</v>
      </c>
      <c r="BD45" s="4">
        <f t="shared" si="15"/>
        <v>404934197.40000004</v>
      </c>
      <c r="BE45" s="4">
        <f t="shared" si="15"/>
        <v>219629732.09000003</v>
      </c>
      <c r="BF45" s="4">
        <f t="shared" si="15"/>
        <v>55288488.320000008</v>
      </c>
      <c r="BG45" s="4">
        <f t="shared" si="15"/>
        <v>130015976.98999999</v>
      </c>
    </row>
    <row r="46" spans="1:59" ht="16.5" customHeight="1" x14ac:dyDescent="0.35">
      <c r="A46" s="54"/>
      <c r="B46" t="s">
        <v>311</v>
      </c>
      <c r="C46" s="4">
        <f>C6+C10+C14+C18+C22+C26+C30+C34+C38+C42</f>
        <v>3750481.3400000003</v>
      </c>
      <c r="D46" s="4">
        <f t="shared" ref="D46:BG46" si="16">D6+D10+D14+D18+D22+D26+D30+D34+D38+D42</f>
        <v>1055671.23</v>
      </c>
      <c r="E46" s="4">
        <f t="shared" si="16"/>
        <v>1542170.0899999999</v>
      </c>
      <c r="F46" s="4">
        <f t="shared" si="16"/>
        <v>1977595.98</v>
      </c>
      <c r="G46" s="4">
        <f t="shared" si="16"/>
        <v>16344371.300000001</v>
      </c>
      <c r="H46" s="4">
        <f t="shared" si="16"/>
        <v>14348231.73</v>
      </c>
      <c r="I46" s="4">
        <f t="shared" si="16"/>
        <v>10981055.23</v>
      </c>
      <c r="J46" s="4">
        <f t="shared" si="16"/>
        <v>109510195.60000001</v>
      </c>
      <c r="K46" s="4">
        <f t="shared" si="16"/>
        <v>7769549.9000000004</v>
      </c>
      <c r="L46" s="4">
        <f t="shared" si="16"/>
        <v>526788.53</v>
      </c>
      <c r="M46" s="4">
        <f t="shared" si="16"/>
        <v>27654538.57</v>
      </c>
      <c r="N46" s="4">
        <f t="shared" si="16"/>
        <v>1889354.5399999998</v>
      </c>
      <c r="O46" s="4">
        <f t="shared" si="16"/>
        <v>420828.52</v>
      </c>
      <c r="P46" s="4">
        <f t="shared" si="16"/>
        <v>1547324.57</v>
      </c>
      <c r="Q46" s="4">
        <f t="shared" si="16"/>
        <v>1698941.8</v>
      </c>
      <c r="R46" s="4">
        <f t="shared" si="16"/>
        <v>3028687.9800000004</v>
      </c>
      <c r="S46" s="4">
        <f t="shared" si="16"/>
        <v>941821.07</v>
      </c>
      <c r="T46" s="4">
        <f t="shared" si="16"/>
        <v>2575933.64</v>
      </c>
      <c r="U46" s="4">
        <f t="shared" si="16"/>
        <v>12979476.83</v>
      </c>
      <c r="V46" s="4">
        <f t="shared" si="16"/>
        <v>1940696.1300000001</v>
      </c>
      <c r="W46" s="4">
        <f t="shared" si="16"/>
        <v>7518799.2599999998</v>
      </c>
      <c r="X46" s="4">
        <f t="shared" si="16"/>
        <v>11534604.16</v>
      </c>
      <c r="Y46" s="4">
        <f t="shared" si="16"/>
        <v>656370.62</v>
      </c>
      <c r="Z46" s="4">
        <f t="shared" si="16"/>
        <v>920321.09000000008</v>
      </c>
      <c r="AA46" s="4">
        <f t="shared" si="16"/>
        <v>2592363.3200000003</v>
      </c>
      <c r="AB46" s="4">
        <f t="shared" si="16"/>
        <v>3477758.41</v>
      </c>
      <c r="AC46" s="4">
        <f t="shared" si="16"/>
        <v>2778539.63</v>
      </c>
      <c r="AD46" s="4">
        <f t="shared" si="16"/>
        <v>3466791.29</v>
      </c>
      <c r="AE46" s="4">
        <f t="shared" si="16"/>
        <v>10157491.629999999</v>
      </c>
      <c r="AF46" s="4">
        <f t="shared" si="16"/>
        <v>12700411.98</v>
      </c>
      <c r="AG46" s="4">
        <f t="shared" si="16"/>
        <v>1094727.8799999999</v>
      </c>
      <c r="AH46" s="4">
        <f t="shared" si="16"/>
        <v>755281.12</v>
      </c>
      <c r="AI46" s="4">
        <f t="shared" si="16"/>
        <v>8735145.629999999</v>
      </c>
      <c r="AJ46" s="4">
        <f t="shared" si="16"/>
        <v>5678877.0999999996</v>
      </c>
      <c r="AK46" s="4">
        <f t="shared" si="16"/>
        <v>5458643.5800000001</v>
      </c>
      <c r="AL46" s="4">
        <f t="shared" si="16"/>
        <v>613354.5</v>
      </c>
      <c r="AM46" s="4">
        <f t="shared" si="16"/>
        <v>10466831.48</v>
      </c>
      <c r="AN46" s="4">
        <f t="shared" si="16"/>
        <v>3880880.6500000004</v>
      </c>
      <c r="AO46" s="4">
        <f t="shared" si="16"/>
        <v>2409367.06</v>
      </c>
      <c r="AP46" s="4">
        <f t="shared" si="16"/>
        <v>6630025.0700000003</v>
      </c>
      <c r="AQ46" s="4">
        <f t="shared" si="16"/>
        <v>3568941.74</v>
      </c>
      <c r="AR46" s="4">
        <f t="shared" si="16"/>
        <v>4554988.3100000005</v>
      </c>
      <c r="AS46" s="4">
        <f t="shared" si="16"/>
        <v>1452203.8</v>
      </c>
      <c r="AT46" s="4">
        <f t="shared" si="16"/>
        <v>10167838.91</v>
      </c>
      <c r="AU46" s="4">
        <f t="shared" si="16"/>
        <v>3347228.64</v>
      </c>
      <c r="AV46" s="4">
        <f t="shared" si="16"/>
        <v>654803.85</v>
      </c>
      <c r="AW46" s="4">
        <f t="shared" si="16"/>
        <v>934830.01</v>
      </c>
      <c r="AX46" s="4">
        <f t="shared" si="16"/>
        <v>7339543.3100000005</v>
      </c>
      <c r="AY46" s="4">
        <f t="shared" si="16"/>
        <v>1735107.1099999999</v>
      </c>
      <c r="AZ46" s="4">
        <f t="shared" si="16"/>
        <v>6109331.2599999998</v>
      </c>
      <c r="BA46" s="4">
        <f t="shared" si="16"/>
        <v>754241</v>
      </c>
      <c r="BB46" s="4">
        <f t="shared" si="16"/>
        <v>44478438.079999998</v>
      </c>
      <c r="BC46" s="4">
        <f t="shared" si="16"/>
        <v>2564613.23</v>
      </c>
      <c r="BD46" s="4">
        <f t="shared" si="16"/>
        <v>411672409.29000002</v>
      </c>
      <c r="BE46" s="4">
        <f t="shared" si="16"/>
        <v>220543018.44999999</v>
      </c>
      <c r="BF46" s="4">
        <f t="shared" si="16"/>
        <v>59594156.519999988</v>
      </c>
      <c r="BG46" s="4">
        <f t="shared" si="16"/>
        <v>131535234.32000001</v>
      </c>
    </row>
    <row r="47" spans="1:59" ht="21" x14ac:dyDescent="0.35">
      <c r="A47" s="51"/>
      <c r="B47" s="51"/>
    </row>
    <row r="48" spans="1:59" ht="21" x14ac:dyDescent="0.35">
      <c r="A48" s="51"/>
      <c r="B48" s="51"/>
    </row>
    <row r="49" spans="1:2" ht="21" x14ac:dyDescent="0.35">
      <c r="A49" s="51"/>
      <c r="B49" s="51"/>
    </row>
    <row r="50" spans="1:2" ht="21" x14ac:dyDescent="0.35">
      <c r="A50" s="51"/>
      <c r="B50" s="51"/>
    </row>
    <row r="51" spans="1:2" ht="21" x14ac:dyDescent="0.35">
      <c r="A51" s="51"/>
      <c r="B51" s="51"/>
    </row>
    <row r="52" spans="1:2" ht="21" x14ac:dyDescent="0.35">
      <c r="A52" s="51"/>
      <c r="B52" s="51"/>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pageSetUpPr fitToPage="1"/>
  </sheetPr>
  <dimension ref="A1:C50"/>
  <sheetViews>
    <sheetView workbookViewId="0">
      <selection activeCell="B4" sqref="B4"/>
    </sheetView>
  </sheetViews>
  <sheetFormatPr baseColWidth="10" defaultColWidth="11.42578125" defaultRowHeight="15" x14ac:dyDescent="0.25"/>
  <cols>
    <col min="1" max="1" width="5.7109375" customWidth="1"/>
    <col min="2" max="2" width="63.5703125" customWidth="1"/>
    <col min="3" max="3" width="23" customWidth="1"/>
  </cols>
  <sheetData>
    <row r="1" spans="1:3" ht="26.25" x14ac:dyDescent="0.4">
      <c r="A1" s="32" t="s">
        <v>846</v>
      </c>
      <c r="B1" s="7"/>
    </row>
    <row r="3" spans="1:3" ht="15.75" thickBot="1" x14ac:dyDescent="0.3"/>
    <row r="4" spans="1:3" ht="15.75" thickBot="1" x14ac:dyDescent="0.3">
      <c r="B4" s="142" t="s">
        <v>71</v>
      </c>
    </row>
    <row r="6" spans="1:3" x14ac:dyDescent="0.25">
      <c r="C6" s="53" t="s">
        <v>202</v>
      </c>
    </row>
    <row r="7" spans="1:3" x14ac:dyDescent="0.25">
      <c r="A7" s="55">
        <v>0</v>
      </c>
      <c r="B7" s="56" t="s">
        <v>299</v>
      </c>
      <c r="C7" s="57">
        <f>C8-C9</f>
        <v>61896.15</v>
      </c>
    </row>
    <row r="8" spans="1:3" x14ac:dyDescent="0.25">
      <c r="A8" s="52"/>
      <c r="B8" t="s">
        <v>310</v>
      </c>
      <c r="C8" s="4">
        <f>HLOOKUP($B$4,'4.11 Comptes 2020 fonctionnelle'!$C$3:$BC$47,3,0)</f>
        <v>84676.800000000003</v>
      </c>
    </row>
    <row r="9" spans="1:3" x14ac:dyDescent="0.25">
      <c r="A9" s="52"/>
      <c r="B9" t="s">
        <v>311</v>
      </c>
      <c r="C9" s="4">
        <f>HLOOKUP($B$4,'4.11 Comptes 2020 fonctionnelle'!$C$3:$BC$47,4,0)</f>
        <v>22780.65</v>
      </c>
    </row>
    <row r="10" spans="1:3" x14ac:dyDescent="0.25">
      <c r="A10" s="53"/>
      <c r="B10" s="7"/>
      <c r="C10" s="4"/>
    </row>
    <row r="11" spans="1:3" x14ac:dyDescent="0.25">
      <c r="A11" s="55" t="s">
        <v>300</v>
      </c>
      <c r="B11" s="56" t="s">
        <v>301</v>
      </c>
      <c r="C11" s="57">
        <f>C12-C13</f>
        <v>-1368.35</v>
      </c>
    </row>
    <row r="12" spans="1:3" x14ac:dyDescent="0.25">
      <c r="A12" s="52"/>
      <c r="B12" t="s">
        <v>310</v>
      </c>
      <c r="C12" s="4">
        <f>HLOOKUP($B$4,'4.11 Comptes 2020 fonctionnelle'!$C$3:$BC$47,7,0)</f>
        <v>1519.85</v>
      </c>
    </row>
    <row r="13" spans="1:3" x14ac:dyDescent="0.25">
      <c r="A13" s="52"/>
      <c r="B13" t="s">
        <v>311</v>
      </c>
      <c r="C13" s="4">
        <f>HLOOKUP($B$4,'4.11 Comptes 2020 fonctionnelle'!$C$3:$BC$47,8,0)</f>
        <v>2888.2</v>
      </c>
    </row>
    <row r="14" spans="1:3" x14ac:dyDescent="0.25">
      <c r="A14" s="53"/>
      <c r="B14" s="7"/>
      <c r="C14" s="4"/>
    </row>
    <row r="15" spans="1:3" x14ac:dyDescent="0.25">
      <c r="A15" s="58">
        <v>2</v>
      </c>
      <c r="B15" s="56" t="s">
        <v>302</v>
      </c>
      <c r="C15" s="57">
        <f>C16-C17</f>
        <v>159068.47</v>
      </c>
    </row>
    <row r="16" spans="1:3" x14ac:dyDescent="0.25">
      <c r="A16" s="53"/>
      <c r="B16" t="s">
        <v>310</v>
      </c>
      <c r="C16" s="4">
        <f>HLOOKUP($B$4,'4.11 Comptes 2020 fonctionnelle'!$C$3:$BC$47,11,0)</f>
        <v>165682.22</v>
      </c>
    </row>
    <row r="17" spans="1:3" x14ac:dyDescent="0.25">
      <c r="A17" s="53"/>
      <c r="B17" t="s">
        <v>311</v>
      </c>
      <c r="C17" s="4">
        <f>HLOOKUP($B$4,'4.11 Comptes 2020 fonctionnelle'!$C$3:$BC$47,12,0)</f>
        <v>6613.75</v>
      </c>
    </row>
    <row r="18" spans="1:3" x14ac:dyDescent="0.25">
      <c r="A18" s="53"/>
      <c r="B18" s="7"/>
      <c r="C18" s="4"/>
    </row>
    <row r="19" spans="1:3" x14ac:dyDescent="0.25">
      <c r="A19" s="58">
        <v>3</v>
      </c>
      <c r="B19" s="56" t="s">
        <v>303</v>
      </c>
      <c r="C19" s="57">
        <f>C20-C21</f>
        <v>6915.7</v>
      </c>
    </row>
    <row r="20" spans="1:3" x14ac:dyDescent="0.25">
      <c r="A20" s="53"/>
      <c r="B20" t="s">
        <v>310</v>
      </c>
      <c r="C20" s="4">
        <f>HLOOKUP($B$4,'4.11 Comptes 2020 fonctionnelle'!$C$3:$BC$47,15,0)</f>
        <v>6915.7</v>
      </c>
    </row>
    <row r="21" spans="1:3" x14ac:dyDescent="0.25">
      <c r="A21" s="53"/>
      <c r="B21" t="s">
        <v>311</v>
      </c>
      <c r="C21" s="4">
        <f>HLOOKUP($B$4,'4.11 Comptes 2020 fonctionnelle'!$C$3:$BC$47,16,0)</f>
        <v>0</v>
      </c>
    </row>
    <row r="22" spans="1:3" x14ac:dyDescent="0.25">
      <c r="A22" s="53"/>
      <c r="B22" s="7"/>
      <c r="C22" s="4"/>
    </row>
    <row r="23" spans="1:3" x14ac:dyDescent="0.25">
      <c r="A23" s="58">
        <v>4</v>
      </c>
      <c r="B23" s="56" t="s">
        <v>304</v>
      </c>
      <c r="C23" s="57">
        <f>C24-C25</f>
        <v>396.15</v>
      </c>
    </row>
    <row r="24" spans="1:3" x14ac:dyDescent="0.25">
      <c r="A24" s="53"/>
      <c r="B24" t="s">
        <v>310</v>
      </c>
      <c r="C24" s="4">
        <f>HLOOKUP($B$4,'4.11 Comptes 2020 fonctionnelle'!$C$3:$BC$47,19,0)</f>
        <v>396.15</v>
      </c>
    </row>
    <row r="25" spans="1:3" x14ac:dyDescent="0.25">
      <c r="A25" s="53"/>
      <c r="B25" t="s">
        <v>311</v>
      </c>
      <c r="C25" s="4">
        <f>HLOOKUP($B$4,'4.11 Comptes 2020 fonctionnelle'!$C$3:$BC$47,20,0)</f>
        <v>0</v>
      </c>
    </row>
    <row r="26" spans="1:3" x14ac:dyDescent="0.25">
      <c r="A26" s="53"/>
      <c r="B26" s="7"/>
      <c r="C26" s="4"/>
    </row>
    <row r="27" spans="1:3" x14ac:dyDescent="0.25">
      <c r="A27" s="58">
        <v>5</v>
      </c>
      <c r="B27" s="56" t="s">
        <v>305</v>
      </c>
      <c r="C27" s="57">
        <f>C28-C29</f>
        <v>69983.5</v>
      </c>
    </row>
    <row r="28" spans="1:3" x14ac:dyDescent="0.25">
      <c r="A28" s="53"/>
      <c r="B28" t="s">
        <v>310</v>
      </c>
      <c r="C28" s="4">
        <f>HLOOKUP($B$4,'4.11 Comptes 2020 fonctionnelle'!$C$3:$BC$47,23,0)</f>
        <v>71362.5</v>
      </c>
    </row>
    <row r="29" spans="1:3" x14ac:dyDescent="0.25">
      <c r="A29" s="53"/>
      <c r="B29" t="s">
        <v>311</v>
      </c>
      <c r="C29" s="4">
        <f>HLOOKUP($B$4,'4.11 Comptes 2020 fonctionnelle'!$C$3:$BC$47,24,0)</f>
        <v>1379</v>
      </c>
    </row>
    <row r="30" spans="1:3" x14ac:dyDescent="0.25">
      <c r="A30" s="53"/>
      <c r="B30" s="7"/>
      <c r="C30" s="4"/>
    </row>
    <row r="31" spans="1:3" x14ac:dyDescent="0.25">
      <c r="A31" s="58">
        <v>6</v>
      </c>
      <c r="B31" s="56" t="s">
        <v>306</v>
      </c>
      <c r="C31" s="57">
        <f>C32-C33</f>
        <v>33755.35</v>
      </c>
    </row>
    <row r="32" spans="1:3" x14ac:dyDescent="0.25">
      <c r="A32" s="53"/>
      <c r="B32" t="s">
        <v>310</v>
      </c>
      <c r="C32" s="4">
        <f>HLOOKUP($B$4,'4.11 Comptes 2020 fonctionnelle'!$C$3:$BC$47,27,0)</f>
        <v>32920.85</v>
      </c>
    </row>
    <row r="33" spans="1:3" x14ac:dyDescent="0.25">
      <c r="A33" s="53"/>
      <c r="B33" t="s">
        <v>311</v>
      </c>
      <c r="C33" s="4">
        <f>HLOOKUP($B$4,'4.11 Comptes 2020 fonctionnelle'!$C$3:$BC$47,28,0)</f>
        <v>-834.5</v>
      </c>
    </row>
    <row r="34" spans="1:3" x14ac:dyDescent="0.25">
      <c r="A34" s="53"/>
      <c r="B34" s="7"/>
      <c r="C34" s="4"/>
    </row>
    <row r="35" spans="1:3" x14ac:dyDescent="0.25">
      <c r="A35" s="58">
        <v>7</v>
      </c>
      <c r="B35" s="56" t="s">
        <v>307</v>
      </c>
      <c r="C35" s="57">
        <f>C36-C37</f>
        <v>11004.100000000006</v>
      </c>
    </row>
    <row r="36" spans="1:3" x14ac:dyDescent="0.25">
      <c r="A36" s="53"/>
      <c r="B36" t="s">
        <v>310</v>
      </c>
      <c r="C36" s="4">
        <f>HLOOKUP($B$4,'4.11 Comptes 2020 fonctionnelle'!$C$3:$BC$47,31,0)</f>
        <v>79548.850000000006</v>
      </c>
    </row>
    <row r="37" spans="1:3" x14ac:dyDescent="0.25">
      <c r="A37" s="53"/>
      <c r="B37" t="s">
        <v>311</v>
      </c>
      <c r="C37" s="4">
        <f>HLOOKUP($B$4,'4.11 Comptes 2020 fonctionnelle'!$C$3:$BC$47,32,0)</f>
        <v>68544.75</v>
      </c>
    </row>
    <row r="38" spans="1:3" x14ac:dyDescent="0.25">
      <c r="A38" s="53"/>
      <c r="B38" s="7"/>
      <c r="C38" s="4"/>
    </row>
    <row r="39" spans="1:3" x14ac:dyDescent="0.25">
      <c r="A39" s="58">
        <v>8</v>
      </c>
      <c r="B39" s="56" t="s">
        <v>308</v>
      </c>
      <c r="C39" s="57">
        <f>C40-C41</f>
        <v>-9685.3999999999942</v>
      </c>
    </row>
    <row r="40" spans="1:3" x14ac:dyDescent="0.25">
      <c r="A40" s="53"/>
      <c r="B40" t="s">
        <v>310</v>
      </c>
      <c r="C40" s="4">
        <f>HLOOKUP($B$4,'4.11 Comptes 2020 fonctionnelle'!$C$3:$BC$47,35,0)</f>
        <v>189923.65</v>
      </c>
    </row>
    <row r="41" spans="1:3" x14ac:dyDescent="0.25">
      <c r="A41" s="53"/>
      <c r="B41" t="s">
        <v>311</v>
      </c>
      <c r="C41" s="4">
        <f>HLOOKUP($B$4,'4.11 Comptes 2020 fonctionnelle'!$C$3:$BC$47,36,0)</f>
        <v>199609.05</v>
      </c>
    </row>
    <row r="42" spans="1:3" x14ac:dyDescent="0.25">
      <c r="A42" s="53"/>
      <c r="B42" s="7"/>
      <c r="C42" s="4"/>
    </row>
    <row r="43" spans="1:3" x14ac:dyDescent="0.25">
      <c r="A43" s="58">
        <v>9</v>
      </c>
      <c r="B43" s="56" t="s">
        <v>309</v>
      </c>
      <c r="C43" s="57">
        <f>C44-C45</f>
        <v>-345338.77999999997</v>
      </c>
    </row>
    <row r="44" spans="1:3" ht="15" customHeight="1" x14ac:dyDescent="0.35">
      <c r="A44" s="54"/>
      <c r="B44" t="s">
        <v>310</v>
      </c>
      <c r="C44" s="4">
        <f>HLOOKUP($B$4,'4.11 Comptes 2020 fonctionnelle'!$C$3:$BC$47,39,0)</f>
        <v>10050.94</v>
      </c>
    </row>
    <row r="45" spans="1:3" ht="15" customHeight="1" x14ac:dyDescent="0.35">
      <c r="A45" s="54"/>
      <c r="B45" t="s">
        <v>311</v>
      </c>
      <c r="C45" s="4">
        <f>HLOOKUP($B$4,'4.11 Comptes 2020 fonctionnelle'!$C$3:$BC$47,40,0)</f>
        <v>355389.72</v>
      </c>
    </row>
    <row r="46" spans="1:3" ht="21" x14ac:dyDescent="0.35">
      <c r="A46" s="54"/>
      <c r="B46" s="51"/>
      <c r="C46" s="4"/>
    </row>
    <row r="47" spans="1:3" x14ac:dyDescent="0.25">
      <c r="A47" s="58"/>
      <c r="B47" s="56" t="s">
        <v>742</v>
      </c>
      <c r="C47" s="141">
        <f>C48-C49</f>
        <v>-13373.110000000102</v>
      </c>
    </row>
    <row r="48" spans="1:3" ht="21" x14ac:dyDescent="0.35">
      <c r="A48" s="54"/>
      <c r="B48" t="s">
        <v>310</v>
      </c>
      <c r="C48" s="4">
        <f>HLOOKUP($B$4,'4.11 Comptes 2020 fonctionnelle'!$C$3:$BC$47,43,0)</f>
        <v>642997.50999999989</v>
      </c>
    </row>
    <row r="49" spans="1:3" ht="21" x14ac:dyDescent="0.35">
      <c r="A49" s="54"/>
      <c r="B49" t="s">
        <v>311</v>
      </c>
      <c r="C49" s="4">
        <f>HLOOKUP($B$4,'4.11 Comptes 2020 fonctionnelle'!$C$3:$BC$47,44,0)</f>
        <v>656370.62</v>
      </c>
    </row>
    <row r="50" spans="1:3" ht="21" x14ac:dyDescent="0.35">
      <c r="A50" s="51"/>
      <c r="B50" s="51"/>
    </row>
  </sheetData>
  <pageMargins left="0.7" right="0.7" top="0.75" bottom="0.75" header="0.3" footer="0.3"/>
  <pageSetup paperSize="9" scale="94"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'4.11 Comptes 2020 fonctionnelle'!$C$3:$BC$3</xm:f>
          </x14:formula1>
          <xm:sqref>B4</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pageSetUpPr fitToPage="1"/>
  </sheetPr>
  <dimension ref="A1:C48"/>
  <sheetViews>
    <sheetView topLeftCell="A19" workbookViewId="0">
      <selection activeCell="A2" sqref="A2"/>
    </sheetView>
  </sheetViews>
  <sheetFormatPr baseColWidth="10" defaultColWidth="11.42578125" defaultRowHeight="15" x14ac:dyDescent="0.25"/>
  <cols>
    <col min="1" max="1" width="8.28515625" customWidth="1"/>
    <col min="2" max="2" width="57" customWidth="1"/>
    <col min="3" max="3" width="22.85546875" customWidth="1"/>
  </cols>
  <sheetData>
    <row r="1" spans="1:3" ht="26.25" x14ac:dyDescent="0.4">
      <c r="A1" s="32" t="s">
        <v>847</v>
      </c>
    </row>
    <row r="4" spans="1:3" x14ac:dyDescent="0.25">
      <c r="A4" s="7" t="s">
        <v>199</v>
      </c>
    </row>
    <row r="6" spans="1:3" ht="16.5" customHeight="1" x14ac:dyDescent="0.25">
      <c r="A6" s="55">
        <v>0</v>
      </c>
      <c r="B6" s="56" t="s">
        <v>299</v>
      </c>
      <c r="C6" s="57">
        <f>'4.11 Comptes 2020 fonctionnelle'!BD4</f>
        <v>28247889.289999995</v>
      </c>
    </row>
    <row r="7" spans="1:3" ht="16.5" customHeight="1" x14ac:dyDescent="0.25">
      <c r="A7" s="52"/>
      <c r="B7" t="s">
        <v>310</v>
      </c>
      <c r="C7" s="4">
        <f>'4.11 Comptes 2020 fonctionnelle'!BD5</f>
        <v>32143015.280000001</v>
      </c>
    </row>
    <row r="8" spans="1:3" ht="16.5" customHeight="1" x14ac:dyDescent="0.25">
      <c r="A8" s="52"/>
      <c r="B8" t="s">
        <v>311</v>
      </c>
      <c r="C8" s="4">
        <f>'4.11 Comptes 2020 fonctionnelle'!BD6</f>
        <v>3895125.9899999998</v>
      </c>
    </row>
    <row r="9" spans="1:3" ht="16.5" customHeight="1" x14ac:dyDescent="0.25">
      <c r="A9" s="53"/>
      <c r="B9" s="7"/>
    </row>
    <row r="10" spans="1:3" ht="16.5" customHeight="1" x14ac:dyDescent="0.25">
      <c r="A10" s="55" t="s">
        <v>300</v>
      </c>
      <c r="B10" s="56" t="s">
        <v>301</v>
      </c>
      <c r="C10" s="57">
        <f>'4.11 Comptes 2020 fonctionnelle'!BD8</f>
        <v>3775725.4300000006</v>
      </c>
    </row>
    <row r="11" spans="1:3" ht="16.5" customHeight="1" x14ac:dyDescent="0.25">
      <c r="A11" s="52"/>
      <c r="B11" t="s">
        <v>310</v>
      </c>
      <c r="C11" s="4">
        <f>'4.11 Comptes 2020 fonctionnelle'!BD9</f>
        <v>11416095.65</v>
      </c>
    </row>
    <row r="12" spans="1:3" ht="16.5" customHeight="1" x14ac:dyDescent="0.25">
      <c r="A12" s="52"/>
      <c r="B12" t="s">
        <v>311</v>
      </c>
      <c r="C12" s="4">
        <f>'4.11 Comptes 2020 fonctionnelle'!BD10</f>
        <v>7640370.2199999988</v>
      </c>
    </row>
    <row r="13" spans="1:3" ht="16.5" customHeight="1" x14ac:dyDescent="0.25">
      <c r="A13" s="53"/>
      <c r="B13" s="7"/>
    </row>
    <row r="14" spans="1:3" ht="16.5" customHeight="1" x14ac:dyDescent="0.25">
      <c r="A14" s="58">
        <v>2</v>
      </c>
      <c r="B14" s="56" t="s">
        <v>302</v>
      </c>
      <c r="C14" s="57">
        <f>'4.11 Comptes 2020 fonctionnelle'!BD12</f>
        <v>95940341.979999989</v>
      </c>
    </row>
    <row r="15" spans="1:3" ht="16.5" customHeight="1" x14ac:dyDescent="0.25">
      <c r="A15" s="53"/>
      <c r="B15" t="s">
        <v>310</v>
      </c>
      <c r="C15" s="4">
        <f>'4.11 Comptes 2020 fonctionnelle'!BD13</f>
        <v>102422916.93999998</v>
      </c>
    </row>
    <row r="16" spans="1:3" ht="16.5" customHeight="1" x14ac:dyDescent="0.25">
      <c r="A16" s="53"/>
      <c r="B16" t="s">
        <v>311</v>
      </c>
      <c r="C16" s="4">
        <f>'4.11 Comptes 2020 fonctionnelle'!BD14</f>
        <v>6482574.9600000009</v>
      </c>
    </row>
    <row r="17" spans="1:3" ht="16.5" customHeight="1" x14ac:dyDescent="0.25">
      <c r="A17" s="53"/>
      <c r="B17" s="7"/>
    </row>
    <row r="18" spans="1:3" ht="16.5" customHeight="1" x14ac:dyDescent="0.25">
      <c r="A18" s="58">
        <v>3</v>
      </c>
      <c r="B18" s="56" t="s">
        <v>303</v>
      </c>
      <c r="C18" s="57">
        <f>'4.11 Comptes 2020 fonctionnelle'!BD16</f>
        <v>13769431.490000002</v>
      </c>
    </row>
    <row r="19" spans="1:3" ht="16.5" customHeight="1" x14ac:dyDescent="0.25">
      <c r="A19" s="53"/>
      <c r="B19" t="s">
        <v>310</v>
      </c>
      <c r="C19" s="4">
        <f>'4.11 Comptes 2020 fonctionnelle'!BD17</f>
        <v>15219691.650000002</v>
      </c>
    </row>
    <row r="20" spans="1:3" ht="16.5" customHeight="1" x14ac:dyDescent="0.25">
      <c r="A20" s="53"/>
      <c r="B20" t="s">
        <v>311</v>
      </c>
      <c r="C20" s="4">
        <f>'4.11 Comptes 2020 fonctionnelle'!BD18</f>
        <v>1450260.1600000004</v>
      </c>
    </row>
    <row r="21" spans="1:3" ht="16.5" customHeight="1" x14ac:dyDescent="0.25">
      <c r="A21" s="53"/>
      <c r="B21" s="7"/>
      <c r="C21" s="4"/>
    </row>
    <row r="22" spans="1:3" ht="16.5" customHeight="1" x14ac:dyDescent="0.25">
      <c r="A22" s="58">
        <v>4</v>
      </c>
      <c r="B22" s="56" t="s">
        <v>304</v>
      </c>
      <c r="C22" s="57">
        <f>'4.11 Comptes 2020 fonctionnelle'!BD20</f>
        <v>605154.92000000016</v>
      </c>
    </row>
    <row r="23" spans="1:3" ht="16.5" customHeight="1" x14ac:dyDescent="0.25">
      <c r="A23" s="53"/>
      <c r="B23" t="s">
        <v>310</v>
      </c>
      <c r="C23" s="4">
        <f>'4.11 Comptes 2020 fonctionnelle'!BD21</f>
        <v>701266.36</v>
      </c>
    </row>
    <row r="24" spans="1:3" ht="16.5" customHeight="1" x14ac:dyDescent="0.25">
      <c r="A24" s="53"/>
      <c r="B24" t="s">
        <v>311</v>
      </c>
      <c r="C24" s="4">
        <f>'4.11 Comptes 2020 fonctionnelle'!BD22</f>
        <v>96111.44</v>
      </c>
    </row>
    <row r="25" spans="1:3" ht="16.5" customHeight="1" x14ac:dyDescent="0.25">
      <c r="A25" s="53"/>
      <c r="B25" s="7"/>
      <c r="C25" s="4"/>
    </row>
    <row r="26" spans="1:3" ht="16.5" customHeight="1" x14ac:dyDescent="0.25">
      <c r="A26" s="58">
        <v>5</v>
      </c>
      <c r="B26" s="56" t="s">
        <v>305</v>
      </c>
      <c r="C26" s="57">
        <f>'4.11 Comptes 2020 fonctionnelle'!BD24</f>
        <v>58381282.420000009</v>
      </c>
    </row>
    <row r="27" spans="1:3" ht="16.5" customHeight="1" x14ac:dyDescent="0.25">
      <c r="A27" s="53"/>
      <c r="B27" t="s">
        <v>310</v>
      </c>
      <c r="C27" s="4">
        <f>'4.11 Comptes 2020 fonctionnelle'!BD25</f>
        <v>94679085.720000029</v>
      </c>
    </row>
    <row r="28" spans="1:3" ht="16.5" customHeight="1" x14ac:dyDescent="0.25">
      <c r="A28" s="53"/>
      <c r="B28" t="s">
        <v>311</v>
      </c>
      <c r="C28" s="4">
        <f>'4.11 Comptes 2020 fonctionnelle'!BD26</f>
        <v>36297803.299999997</v>
      </c>
    </row>
    <row r="29" spans="1:3" ht="16.5" customHeight="1" x14ac:dyDescent="0.25">
      <c r="A29" s="53"/>
      <c r="B29" s="7"/>
      <c r="C29" s="4"/>
    </row>
    <row r="30" spans="1:3" ht="16.5" customHeight="1" x14ac:dyDescent="0.25">
      <c r="A30" s="58">
        <v>6</v>
      </c>
      <c r="B30" s="56" t="s">
        <v>306</v>
      </c>
      <c r="C30" s="57">
        <f>'4.11 Comptes 2020 fonctionnelle'!BD28</f>
        <v>20627227.819999997</v>
      </c>
    </row>
    <row r="31" spans="1:3" ht="16.5" customHeight="1" x14ac:dyDescent="0.25">
      <c r="A31" s="53"/>
      <c r="B31" t="s">
        <v>310</v>
      </c>
      <c r="C31" s="4">
        <f>'4.11 Comptes 2020 fonctionnelle'!BD29</f>
        <v>28142353.619999997</v>
      </c>
    </row>
    <row r="32" spans="1:3" ht="16.5" customHeight="1" x14ac:dyDescent="0.25">
      <c r="A32" s="53"/>
      <c r="B32" t="s">
        <v>311</v>
      </c>
      <c r="C32" s="4">
        <f>'4.11 Comptes 2020 fonctionnelle'!BD30</f>
        <v>7515125.7999999998</v>
      </c>
    </row>
    <row r="33" spans="1:3" ht="16.5" customHeight="1" x14ac:dyDescent="0.25">
      <c r="A33" s="53"/>
      <c r="B33" s="7"/>
      <c r="C33" s="4"/>
    </row>
    <row r="34" spans="1:3" ht="16.5" customHeight="1" x14ac:dyDescent="0.25">
      <c r="A34" s="58">
        <v>7</v>
      </c>
      <c r="B34" s="56" t="s">
        <v>307</v>
      </c>
      <c r="C34" s="57">
        <f>'4.11 Comptes 2020 fonctionnelle'!BD32</f>
        <v>-4382374.0699999984</v>
      </c>
    </row>
    <row r="35" spans="1:3" ht="16.5" customHeight="1" x14ac:dyDescent="0.25">
      <c r="A35" s="53"/>
      <c r="B35" t="s">
        <v>310</v>
      </c>
      <c r="C35" s="4">
        <f>'4.11 Comptes 2020 fonctionnelle'!BD33</f>
        <v>38828859.169999994</v>
      </c>
    </row>
    <row r="36" spans="1:3" ht="16.5" customHeight="1" x14ac:dyDescent="0.25">
      <c r="A36" s="53"/>
      <c r="B36" t="s">
        <v>311</v>
      </c>
      <c r="C36" s="4">
        <f>'4.11 Comptes 2020 fonctionnelle'!BD34</f>
        <v>43211233.239999995</v>
      </c>
    </row>
    <row r="37" spans="1:3" ht="16.5" customHeight="1" x14ac:dyDescent="0.25">
      <c r="A37" s="53"/>
      <c r="B37" s="7"/>
      <c r="C37" s="4"/>
    </row>
    <row r="38" spans="1:3" ht="16.5" customHeight="1" x14ac:dyDescent="0.25">
      <c r="A38" s="58">
        <v>8</v>
      </c>
      <c r="B38" s="56" t="s">
        <v>308</v>
      </c>
      <c r="C38" s="57">
        <f>'4.11 Comptes 2020 fonctionnelle'!BD36</f>
        <v>-2261429.4499999997</v>
      </c>
    </row>
    <row r="39" spans="1:3" ht="16.5" customHeight="1" x14ac:dyDescent="0.25">
      <c r="A39" s="53"/>
      <c r="B39" t="s">
        <v>310</v>
      </c>
      <c r="C39" s="4">
        <f>'4.11 Comptes 2020 fonctionnelle'!BD37</f>
        <v>41122782.390000008</v>
      </c>
    </row>
    <row r="40" spans="1:3" ht="16.5" customHeight="1" x14ac:dyDescent="0.25">
      <c r="A40" s="53"/>
      <c r="B40" t="s">
        <v>311</v>
      </c>
      <c r="C40" s="4">
        <f>'4.11 Comptes 2020 fonctionnelle'!BD38</f>
        <v>43384211.839999989</v>
      </c>
    </row>
    <row r="41" spans="1:3" ht="16.5" customHeight="1" x14ac:dyDescent="0.25">
      <c r="A41" s="53"/>
      <c r="B41" s="7"/>
      <c r="C41" s="4"/>
    </row>
    <row r="42" spans="1:3" ht="16.5" customHeight="1" x14ac:dyDescent="0.25">
      <c r="A42" s="58">
        <v>9</v>
      </c>
      <c r="B42" s="56" t="s">
        <v>309</v>
      </c>
      <c r="C42" s="57">
        <f>'4.11 Comptes 2020 fonctionnelle'!BD40</f>
        <v>-221441461.71999994</v>
      </c>
    </row>
    <row r="43" spans="1:3" ht="16.5" customHeight="1" x14ac:dyDescent="0.35">
      <c r="A43" s="54"/>
      <c r="B43" t="s">
        <v>310</v>
      </c>
      <c r="C43" s="4">
        <f>'4.11 Comptes 2020 fonctionnelle'!BD41</f>
        <v>40258130.619999997</v>
      </c>
    </row>
    <row r="44" spans="1:3" ht="16.5" customHeight="1" x14ac:dyDescent="0.35">
      <c r="A44" s="54"/>
      <c r="B44" t="s">
        <v>311</v>
      </c>
      <c r="C44" s="4">
        <f>'4.11 Comptes 2020 fonctionnelle'!BD42</f>
        <v>261699592.34000003</v>
      </c>
    </row>
    <row r="45" spans="1:3" ht="16.5" customHeight="1" x14ac:dyDescent="0.35">
      <c r="A45" s="54"/>
      <c r="B45" s="51"/>
      <c r="C45" s="4"/>
    </row>
    <row r="46" spans="1:3" ht="16.5" customHeight="1" x14ac:dyDescent="0.25">
      <c r="A46" s="58"/>
      <c r="B46" s="56" t="s">
        <v>312</v>
      </c>
      <c r="C46" s="57">
        <f>'4.11 Comptes 2020 fonctionnelle'!BD44</f>
        <v>-6738211.8899999261</v>
      </c>
    </row>
    <row r="47" spans="1:3" ht="16.5" customHeight="1" x14ac:dyDescent="0.35">
      <c r="A47" s="54"/>
      <c r="B47" t="s">
        <v>310</v>
      </c>
      <c r="C47" s="4">
        <f>'4.11 Comptes 2020 fonctionnelle'!BD45</f>
        <v>404934197.40000004</v>
      </c>
    </row>
    <row r="48" spans="1:3" ht="16.5" customHeight="1" x14ac:dyDescent="0.35">
      <c r="A48" s="54"/>
      <c r="B48" t="s">
        <v>311</v>
      </c>
      <c r="C48" s="4">
        <f>'4.11 Comptes 2020 fonctionnelle'!BD46</f>
        <v>411672409.29000002</v>
      </c>
    </row>
  </sheetData>
  <pageMargins left="0.7" right="0.7" top="0.75" bottom="0.75" header="0.3" footer="0.3"/>
  <pageSetup paperSize="9"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BI174"/>
  <sheetViews>
    <sheetView tabSelected="1" zoomScaleNormal="100" workbookViewId="0">
      <pane xSplit="4" ySplit="3" topLeftCell="E4" activePane="bottomRight" state="frozen"/>
      <selection pane="topRight" activeCell="E1" sqref="E1"/>
      <selection pane="bottomLeft" activeCell="A4" sqref="A4"/>
      <selection pane="bottomRight" activeCell="E4" sqref="E4"/>
    </sheetView>
  </sheetViews>
  <sheetFormatPr baseColWidth="10" defaultColWidth="11.42578125" defaultRowHeight="15" x14ac:dyDescent="0.25"/>
  <cols>
    <col min="1" max="2" width="5.7109375" customWidth="1"/>
    <col min="3" max="3" width="9" customWidth="1"/>
    <col min="4" max="4" width="65.5703125" bestFit="1" customWidth="1"/>
    <col min="5" max="8" width="11.42578125" bestFit="1" customWidth="1"/>
    <col min="9" max="11" width="12.42578125" bestFit="1" customWidth="1"/>
    <col min="12" max="12" width="13.5703125" bestFit="1" customWidth="1"/>
    <col min="13" max="13" width="11.42578125" bestFit="1" customWidth="1"/>
    <col min="14" max="14" width="10" bestFit="1" customWidth="1"/>
    <col min="15" max="15" width="12.42578125" bestFit="1" customWidth="1"/>
    <col min="16" max="16" width="11.42578125" bestFit="1" customWidth="1"/>
    <col min="17" max="17" width="10" bestFit="1" customWidth="1"/>
    <col min="18" max="20" width="11.42578125" bestFit="1" customWidth="1"/>
    <col min="21" max="21" width="10.140625" bestFit="1" customWidth="1"/>
    <col min="22" max="22" width="11.42578125" bestFit="1" customWidth="1"/>
    <col min="23" max="23" width="12.42578125" bestFit="1" customWidth="1"/>
    <col min="24" max="24" width="11.42578125" bestFit="1" customWidth="1"/>
    <col min="25" max="25" width="11.85546875" bestFit="1" customWidth="1"/>
    <col min="26" max="26" width="12.42578125" bestFit="1" customWidth="1"/>
    <col min="27" max="27" width="10" bestFit="1" customWidth="1"/>
    <col min="28" max="28" width="10.140625" bestFit="1" customWidth="1"/>
    <col min="29" max="32" width="11.42578125" bestFit="1" customWidth="1"/>
    <col min="33" max="34" width="12.42578125" bestFit="1" customWidth="1"/>
    <col min="35" max="35" width="11.42578125" bestFit="1" customWidth="1"/>
    <col min="36" max="36" width="10" bestFit="1" customWidth="1"/>
    <col min="37" max="38" width="11.42578125" bestFit="1" customWidth="1"/>
    <col min="39" max="39" width="11.7109375" bestFit="1" customWidth="1"/>
    <col min="40" max="40" width="10.7109375" bestFit="1" customWidth="1"/>
    <col min="41" max="43" width="11.42578125" bestFit="1" customWidth="1"/>
    <col min="44" max="44" width="12.28515625" bestFit="1" customWidth="1"/>
    <col min="45" max="47" width="11.42578125" bestFit="1" customWidth="1"/>
    <col min="48" max="48" width="12.42578125" bestFit="1" customWidth="1"/>
    <col min="49" max="49" width="11.42578125" bestFit="1" customWidth="1"/>
    <col min="50" max="50" width="10.140625" bestFit="1" customWidth="1"/>
    <col min="51" max="52" width="11.42578125" bestFit="1" customWidth="1"/>
    <col min="53" max="53" width="12.42578125" bestFit="1" customWidth="1"/>
    <col min="54" max="54" width="11.42578125" bestFit="1" customWidth="1"/>
    <col min="55" max="55" width="10" bestFit="1" customWidth="1"/>
    <col min="56" max="56" width="12.42578125" bestFit="1" customWidth="1"/>
    <col min="57" max="57" width="11.42578125" bestFit="1" customWidth="1"/>
    <col min="58" max="58" width="13.5703125" bestFit="1" customWidth="1"/>
    <col min="59" max="61" width="17.85546875" customWidth="1"/>
  </cols>
  <sheetData>
    <row r="1" spans="1:61" ht="26.25" x14ac:dyDescent="0.4">
      <c r="A1" s="32" t="s">
        <v>837</v>
      </c>
      <c r="B1" s="7"/>
      <c r="C1" s="7"/>
      <c r="D1" s="7"/>
    </row>
    <row r="2" spans="1:61" x14ac:dyDescent="0.25">
      <c r="A2" t="s">
        <v>864</v>
      </c>
      <c r="E2" s="45">
        <f>'Base de données pop.'!C2</f>
        <v>947</v>
      </c>
      <c r="F2" s="45">
        <f>'Base de données pop.'!C3</f>
        <v>265</v>
      </c>
      <c r="G2" s="45">
        <f>'Base de données pop.'!C4</f>
        <v>469</v>
      </c>
      <c r="H2" s="45">
        <f>'Base de données pop.'!C5</f>
        <v>439</v>
      </c>
      <c r="I2" s="45">
        <f>'Base de données pop.'!C6</f>
        <v>3728</v>
      </c>
      <c r="J2" s="45">
        <f>'Base de données pop.'!C7</f>
        <v>3345</v>
      </c>
      <c r="K2" s="45">
        <f>'Base de données pop.'!C8</f>
        <v>2652</v>
      </c>
      <c r="L2" s="45">
        <f>'Base de données pop.'!C9</f>
        <v>12479</v>
      </c>
      <c r="M2" s="45">
        <f>'Base de données pop.'!C10</f>
        <v>1359</v>
      </c>
      <c r="N2" s="45">
        <f>'Base de données pop.'!C11</f>
        <v>117</v>
      </c>
      <c r="O2" s="45">
        <f>'Base de données pop.'!C12</f>
        <v>7261</v>
      </c>
      <c r="P2" s="45">
        <f>'Base de données pop.'!C13</f>
        <v>538</v>
      </c>
      <c r="Q2" s="45">
        <f>'Base de données pop.'!C14</f>
        <v>111</v>
      </c>
      <c r="R2" s="45">
        <f>'Base de données pop.'!C15</f>
        <v>421</v>
      </c>
      <c r="S2" s="45">
        <f>'Base de données pop.'!C16</f>
        <v>346</v>
      </c>
      <c r="T2" s="45">
        <f>'Base de données pop.'!C17</f>
        <v>710</v>
      </c>
      <c r="U2" s="45">
        <f>'Base de données pop.'!C18</f>
        <v>269</v>
      </c>
      <c r="V2" s="45">
        <f>'Base de données pop.'!C19</f>
        <v>440</v>
      </c>
      <c r="W2" s="45">
        <f>'Base de données pop.'!C20</f>
        <v>3229</v>
      </c>
      <c r="X2" s="45">
        <f>'Base de données pop.'!C21</f>
        <v>310</v>
      </c>
      <c r="Y2" s="45">
        <f>'Base de données pop.'!C22</f>
        <v>1270</v>
      </c>
      <c r="Z2" s="45">
        <f>'Base de données pop.'!C23</f>
        <v>1506</v>
      </c>
      <c r="AA2" s="45">
        <f>'Base de données pop.'!C24</f>
        <v>96</v>
      </c>
      <c r="AB2" s="45">
        <f>'Base de données pop.'!C25</f>
        <v>148</v>
      </c>
      <c r="AC2" s="45">
        <f>'Base de données pop.'!C26</f>
        <v>518</v>
      </c>
      <c r="AD2" s="45">
        <f>'Base de données pop.'!C27</f>
        <v>701</v>
      </c>
      <c r="AE2" s="45">
        <f>'Base de données pop.'!C28</f>
        <v>564</v>
      </c>
      <c r="AF2" s="45">
        <f>'Base de données pop.'!C29</f>
        <v>525</v>
      </c>
      <c r="AG2" s="45">
        <f>'Base de données pop.'!C30</f>
        <v>1909</v>
      </c>
      <c r="AH2" s="45">
        <f>'Base de données pop.'!C31</f>
        <v>2580</v>
      </c>
      <c r="AI2" s="45">
        <f>'Base de données pop.'!C32</f>
        <v>222</v>
      </c>
      <c r="AJ2" s="45">
        <f>'Base de données pop.'!C33</f>
        <v>129</v>
      </c>
      <c r="AK2" s="45">
        <f>'Base de données pop.'!C34</f>
        <v>1891</v>
      </c>
      <c r="AL2" s="45">
        <f>'Base de données pop.'!C35</f>
        <v>1126</v>
      </c>
      <c r="AM2" s="45">
        <f>'Base de données pop.'!C36</f>
        <v>1225</v>
      </c>
      <c r="AN2" s="45">
        <f>'Base de données pop.'!C37</f>
        <v>117</v>
      </c>
      <c r="AO2" s="45">
        <f>'Base de données pop.'!C38</f>
        <v>1185</v>
      </c>
      <c r="AP2" s="45">
        <f>'Base de données pop.'!C39</f>
        <v>642</v>
      </c>
      <c r="AQ2" s="45">
        <f>'Base de données pop.'!C40</f>
        <v>633</v>
      </c>
      <c r="AR2" s="45">
        <f>'Base de données pop.'!C41</f>
        <v>1284</v>
      </c>
      <c r="AS2" s="45">
        <f>'Base de données pop.'!C42</f>
        <v>731</v>
      </c>
      <c r="AT2" s="45">
        <f>'Base de données pop.'!C43</f>
        <v>1016</v>
      </c>
      <c r="AU2" s="45">
        <f>'Base de données pop.'!C44</f>
        <v>304</v>
      </c>
      <c r="AV2" s="45">
        <f>'Base de données pop.'!C45</f>
        <v>2412</v>
      </c>
      <c r="AW2" s="45">
        <f>'Base de données pop.'!C46</f>
        <v>735</v>
      </c>
      <c r="AX2" s="45">
        <f>'Base de données pop.'!C47</f>
        <v>185</v>
      </c>
      <c r="AY2" s="45">
        <f>'Base de données pop.'!C48</f>
        <v>340</v>
      </c>
      <c r="AZ2" s="45">
        <f>'Base de données pop.'!C49</f>
        <v>1697</v>
      </c>
      <c r="BA2" s="45">
        <f>'Base de données pop.'!C50</f>
        <v>390</v>
      </c>
      <c r="BB2" s="45">
        <f>'Base de données pop.'!C51</f>
        <v>1073</v>
      </c>
      <c r="BC2" s="45">
        <f>'Base de données pop.'!C52</f>
        <v>184</v>
      </c>
      <c r="BD2" s="45">
        <f>'Base de données pop.'!C53</f>
        <v>6466</v>
      </c>
      <c r="BE2" s="45">
        <f>'Base de données pop.'!C54</f>
        <v>559</v>
      </c>
      <c r="BF2" s="45">
        <f>SUM(E2:BE2)</f>
        <v>73798</v>
      </c>
      <c r="BG2" s="45" t="s">
        <v>863</v>
      </c>
      <c r="BH2" s="45">
        <f>SUM(X2:AJ2)</f>
        <v>10478</v>
      </c>
      <c r="BI2" s="45">
        <f>SUM(AK2:BE2)</f>
        <v>24195</v>
      </c>
    </row>
    <row r="3" spans="1:61" x14ac:dyDescent="0.25">
      <c r="E3" s="33" t="s">
        <v>56</v>
      </c>
      <c r="F3" s="33" t="s">
        <v>18</v>
      </c>
      <c r="G3" s="33" t="s">
        <v>57</v>
      </c>
      <c r="H3" s="33" t="s">
        <v>53</v>
      </c>
      <c r="I3" s="33" t="s">
        <v>33</v>
      </c>
      <c r="J3" s="33" t="s">
        <v>10</v>
      </c>
      <c r="K3" s="33" t="s">
        <v>15</v>
      </c>
      <c r="L3" s="33" t="s">
        <v>28</v>
      </c>
      <c r="M3" s="33" t="s">
        <v>42</v>
      </c>
      <c r="N3" s="33" t="s">
        <v>23</v>
      </c>
      <c r="O3" s="33" t="s">
        <v>22</v>
      </c>
      <c r="P3" s="33" t="s">
        <v>13</v>
      </c>
      <c r="Q3" s="33" t="s">
        <v>17</v>
      </c>
      <c r="R3" s="33" t="s">
        <v>43</v>
      </c>
      <c r="S3" s="33" t="s">
        <v>40</v>
      </c>
      <c r="T3" s="33" t="s">
        <v>31</v>
      </c>
      <c r="U3" s="33" t="s">
        <v>12</v>
      </c>
      <c r="V3" s="33" t="s">
        <v>59</v>
      </c>
      <c r="W3" s="33" t="s">
        <v>27</v>
      </c>
      <c r="X3" s="34" t="s">
        <v>30</v>
      </c>
      <c r="Y3" s="34" t="s">
        <v>20</v>
      </c>
      <c r="Z3" s="34" t="s">
        <v>45</v>
      </c>
      <c r="AA3" s="34" t="s">
        <v>71</v>
      </c>
      <c r="AB3" s="34" t="s">
        <v>39</v>
      </c>
      <c r="AC3" s="34" t="s">
        <v>19</v>
      </c>
      <c r="AD3" s="34" t="s">
        <v>41</v>
      </c>
      <c r="AE3" s="34" t="s">
        <v>36</v>
      </c>
      <c r="AF3" s="34" t="s">
        <v>7</v>
      </c>
      <c r="AG3" s="34" t="s">
        <v>55</v>
      </c>
      <c r="AH3" s="34" t="s">
        <v>21</v>
      </c>
      <c r="AI3" s="34" t="s">
        <v>6</v>
      </c>
      <c r="AJ3" s="34" t="s">
        <v>34</v>
      </c>
      <c r="AK3" s="35" t="s">
        <v>52</v>
      </c>
      <c r="AL3" s="35" t="s">
        <v>14</v>
      </c>
      <c r="AM3" s="35" t="s">
        <v>32</v>
      </c>
      <c r="AN3" s="35" t="s">
        <v>29</v>
      </c>
      <c r="AO3" s="35" t="s">
        <v>26</v>
      </c>
      <c r="AP3" s="35" t="s">
        <v>48</v>
      </c>
      <c r="AQ3" s="35" t="s">
        <v>44</v>
      </c>
      <c r="AR3" s="35" t="s">
        <v>37</v>
      </c>
      <c r="AS3" s="35" t="s">
        <v>51</v>
      </c>
      <c r="AT3" s="35" t="s">
        <v>8</v>
      </c>
      <c r="AU3" s="35" t="s">
        <v>24</v>
      </c>
      <c r="AV3" s="35" t="s">
        <v>9</v>
      </c>
      <c r="AW3" s="35" t="s">
        <v>62</v>
      </c>
      <c r="AX3" s="35" t="s">
        <v>46</v>
      </c>
      <c r="AY3" s="35" t="s">
        <v>35</v>
      </c>
      <c r="AZ3" s="35" t="s">
        <v>49</v>
      </c>
      <c r="BA3" s="35" t="s">
        <v>47</v>
      </c>
      <c r="BB3" s="35" t="s">
        <v>58</v>
      </c>
      <c r="BC3" s="35" t="s">
        <v>50</v>
      </c>
      <c r="BD3" s="35" t="s">
        <v>16</v>
      </c>
      <c r="BE3" s="35" t="s">
        <v>25</v>
      </c>
      <c r="BF3" s="36" t="s">
        <v>65</v>
      </c>
      <c r="BG3" s="37" t="s">
        <v>28</v>
      </c>
      <c r="BH3" s="34" t="s">
        <v>64</v>
      </c>
      <c r="BI3" s="35" t="s">
        <v>16</v>
      </c>
    </row>
    <row r="4" spans="1:61" ht="21" x14ac:dyDescent="0.35">
      <c r="A4" s="74">
        <v>3</v>
      </c>
      <c r="B4" s="74"/>
      <c r="C4" s="74"/>
      <c r="D4" s="74" t="s">
        <v>60</v>
      </c>
      <c r="E4" s="75">
        <f>E5+E15+E27+E31+E39+E43+E53+E56+E64</f>
        <v>3547928.06</v>
      </c>
      <c r="F4" s="75">
        <f t="shared" ref="F4:BI4" si="0">F5+F15+F27+F31+F39+F43+F53+F56+F64</f>
        <v>1104222.5899999999</v>
      </c>
      <c r="G4" s="75">
        <f t="shared" si="0"/>
        <v>1636998.6900000002</v>
      </c>
      <c r="H4" s="75">
        <f t="shared" si="0"/>
        <v>1871483.1900000002</v>
      </c>
      <c r="I4" s="75">
        <f t="shared" si="0"/>
        <v>15364623.41</v>
      </c>
      <c r="J4" s="75">
        <f t="shared" si="0"/>
        <v>13172921.879999999</v>
      </c>
      <c r="K4" s="75">
        <f t="shared" si="0"/>
        <v>10016815.939999999</v>
      </c>
      <c r="L4" s="75">
        <f t="shared" si="0"/>
        <v>100800554.63999999</v>
      </c>
      <c r="M4" s="75">
        <f t="shared" si="0"/>
        <v>7481291.8300000001</v>
      </c>
      <c r="N4" s="75">
        <f t="shared" si="0"/>
        <v>536020.65</v>
      </c>
      <c r="O4" s="75">
        <f t="shared" si="0"/>
        <v>26624333.850000001</v>
      </c>
      <c r="P4" s="75">
        <f t="shared" si="0"/>
        <v>1790992.35</v>
      </c>
      <c r="Q4" s="75">
        <f t="shared" si="0"/>
        <v>425534.33</v>
      </c>
      <c r="R4" s="75">
        <f t="shared" si="0"/>
        <v>1503361.28</v>
      </c>
      <c r="S4" s="75">
        <f t="shared" si="0"/>
        <v>1329250.4099999999</v>
      </c>
      <c r="T4" s="75">
        <f t="shared" si="0"/>
        <v>2484677.1500000004</v>
      </c>
      <c r="U4" s="75">
        <f t="shared" si="0"/>
        <v>956901.98</v>
      </c>
      <c r="V4" s="75">
        <f t="shared" si="0"/>
        <v>2529377.8199999998</v>
      </c>
      <c r="W4" s="75">
        <f t="shared" si="0"/>
        <v>12339404.57</v>
      </c>
      <c r="X4" s="75">
        <f t="shared" si="0"/>
        <v>1802006.3599999999</v>
      </c>
      <c r="Y4" s="75">
        <f t="shared" si="0"/>
        <v>5752449.7999999989</v>
      </c>
      <c r="Z4" s="75">
        <f t="shared" si="0"/>
        <v>10414505.08</v>
      </c>
      <c r="AA4" s="75">
        <f t="shared" si="0"/>
        <v>642997.51</v>
      </c>
      <c r="AB4" s="75">
        <f t="shared" si="0"/>
        <v>882731.69</v>
      </c>
      <c r="AC4" s="75">
        <f t="shared" si="0"/>
        <v>2889421.5</v>
      </c>
      <c r="AD4" s="75">
        <f t="shared" si="0"/>
        <v>3405740.8099999996</v>
      </c>
      <c r="AE4" s="75">
        <f t="shared" si="0"/>
        <v>3027923.8099999996</v>
      </c>
      <c r="AF4" s="75">
        <f t="shared" si="0"/>
        <v>3390385.71</v>
      </c>
      <c r="AG4" s="75">
        <f t="shared" si="0"/>
        <v>9252963.9299999997</v>
      </c>
      <c r="AH4" s="75">
        <f t="shared" si="0"/>
        <v>11830677.219999999</v>
      </c>
      <c r="AI4" s="75">
        <f t="shared" si="0"/>
        <v>1131796.78</v>
      </c>
      <c r="AJ4" s="75">
        <f t="shared" si="0"/>
        <v>670605.41999999993</v>
      </c>
      <c r="AK4" s="75">
        <f t="shared" si="0"/>
        <v>8122047.5299999984</v>
      </c>
      <c r="AL4" s="75">
        <f t="shared" si="0"/>
        <v>5633557.879999999</v>
      </c>
      <c r="AM4" s="75">
        <f t="shared" si="0"/>
        <v>5309313.9099999992</v>
      </c>
      <c r="AN4" s="75">
        <f t="shared" si="0"/>
        <v>604769.01</v>
      </c>
      <c r="AO4" s="75">
        <f t="shared" si="0"/>
        <v>9194525.2200000007</v>
      </c>
      <c r="AP4" s="75">
        <f t="shared" si="0"/>
        <v>3680574.99</v>
      </c>
      <c r="AQ4" s="75">
        <f t="shared" si="0"/>
        <v>2288746.7700000005</v>
      </c>
      <c r="AR4" s="75">
        <f t="shared" si="0"/>
        <v>6542661.0299999993</v>
      </c>
      <c r="AS4" s="75">
        <f t="shared" si="0"/>
        <v>3553923.34</v>
      </c>
      <c r="AT4" s="75">
        <f t="shared" si="0"/>
        <v>4453882.2300000004</v>
      </c>
      <c r="AU4" s="75">
        <f t="shared" si="0"/>
        <v>1402767.31</v>
      </c>
      <c r="AV4" s="75">
        <f t="shared" si="0"/>
        <v>9872794.0700000003</v>
      </c>
      <c r="AW4" s="75">
        <f t="shared" si="0"/>
        <v>3239231.37</v>
      </c>
      <c r="AX4" s="75">
        <f t="shared" si="0"/>
        <v>704552.82</v>
      </c>
      <c r="AY4" s="75">
        <f t="shared" si="0"/>
        <v>1399501.2200000002</v>
      </c>
      <c r="AZ4" s="75">
        <f t="shared" si="0"/>
        <v>7247805.6699999999</v>
      </c>
      <c r="BA4" s="75">
        <f t="shared" si="0"/>
        <v>1613080.85</v>
      </c>
      <c r="BB4" s="75">
        <f t="shared" si="0"/>
        <v>5726456.6399999987</v>
      </c>
      <c r="BC4" s="75">
        <f t="shared" si="0"/>
        <v>694481.07</v>
      </c>
      <c r="BD4" s="75">
        <f t="shared" si="0"/>
        <v>39517486.210000001</v>
      </c>
      <c r="BE4" s="75">
        <f t="shared" si="0"/>
        <v>2420550.6100000003</v>
      </c>
      <c r="BF4" s="75">
        <f t="shared" si="0"/>
        <v>383833609.98999995</v>
      </c>
      <c r="BG4" s="75">
        <f t="shared" si="0"/>
        <v>205516694.61999997</v>
      </c>
      <c r="BH4" s="75">
        <f t="shared" si="0"/>
        <v>55094205.619999997</v>
      </c>
      <c r="BI4" s="75">
        <f t="shared" si="0"/>
        <v>123222709.75000001</v>
      </c>
    </row>
    <row r="5" spans="1:61" x14ac:dyDescent="0.25">
      <c r="A5" s="76"/>
      <c r="B5" s="76">
        <v>30</v>
      </c>
      <c r="C5" s="76"/>
      <c r="D5" s="76" t="s">
        <v>61</v>
      </c>
      <c r="E5" s="77">
        <f>E6+E7+E8+E9+E10+E11+E12+E13</f>
        <v>450690.30000000005</v>
      </c>
      <c r="F5" s="77">
        <f t="shared" ref="F5:BI5" si="1">F6+F7+F8+F9+F10+F11+F12+F13</f>
        <v>53889.4</v>
      </c>
      <c r="G5" s="77">
        <f t="shared" si="1"/>
        <v>132393.1</v>
      </c>
      <c r="H5" s="77">
        <f t="shared" si="1"/>
        <v>258390.40000000002</v>
      </c>
      <c r="I5" s="77">
        <f t="shared" si="1"/>
        <v>2657324.5</v>
      </c>
      <c r="J5" s="77">
        <f t="shared" si="1"/>
        <v>3047621.84</v>
      </c>
      <c r="K5" s="77">
        <f t="shared" si="1"/>
        <v>1079335.8499999999</v>
      </c>
      <c r="L5" s="77">
        <f t="shared" si="1"/>
        <v>24161377.409999996</v>
      </c>
      <c r="M5" s="77">
        <f t="shared" si="1"/>
        <v>1263436.2499999998</v>
      </c>
      <c r="N5" s="77">
        <f t="shared" si="1"/>
        <v>54332.7</v>
      </c>
      <c r="O5" s="77">
        <f t="shared" si="1"/>
        <v>3750775.35</v>
      </c>
      <c r="P5" s="77">
        <f t="shared" si="1"/>
        <v>171867.15000000002</v>
      </c>
      <c r="Q5" s="77">
        <f t="shared" si="1"/>
        <v>69241.5</v>
      </c>
      <c r="R5" s="77">
        <f t="shared" si="1"/>
        <v>235485.55000000002</v>
      </c>
      <c r="S5" s="77">
        <f t="shared" si="1"/>
        <v>146114.39000000001</v>
      </c>
      <c r="T5" s="77">
        <f t="shared" si="1"/>
        <v>257989.9</v>
      </c>
      <c r="U5" s="77">
        <f t="shared" si="1"/>
        <v>119902.39999999999</v>
      </c>
      <c r="V5" s="77">
        <f t="shared" si="1"/>
        <v>352193.44999999995</v>
      </c>
      <c r="W5" s="77">
        <f t="shared" si="1"/>
        <v>2297351.7000000002</v>
      </c>
      <c r="X5" s="77">
        <f t="shared" si="1"/>
        <v>91996.650000000009</v>
      </c>
      <c r="Y5" s="77">
        <f t="shared" si="1"/>
        <v>1314388.2499999998</v>
      </c>
      <c r="Z5" s="77">
        <f t="shared" si="1"/>
        <v>1704738.8900000001</v>
      </c>
      <c r="AA5" s="77">
        <f t="shared" si="1"/>
        <v>81630.3</v>
      </c>
      <c r="AB5" s="77">
        <f t="shared" si="1"/>
        <v>67663.399999999994</v>
      </c>
      <c r="AC5" s="77">
        <f t="shared" si="1"/>
        <v>380712.95</v>
      </c>
      <c r="AD5" s="77">
        <f t="shared" si="1"/>
        <v>577583.20000000007</v>
      </c>
      <c r="AE5" s="77">
        <f t="shared" si="1"/>
        <v>337240.39999999997</v>
      </c>
      <c r="AF5" s="77">
        <f t="shared" si="1"/>
        <v>320113.7</v>
      </c>
      <c r="AG5" s="77">
        <f t="shared" si="1"/>
        <v>996104.95</v>
      </c>
      <c r="AH5" s="77">
        <f t="shared" si="1"/>
        <v>1786409.6</v>
      </c>
      <c r="AI5" s="77">
        <f t="shared" si="1"/>
        <v>113364.00000000001</v>
      </c>
      <c r="AJ5" s="77">
        <f t="shared" si="1"/>
        <v>64499.599999999991</v>
      </c>
      <c r="AK5" s="77">
        <f t="shared" si="1"/>
        <v>763105.33</v>
      </c>
      <c r="AL5" s="77">
        <f t="shared" si="1"/>
        <v>657666.20000000007</v>
      </c>
      <c r="AM5" s="77">
        <f t="shared" si="1"/>
        <v>488008.4</v>
      </c>
      <c r="AN5" s="77">
        <f t="shared" si="1"/>
        <v>70210.33</v>
      </c>
      <c r="AO5" s="77">
        <f t="shared" si="1"/>
        <v>1366767.95</v>
      </c>
      <c r="AP5" s="77">
        <f t="shared" si="1"/>
        <v>782553.45000000007</v>
      </c>
      <c r="AQ5" s="77">
        <f t="shared" si="1"/>
        <v>215792.05000000002</v>
      </c>
      <c r="AR5" s="77">
        <f t="shared" si="1"/>
        <v>1185466</v>
      </c>
      <c r="AS5" s="77">
        <f t="shared" si="1"/>
        <v>408302</v>
      </c>
      <c r="AT5" s="77">
        <f t="shared" si="1"/>
        <v>478325.85000000003</v>
      </c>
      <c r="AU5" s="77">
        <f t="shared" si="1"/>
        <v>112105.29999999999</v>
      </c>
      <c r="AV5" s="77">
        <f t="shared" si="1"/>
        <v>1009880.65</v>
      </c>
      <c r="AW5" s="77">
        <f t="shared" si="1"/>
        <v>455851.81</v>
      </c>
      <c r="AX5" s="77">
        <f t="shared" si="1"/>
        <v>89789.4</v>
      </c>
      <c r="AY5" s="77">
        <f t="shared" si="1"/>
        <v>145853.9</v>
      </c>
      <c r="AZ5" s="77">
        <f t="shared" si="1"/>
        <v>859063.05</v>
      </c>
      <c r="BA5" s="77">
        <f t="shared" si="1"/>
        <v>134115.22</v>
      </c>
      <c r="BB5" s="77">
        <f t="shared" si="1"/>
        <v>1296398.5499999998</v>
      </c>
      <c r="BC5" s="77">
        <f t="shared" si="1"/>
        <v>73305.88</v>
      </c>
      <c r="BD5" s="77">
        <f t="shared" si="1"/>
        <v>10605254.83</v>
      </c>
      <c r="BE5" s="77">
        <f t="shared" si="1"/>
        <v>314902.15000000002</v>
      </c>
      <c r="BF5" s="77">
        <f t="shared" si="1"/>
        <v>69908877.330000013</v>
      </c>
      <c r="BG5" s="77">
        <f t="shared" si="1"/>
        <v>40559713.139999993</v>
      </c>
      <c r="BH5" s="77">
        <f t="shared" si="1"/>
        <v>7836445.8900000006</v>
      </c>
      <c r="BI5" s="77">
        <f t="shared" si="1"/>
        <v>21512718.300000001</v>
      </c>
    </row>
    <row r="6" spans="1:61" x14ac:dyDescent="0.25">
      <c r="C6">
        <v>300</v>
      </c>
      <c r="D6" t="s">
        <v>80</v>
      </c>
      <c r="E6" s="4">
        <v>40562</v>
      </c>
      <c r="F6" s="4">
        <v>21005.75</v>
      </c>
      <c r="G6" s="4">
        <v>29595.599999999999</v>
      </c>
      <c r="H6" s="4">
        <v>39883.85</v>
      </c>
      <c r="I6" s="4">
        <v>172990</v>
      </c>
      <c r="J6" s="4">
        <v>142933.5</v>
      </c>
      <c r="K6" s="4">
        <v>116958.8</v>
      </c>
      <c r="L6" s="4">
        <v>752043.75</v>
      </c>
      <c r="M6" s="4">
        <v>71414.5</v>
      </c>
      <c r="N6" s="4">
        <v>18321.8</v>
      </c>
      <c r="O6" s="4">
        <v>272874.05</v>
      </c>
      <c r="P6" s="4">
        <v>45464</v>
      </c>
      <c r="Q6" s="4">
        <v>14415</v>
      </c>
      <c r="R6" s="4">
        <v>19474.5</v>
      </c>
      <c r="S6" s="4">
        <v>23616.85</v>
      </c>
      <c r="T6" s="4">
        <v>61213.15</v>
      </c>
      <c r="U6" s="4">
        <v>14759.65</v>
      </c>
      <c r="V6" s="4">
        <v>61385.599999999999</v>
      </c>
      <c r="W6" s="4">
        <v>109637.35</v>
      </c>
      <c r="X6" s="4">
        <v>31797.65</v>
      </c>
      <c r="Y6" s="4">
        <v>61360.15</v>
      </c>
      <c r="Z6" s="4">
        <v>50425.05</v>
      </c>
      <c r="AA6" s="4">
        <v>5259.5</v>
      </c>
      <c r="AB6" s="4">
        <v>11716.25</v>
      </c>
      <c r="AC6" s="4">
        <v>26451.75</v>
      </c>
      <c r="AD6" s="4">
        <v>29656.85</v>
      </c>
      <c r="AE6" s="4">
        <v>36113.75</v>
      </c>
      <c r="AF6" s="4">
        <v>26743.85</v>
      </c>
      <c r="AG6" s="4">
        <v>86800</v>
      </c>
      <c r="AH6" s="4">
        <v>60781.9</v>
      </c>
      <c r="AI6" s="4">
        <v>23237.599999999999</v>
      </c>
      <c r="AJ6" s="4">
        <v>12759.6</v>
      </c>
      <c r="AK6" s="4">
        <v>136457.60000000001</v>
      </c>
      <c r="AL6" s="4">
        <v>52951</v>
      </c>
      <c r="AM6" s="4">
        <v>45054.15</v>
      </c>
      <c r="AN6" s="4">
        <v>18986.3</v>
      </c>
      <c r="AO6" s="4">
        <v>90947.6</v>
      </c>
      <c r="AP6" s="4">
        <v>28573.05</v>
      </c>
      <c r="AQ6" s="4">
        <v>41365.75</v>
      </c>
      <c r="AR6" s="4">
        <v>88093.75</v>
      </c>
      <c r="AS6" s="4">
        <v>32627.4</v>
      </c>
      <c r="AT6" s="4">
        <v>40182.5</v>
      </c>
      <c r="AU6" s="4">
        <v>11720</v>
      </c>
      <c r="AV6" s="4">
        <v>56978.75</v>
      </c>
      <c r="AW6" s="4">
        <v>47462.5</v>
      </c>
      <c r="AX6" s="4">
        <v>12087.05</v>
      </c>
      <c r="AY6" s="4">
        <v>13348.9</v>
      </c>
      <c r="AZ6" s="4">
        <v>55190</v>
      </c>
      <c r="BA6" s="4">
        <v>19842.5</v>
      </c>
      <c r="BB6" s="4">
        <v>55844.2</v>
      </c>
      <c r="BC6" s="4">
        <v>12139</v>
      </c>
      <c r="BD6" s="4">
        <v>237727.8</v>
      </c>
      <c r="BE6" s="4">
        <v>27030.9</v>
      </c>
      <c r="BF6" s="4">
        <f>SUM(E6:BE6)</f>
        <v>3616264.2999999993</v>
      </c>
      <c r="BG6" s="4">
        <f>SUM(E6:W6)</f>
        <v>2028549.7000000002</v>
      </c>
      <c r="BH6" s="4">
        <f>SUM(X6:AJ6)</f>
        <v>463103.89999999997</v>
      </c>
      <c r="BI6" s="4">
        <f>SUM(AK6:BE6)</f>
        <v>1124610.7</v>
      </c>
    </row>
    <row r="7" spans="1:61" x14ac:dyDescent="0.25">
      <c r="C7">
        <v>301</v>
      </c>
      <c r="D7" t="s">
        <v>81</v>
      </c>
      <c r="E7" s="4">
        <v>342108.95</v>
      </c>
      <c r="F7" s="4">
        <v>29533.75</v>
      </c>
      <c r="G7" s="4">
        <v>87870.399999999994</v>
      </c>
      <c r="H7" s="4">
        <v>188391.97</v>
      </c>
      <c r="I7" s="4">
        <v>2008127.05</v>
      </c>
      <c r="J7" s="4">
        <v>2314297.5499999998</v>
      </c>
      <c r="K7" s="4">
        <v>755542.5</v>
      </c>
      <c r="L7" s="4">
        <v>19164611.379999999</v>
      </c>
      <c r="M7" s="4">
        <v>999556.45</v>
      </c>
      <c r="N7" s="4">
        <v>29117.4</v>
      </c>
      <c r="O7" s="4">
        <v>2811709</v>
      </c>
      <c r="P7" s="4">
        <v>100165.6</v>
      </c>
      <c r="Q7" s="4">
        <v>45432</v>
      </c>
      <c r="R7" s="4">
        <v>167946.95</v>
      </c>
      <c r="S7" s="4">
        <v>96056.69</v>
      </c>
      <c r="T7" s="4">
        <v>170246.6</v>
      </c>
      <c r="U7" s="4">
        <v>88447.75</v>
      </c>
      <c r="V7" s="4">
        <v>239954</v>
      </c>
      <c r="W7" s="4">
        <v>1811636.95</v>
      </c>
      <c r="X7" s="4">
        <v>51637.8</v>
      </c>
      <c r="Y7" s="4">
        <v>1056793.75</v>
      </c>
      <c r="Z7" s="4">
        <v>1382599.84</v>
      </c>
      <c r="AA7" s="4">
        <v>66183.25</v>
      </c>
      <c r="AB7" s="4">
        <v>49974.400000000001</v>
      </c>
      <c r="AC7" s="4">
        <v>291625.55</v>
      </c>
      <c r="AD7" s="4">
        <v>448573.65</v>
      </c>
      <c r="AE7" s="4">
        <v>243358.35</v>
      </c>
      <c r="AF7" s="4">
        <v>267634.7</v>
      </c>
      <c r="AG7" s="4">
        <v>719854.6</v>
      </c>
      <c r="AH7" s="4">
        <v>1431118.6</v>
      </c>
      <c r="AI7" s="4">
        <v>73228.100000000006</v>
      </c>
      <c r="AJ7" s="4">
        <v>43348.95</v>
      </c>
      <c r="AK7" s="4">
        <v>518396.06</v>
      </c>
      <c r="AL7" s="4">
        <v>491992.55</v>
      </c>
      <c r="AM7" s="4">
        <v>365025.55</v>
      </c>
      <c r="AN7" s="4">
        <v>39666.65</v>
      </c>
      <c r="AO7" s="4">
        <v>1064893.25</v>
      </c>
      <c r="AP7" s="4">
        <v>627781.25</v>
      </c>
      <c r="AQ7" s="4">
        <v>141588.95000000001</v>
      </c>
      <c r="AR7" s="4">
        <v>926921</v>
      </c>
      <c r="AS7" s="4">
        <v>306853.84999999998</v>
      </c>
      <c r="AT7" s="4">
        <v>360221.45</v>
      </c>
      <c r="AU7" s="4">
        <v>80999.399999999994</v>
      </c>
      <c r="AV7" s="4">
        <v>766066.1</v>
      </c>
      <c r="AW7" s="4">
        <v>325406.06</v>
      </c>
      <c r="AX7" s="4">
        <v>65065.9</v>
      </c>
      <c r="AY7" s="4">
        <v>111916.5</v>
      </c>
      <c r="AZ7" s="4">
        <v>654344.15</v>
      </c>
      <c r="BA7" s="4">
        <v>90578.7</v>
      </c>
      <c r="BB7" s="4">
        <v>1029591.95</v>
      </c>
      <c r="BC7" s="4">
        <v>50061.4</v>
      </c>
      <c r="BD7" s="4">
        <v>8532628.6300000008</v>
      </c>
      <c r="BE7" s="4">
        <v>239400.55</v>
      </c>
      <c r="BF7" s="4">
        <f t="shared" ref="BF7:BF13" si="2">SUM(E7:BE7)</f>
        <v>54366084.38000001</v>
      </c>
      <c r="BG7" s="4">
        <f t="shared" ref="BG7:BG13" si="3">SUM(E7:W7)</f>
        <v>31450752.939999998</v>
      </c>
      <c r="BH7" s="4">
        <f t="shared" ref="BH7:BH13" si="4">SUM(X7:AJ7)</f>
        <v>6125931.54</v>
      </c>
      <c r="BI7" s="4">
        <f t="shared" ref="BI7:BI13" si="5">SUM(AK7:BE7)</f>
        <v>16789399.900000002</v>
      </c>
    </row>
    <row r="8" spans="1:61" x14ac:dyDescent="0.25">
      <c r="C8">
        <v>302</v>
      </c>
      <c r="D8" t="s">
        <v>82</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2685</v>
      </c>
      <c r="AH8" s="4">
        <v>0</v>
      </c>
      <c r="AI8" s="4">
        <v>0</v>
      </c>
      <c r="AJ8" s="4">
        <v>0</v>
      </c>
      <c r="AK8" s="4">
        <v>0</v>
      </c>
      <c r="AL8" s="4">
        <v>0</v>
      </c>
      <c r="AM8" s="4">
        <v>0</v>
      </c>
      <c r="AN8" s="4">
        <v>0</v>
      </c>
      <c r="AO8" s="4">
        <v>0</v>
      </c>
      <c r="AP8" s="4">
        <v>0</v>
      </c>
      <c r="AQ8" s="4">
        <v>0</v>
      </c>
      <c r="AR8" s="4">
        <v>0</v>
      </c>
      <c r="AS8" s="4">
        <v>0</v>
      </c>
      <c r="AT8" s="4">
        <v>0</v>
      </c>
      <c r="AU8" s="4">
        <v>0</v>
      </c>
      <c r="AV8" s="4">
        <v>0</v>
      </c>
      <c r="AW8" s="4">
        <v>0</v>
      </c>
      <c r="AX8" s="4">
        <v>0</v>
      </c>
      <c r="AY8" s="4">
        <v>0</v>
      </c>
      <c r="AZ8" s="4">
        <v>0</v>
      </c>
      <c r="BA8" s="4">
        <v>0</v>
      </c>
      <c r="BB8" s="4">
        <v>0</v>
      </c>
      <c r="BC8" s="4">
        <v>0</v>
      </c>
      <c r="BD8" s="4">
        <v>0</v>
      </c>
      <c r="BE8" s="4">
        <v>0</v>
      </c>
      <c r="BF8" s="4">
        <f t="shared" si="2"/>
        <v>2685</v>
      </c>
      <c r="BG8" s="4">
        <f t="shared" si="3"/>
        <v>0</v>
      </c>
      <c r="BH8" s="4">
        <f t="shared" si="4"/>
        <v>2685</v>
      </c>
      <c r="BI8" s="4">
        <f t="shared" si="5"/>
        <v>0</v>
      </c>
    </row>
    <row r="9" spans="1:61" x14ac:dyDescent="0.25">
      <c r="C9">
        <v>303</v>
      </c>
      <c r="D9" t="s">
        <v>83</v>
      </c>
      <c r="E9" s="4">
        <v>0</v>
      </c>
      <c r="F9" s="4">
        <v>0</v>
      </c>
      <c r="G9" s="4">
        <v>0</v>
      </c>
      <c r="H9" s="4">
        <v>0</v>
      </c>
      <c r="I9" s="4">
        <v>0</v>
      </c>
      <c r="J9" s="4">
        <v>0</v>
      </c>
      <c r="K9" s="4">
        <v>0</v>
      </c>
      <c r="L9" s="4">
        <v>0</v>
      </c>
      <c r="M9" s="4">
        <v>4430.8999999999996</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4">
        <v>0</v>
      </c>
      <c r="AK9" s="4">
        <v>0</v>
      </c>
      <c r="AL9" s="4">
        <v>0</v>
      </c>
      <c r="AM9" s="4">
        <v>1400</v>
      </c>
      <c r="AN9" s="4">
        <v>0</v>
      </c>
      <c r="AO9" s="4">
        <v>0</v>
      </c>
      <c r="AP9" s="4">
        <v>0</v>
      </c>
      <c r="AQ9" s="4">
        <v>0</v>
      </c>
      <c r="AR9" s="4">
        <v>0</v>
      </c>
      <c r="AS9" s="4">
        <v>0</v>
      </c>
      <c r="AT9" s="4">
        <v>0</v>
      </c>
      <c r="AU9" s="4">
        <v>0</v>
      </c>
      <c r="AV9" s="4">
        <v>0</v>
      </c>
      <c r="AW9" s="4">
        <v>165</v>
      </c>
      <c r="AX9" s="4">
        <v>0</v>
      </c>
      <c r="AY9" s="4">
        <v>0</v>
      </c>
      <c r="AZ9" s="4">
        <v>0</v>
      </c>
      <c r="BA9" s="4">
        <v>0</v>
      </c>
      <c r="BB9" s="4">
        <v>0</v>
      </c>
      <c r="BC9" s="4">
        <v>0</v>
      </c>
      <c r="BD9" s="4">
        <v>0</v>
      </c>
      <c r="BE9" s="4">
        <v>0</v>
      </c>
      <c r="BF9" s="4">
        <f t="shared" si="2"/>
        <v>5995.9</v>
      </c>
      <c r="BG9" s="4">
        <f t="shared" si="3"/>
        <v>4430.8999999999996</v>
      </c>
      <c r="BH9" s="4">
        <f t="shared" si="4"/>
        <v>0</v>
      </c>
      <c r="BI9" s="4">
        <f t="shared" si="5"/>
        <v>1565</v>
      </c>
    </row>
    <row r="10" spans="1:61" x14ac:dyDescent="0.25">
      <c r="C10">
        <v>304</v>
      </c>
      <c r="D10" t="s">
        <v>583</v>
      </c>
      <c r="E10" s="4">
        <v>0</v>
      </c>
      <c r="F10" s="4">
        <v>0</v>
      </c>
      <c r="G10" s="4">
        <v>0</v>
      </c>
      <c r="H10" s="4">
        <v>0</v>
      </c>
      <c r="I10" s="4">
        <v>0</v>
      </c>
      <c r="J10" s="4">
        <v>22262.9</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c r="AD10" s="4">
        <v>0</v>
      </c>
      <c r="AE10" s="4">
        <v>0</v>
      </c>
      <c r="AF10" s="4">
        <v>0</v>
      </c>
      <c r="AG10" s="4">
        <v>2000</v>
      </c>
      <c r="AH10" s="4">
        <v>15000</v>
      </c>
      <c r="AI10" s="4">
        <v>0</v>
      </c>
      <c r="AJ10" s="4">
        <v>0</v>
      </c>
      <c r="AK10" s="4">
        <v>0</v>
      </c>
      <c r="AL10" s="4">
        <v>0</v>
      </c>
      <c r="AM10" s="4">
        <v>0</v>
      </c>
      <c r="AN10" s="4">
        <v>0</v>
      </c>
      <c r="AO10" s="4">
        <v>0</v>
      </c>
      <c r="AP10" s="4">
        <v>0</v>
      </c>
      <c r="AQ10" s="4">
        <v>0</v>
      </c>
      <c r="AR10" s="4">
        <v>0</v>
      </c>
      <c r="AS10" s="4">
        <v>0</v>
      </c>
      <c r="AT10" s="4">
        <v>0</v>
      </c>
      <c r="AU10" s="4">
        <v>0.15</v>
      </c>
      <c r="AV10" s="4">
        <v>0</v>
      </c>
      <c r="AW10" s="4">
        <v>0</v>
      </c>
      <c r="AX10" s="4">
        <v>0</v>
      </c>
      <c r="AY10" s="4">
        <v>0</v>
      </c>
      <c r="AZ10" s="4">
        <v>0</v>
      </c>
      <c r="BA10" s="4">
        <v>0</v>
      </c>
      <c r="BB10" s="4">
        <v>0</v>
      </c>
      <c r="BC10" s="4">
        <v>0</v>
      </c>
      <c r="BD10" s="4">
        <v>0</v>
      </c>
      <c r="BE10" s="4">
        <v>0</v>
      </c>
      <c r="BF10" s="4">
        <f t="shared" si="2"/>
        <v>39263.050000000003</v>
      </c>
      <c r="BG10" s="4">
        <f t="shared" si="3"/>
        <v>22262.9</v>
      </c>
      <c r="BH10" s="4">
        <f t="shared" si="4"/>
        <v>17000</v>
      </c>
      <c r="BI10" s="4">
        <f t="shared" si="5"/>
        <v>0.15</v>
      </c>
    </row>
    <row r="11" spans="1:61" x14ac:dyDescent="0.25">
      <c r="C11">
        <v>305</v>
      </c>
      <c r="D11" t="s">
        <v>84</v>
      </c>
      <c r="E11" s="4">
        <v>67257.350000000006</v>
      </c>
      <c r="F11" s="4">
        <v>3301.8</v>
      </c>
      <c r="G11" s="4">
        <v>14825.1</v>
      </c>
      <c r="H11" s="4">
        <v>30114.58</v>
      </c>
      <c r="I11" s="4">
        <v>460421.25</v>
      </c>
      <c r="J11" s="4">
        <v>548303</v>
      </c>
      <c r="K11" s="4">
        <v>195838.15</v>
      </c>
      <c r="L11" s="4">
        <v>4015822.77</v>
      </c>
      <c r="M11" s="4">
        <v>177678.75</v>
      </c>
      <c r="N11" s="4">
        <v>5353.5</v>
      </c>
      <c r="O11" s="4">
        <v>630800.69999999995</v>
      </c>
      <c r="P11" s="4">
        <v>22505.95</v>
      </c>
      <c r="Q11" s="4">
        <v>7699.65</v>
      </c>
      <c r="R11" s="4">
        <v>46526.400000000001</v>
      </c>
      <c r="S11" s="4">
        <v>19951.849999999999</v>
      </c>
      <c r="T11" s="4">
        <v>26389.1</v>
      </c>
      <c r="U11" s="4">
        <v>12895</v>
      </c>
      <c r="V11" s="4">
        <v>49844.3</v>
      </c>
      <c r="W11" s="4">
        <v>357174.65</v>
      </c>
      <c r="X11" s="4">
        <v>7461.2</v>
      </c>
      <c r="Y11" s="4">
        <v>188679.2</v>
      </c>
      <c r="Z11" s="4">
        <v>258211.85</v>
      </c>
      <c r="AA11" s="4">
        <v>10187.549999999999</v>
      </c>
      <c r="AB11" s="4">
        <v>5972.75</v>
      </c>
      <c r="AC11" s="4">
        <v>56239.15</v>
      </c>
      <c r="AD11" s="4">
        <v>85676.9</v>
      </c>
      <c r="AE11" s="4">
        <v>48596.75</v>
      </c>
      <c r="AF11" s="4">
        <v>24287.7</v>
      </c>
      <c r="AG11" s="4">
        <v>173682.65</v>
      </c>
      <c r="AH11" s="4">
        <v>267452</v>
      </c>
      <c r="AI11" s="4">
        <v>16898.3</v>
      </c>
      <c r="AJ11" s="4">
        <v>8391.0499999999993</v>
      </c>
      <c r="AK11" s="4">
        <v>104839.1</v>
      </c>
      <c r="AL11" s="4">
        <v>111922.65</v>
      </c>
      <c r="AM11" s="4">
        <v>73454</v>
      </c>
      <c r="AN11" s="4">
        <v>11540.5</v>
      </c>
      <c r="AO11" s="4">
        <v>191508.9</v>
      </c>
      <c r="AP11" s="4">
        <v>121435.8</v>
      </c>
      <c r="AQ11" s="4">
        <v>31268.400000000001</v>
      </c>
      <c r="AR11" s="4">
        <v>162248.9</v>
      </c>
      <c r="AS11" s="4">
        <v>67179.850000000006</v>
      </c>
      <c r="AT11" s="4">
        <v>64362.25</v>
      </c>
      <c r="AU11" s="4">
        <v>16596.5</v>
      </c>
      <c r="AV11" s="4">
        <v>176376.2</v>
      </c>
      <c r="AW11" s="4">
        <v>65014.95</v>
      </c>
      <c r="AX11" s="4">
        <v>11879.15</v>
      </c>
      <c r="AY11" s="4">
        <v>19925.099999999999</v>
      </c>
      <c r="AZ11" s="4">
        <v>145209.1</v>
      </c>
      <c r="BA11" s="4">
        <v>19370.87</v>
      </c>
      <c r="BB11" s="4">
        <v>197632</v>
      </c>
      <c r="BC11" s="4">
        <v>10334.780000000001</v>
      </c>
      <c r="BD11" s="4">
        <v>1753581.36</v>
      </c>
      <c r="BE11" s="4">
        <v>48051.45</v>
      </c>
      <c r="BF11" s="4">
        <f t="shared" si="2"/>
        <v>11248172.709999997</v>
      </c>
      <c r="BG11" s="4">
        <f t="shared" si="3"/>
        <v>6692703.8500000006</v>
      </c>
      <c r="BH11" s="4">
        <f t="shared" si="4"/>
        <v>1151737.05</v>
      </c>
      <c r="BI11" s="4">
        <f t="shared" si="5"/>
        <v>3403731.8100000005</v>
      </c>
    </row>
    <row r="12" spans="1:61" x14ac:dyDescent="0.25">
      <c r="C12">
        <v>306</v>
      </c>
      <c r="D12" t="s">
        <v>85</v>
      </c>
      <c r="E12" s="4">
        <v>0</v>
      </c>
      <c r="F12" s="4">
        <v>0</v>
      </c>
      <c r="G12" s="4">
        <v>0</v>
      </c>
      <c r="H12" s="4">
        <v>0</v>
      </c>
      <c r="I12" s="4">
        <v>3029.75</v>
      </c>
      <c r="J12" s="4">
        <v>0</v>
      </c>
      <c r="K12" s="4">
        <v>0</v>
      </c>
      <c r="L12" s="4">
        <v>51641.7</v>
      </c>
      <c r="M12" s="4">
        <v>0</v>
      </c>
      <c r="N12" s="4">
        <v>0</v>
      </c>
      <c r="O12" s="4">
        <v>0</v>
      </c>
      <c r="P12" s="4">
        <v>0</v>
      </c>
      <c r="Q12" s="4">
        <v>0</v>
      </c>
      <c r="R12" s="4">
        <v>0</v>
      </c>
      <c r="S12" s="4">
        <v>0</v>
      </c>
      <c r="T12" s="4">
        <v>0</v>
      </c>
      <c r="U12" s="4">
        <v>0</v>
      </c>
      <c r="V12" s="4">
        <v>0</v>
      </c>
      <c r="W12" s="4">
        <v>0</v>
      </c>
      <c r="X12" s="4">
        <v>0</v>
      </c>
      <c r="Y12" s="4">
        <v>0</v>
      </c>
      <c r="Z12" s="4">
        <v>500</v>
      </c>
      <c r="AA12" s="4">
        <v>0</v>
      </c>
      <c r="AB12" s="4">
        <v>0</v>
      </c>
      <c r="AC12" s="4">
        <v>0</v>
      </c>
      <c r="AD12" s="4">
        <v>0</v>
      </c>
      <c r="AE12" s="4">
        <v>4600</v>
      </c>
      <c r="AF12" s="4">
        <v>0</v>
      </c>
      <c r="AG12" s="4">
        <v>0</v>
      </c>
      <c r="AH12" s="4">
        <v>0</v>
      </c>
      <c r="AI12" s="4">
        <v>0</v>
      </c>
      <c r="AJ12" s="4">
        <v>0</v>
      </c>
      <c r="AK12" s="4">
        <v>0</v>
      </c>
      <c r="AL12" s="4">
        <v>0</v>
      </c>
      <c r="AM12" s="4">
        <v>2140</v>
      </c>
      <c r="AN12" s="4">
        <v>0</v>
      </c>
      <c r="AO12" s="4">
        <v>0</v>
      </c>
      <c r="AP12" s="4">
        <v>0</v>
      </c>
      <c r="AQ12" s="4">
        <v>0</v>
      </c>
      <c r="AR12" s="4">
        <v>0</v>
      </c>
      <c r="AS12" s="4">
        <v>0</v>
      </c>
      <c r="AT12" s="4">
        <v>0</v>
      </c>
      <c r="AU12" s="4">
        <v>0</v>
      </c>
      <c r="AV12" s="4">
        <v>0</v>
      </c>
      <c r="AW12" s="4">
        <v>0</v>
      </c>
      <c r="AX12" s="4">
        <v>0</v>
      </c>
      <c r="AY12" s="4">
        <v>0</v>
      </c>
      <c r="AZ12" s="4">
        <v>0</v>
      </c>
      <c r="BA12" s="4">
        <v>0</v>
      </c>
      <c r="BB12" s="4">
        <v>0</v>
      </c>
      <c r="BC12" s="4">
        <v>0</v>
      </c>
      <c r="BD12" s="4">
        <v>0</v>
      </c>
      <c r="BE12" s="4">
        <v>0</v>
      </c>
      <c r="BF12" s="4">
        <f t="shared" si="2"/>
        <v>61911.45</v>
      </c>
      <c r="BG12" s="4">
        <f t="shared" si="3"/>
        <v>54671.45</v>
      </c>
      <c r="BH12" s="4">
        <f t="shared" si="4"/>
        <v>5100</v>
      </c>
      <c r="BI12" s="4">
        <f t="shared" si="5"/>
        <v>2140</v>
      </c>
    </row>
    <row r="13" spans="1:61" x14ac:dyDescent="0.25">
      <c r="C13">
        <v>309</v>
      </c>
      <c r="D13" t="s">
        <v>86</v>
      </c>
      <c r="E13" s="4">
        <v>762</v>
      </c>
      <c r="F13" s="4">
        <v>48.1</v>
      </c>
      <c r="G13" s="4">
        <v>102</v>
      </c>
      <c r="H13" s="4">
        <v>0</v>
      </c>
      <c r="I13" s="4">
        <v>12756.45</v>
      </c>
      <c r="J13" s="4">
        <v>19824.89</v>
      </c>
      <c r="K13" s="4">
        <v>10996.4</v>
      </c>
      <c r="L13" s="4">
        <v>177257.81</v>
      </c>
      <c r="M13" s="4">
        <v>10355.65</v>
      </c>
      <c r="N13" s="4">
        <v>1540</v>
      </c>
      <c r="O13" s="4">
        <v>35391.599999999999</v>
      </c>
      <c r="P13" s="4">
        <v>3731.6</v>
      </c>
      <c r="Q13" s="4">
        <v>1694.85</v>
      </c>
      <c r="R13" s="4">
        <v>1537.7</v>
      </c>
      <c r="S13" s="4">
        <v>6489</v>
      </c>
      <c r="T13" s="4">
        <v>141.05000000000001</v>
      </c>
      <c r="U13" s="4">
        <v>3800</v>
      </c>
      <c r="V13" s="4">
        <v>1009.55</v>
      </c>
      <c r="W13" s="4">
        <v>18902.75</v>
      </c>
      <c r="X13" s="4">
        <v>1100</v>
      </c>
      <c r="Y13" s="4">
        <v>7555.15</v>
      </c>
      <c r="Z13" s="4">
        <v>13002.15</v>
      </c>
      <c r="AA13" s="4">
        <v>0</v>
      </c>
      <c r="AB13" s="4">
        <v>0</v>
      </c>
      <c r="AC13" s="4">
        <v>6396.5</v>
      </c>
      <c r="AD13" s="4">
        <v>13675.8</v>
      </c>
      <c r="AE13" s="4">
        <v>4571.55</v>
      </c>
      <c r="AF13" s="4">
        <v>1447.45</v>
      </c>
      <c r="AG13" s="4">
        <v>11082.7</v>
      </c>
      <c r="AH13" s="4">
        <v>12057.1</v>
      </c>
      <c r="AI13" s="4">
        <v>0</v>
      </c>
      <c r="AJ13" s="4">
        <v>0</v>
      </c>
      <c r="AK13" s="4">
        <v>3412.57</v>
      </c>
      <c r="AL13" s="4">
        <v>800</v>
      </c>
      <c r="AM13" s="4">
        <v>934.7</v>
      </c>
      <c r="AN13" s="4">
        <v>16.88</v>
      </c>
      <c r="AO13" s="4">
        <v>19418.2</v>
      </c>
      <c r="AP13" s="4">
        <v>4763.3500000000004</v>
      </c>
      <c r="AQ13" s="4">
        <v>1568.95</v>
      </c>
      <c r="AR13" s="4">
        <v>8202.35</v>
      </c>
      <c r="AS13" s="4">
        <v>1640.9</v>
      </c>
      <c r="AT13" s="4">
        <v>13559.65</v>
      </c>
      <c r="AU13" s="4">
        <v>2789.25</v>
      </c>
      <c r="AV13" s="4">
        <v>10459.6</v>
      </c>
      <c r="AW13" s="4">
        <v>17803.3</v>
      </c>
      <c r="AX13" s="4">
        <v>757.3</v>
      </c>
      <c r="AY13" s="4">
        <v>663.4</v>
      </c>
      <c r="AZ13" s="4">
        <v>4319.8</v>
      </c>
      <c r="BA13" s="4">
        <v>4323.1499999999996</v>
      </c>
      <c r="BB13" s="4">
        <v>13330.4</v>
      </c>
      <c r="BC13" s="4">
        <v>770.7</v>
      </c>
      <c r="BD13" s="4">
        <v>81317.039999999994</v>
      </c>
      <c r="BE13" s="4">
        <v>419.25</v>
      </c>
      <c r="BF13" s="4">
        <f t="shared" si="2"/>
        <v>568500.54</v>
      </c>
      <c r="BG13" s="4">
        <f t="shared" si="3"/>
        <v>306341.39999999991</v>
      </c>
      <c r="BH13" s="4">
        <f t="shared" si="4"/>
        <v>70888.400000000009</v>
      </c>
      <c r="BI13" s="4">
        <f t="shared" si="5"/>
        <v>191270.74</v>
      </c>
    </row>
    <row r="14" spans="1:61" x14ac:dyDescent="0.25">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row>
    <row r="15" spans="1:61" x14ac:dyDescent="0.25">
      <c r="B15" s="76">
        <v>31</v>
      </c>
      <c r="C15" s="76"/>
      <c r="D15" s="76" t="s">
        <v>87</v>
      </c>
      <c r="E15" s="77">
        <f>E16+E17+E18+E19+E20+E21+E22+E23+E24+E25</f>
        <v>549823.39</v>
      </c>
      <c r="F15" s="77">
        <f t="shared" ref="F15:BI15" si="6">F16+F17+F18+F19+F20+F21+F22+F23+F24+F25</f>
        <v>254518.51</v>
      </c>
      <c r="G15" s="77">
        <f t="shared" si="6"/>
        <v>248418.09000000003</v>
      </c>
      <c r="H15" s="77">
        <f t="shared" si="6"/>
        <v>410875.58000000007</v>
      </c>
      <c r="I15" s="77">
        <f t="shared" si="6"/>
        <v>3068964.72</v>
      </c>
      <c r="J15" s="77">
        <f t="shared" si="6"/>
        <v>2179901.38</v>
      </c>
      <c r="K15" s="77">
        <f t="shared" si="6"/>
        <v>1530298.89</v>
      </c>
      <c r="L15" s="77">
        <f t="shared" si="6"/>
        <v>22441748.619999997</v>
      </c>
      <c r="M15" s="77">
        <f t="shared" si="6"/>
        <v>2000847.41</v>
      </c>
      <c r="N15" s="77">
        <f t="shared" si="6"/>
        <v>80647.23000000001</v>
      </c>
      <c r="O15" s="77">
        <f t="shared" si="6"/>
        <v>4072112.6499999994</v>
      </c>
      <c r="P15" s="77">
        <f t="shared" si="6"/>
        <v>353807.63000000006</v>
      </c>
      <c r="Q15" s="77">
        <f t="shared" si="6"/>
        <v>97542.23000000001</v>
      </c>
      <c r="R15" s="77">
        <f t="shared" si="6"/>
        <v>225879.15999999997</v>
      </c>
      <c r="S15" s="77">
        <f t="shared" si="6"/>
        <v>258484.23000000004</v>
      </c>
      <c r="T15" s="77">
        <f t="shared" si="6"/>
        <v>663454.38</v>
      </c>
      <c r="U15" s="77">
        <f t="shared" si="6"/>
        <v>223295.85</v>
      </c>
      <c r="V15" s="77">
        <f t="shared" si="6"/>
        <v>633090.27</v>
      </c>
      <c r="W15" s="77">
        <f t="shared" si="6"/>
        <v>1937241.99</v>
      </c>
      <c r="X15" s="77">
        <f t="shared" si="6"/>
        <v>484719.37999999995</v>
      </c>
      <c r="Y15" s="77">
        <f t="shared" si="6"/>
        <v>1120838.97</v>
      </c>
      <c r="Z15" s="77">
        <f t="shared" si="6"/>
        <v>2551755.75</v>
      </c>
      <c r="AA15" s="77">
        <f t="shared" si="6"/>
        <v>159472.38999999998</v>
      </c>
      <c r="AB15" s="77">
        <f t="shared" si="6"/>
        <v>203627.18</v>
      </c>
      <c r="AC15" s="77">
        <f t="shared" si="6"/>
        <v>806435.3</v>
      </c>
      <c r="AD15" s="77">
        <f t="shared" si="6"/>
        <v>968075.99</v>
      </c>
      <c r="AE15" s="77">
        <f t="shared" si="6"/>
        <v>951096.62</v>
      </c>
      <c r="AF15" s="77">
        <f t="shared" si="6"/>
        <v>920038.67999999993</v>
      </c>
      <c r="AG15" s="77">
        <f t="shared" si="6"/>
        <v>1931402.2600000002</v>
      </c>
      <c r="AH15" s="77">
        <f t="shared" si="6"/>
        <v>2541619.2900000005</v>
      </c>
      <c r="AI15" s="77">
        <f t="shared" si="6"/>
        <v>385034.31999999995</v>
      </c>
      <c r="AJ15" s="77">
        <f t="shared" si="6"/>
        <v>168436.81999999998</v>
      </c>
      <c r="AK15" s="77">
        <f t="shared" si="6"/>
        <v>960789.90999999992</v>
      </c>
      <c r="AL15" s="77">
        <f t="shared" si="6"/>
        <v>1139063.7400000002</v>
      </c>
      <c r="AM15" s="77">
        <f t="shared" si="6"/>
        <v>1125481.8700000001</v>
      </c>
      <c r="AN15" s="77">
        <f t="shared" si="6"/>
        <v>168227.13</v>
      </c>
      <c r="AO15" s="77">
        <f t="shared" si="6"/>
        <v>1909042.09</v>
      </c>
      <c r="AP15" s="77">
        <f t="shared" si="6"/>
        <v>673337.41999999993</v>
      </c>
      <c r="AQ15" s="77">
        <f t="shared" si="6"/>
        <v>410166.97000000003</v>
      </c>
      <c r="AR15" s="77">
        <f t="shared" si="6"/>
        <v>1477711.29</v>
      </c>
      <c r="AS15" s="77">
        <f t="shared" si="6"/>
        <v>551672.79</v>
      </c>
      <c r="AT15" s="77">
        <f t="shared" si="6"/>
        <v>749388.76</v>
      </c>
      <c r="AU15" s="77">
        <f t="shared" si="6"/>
        <v>328578.21000000002</v>
      </c>
      <c r="AV15" s="77">
        <f t="shared" si="6"/>
        <v>1375544.6700000002</v>
      </c>
      <c r="AW15" s="77">
        <f t="shared" si="6"/>
        <v>609520.12</v>
      </c>
      <c r="AX15" s="77">
        <f t="shared" si="6"/>
        <v>110413.71</v>
      </c>
      <c r="AY15" s="77">
        <f t="shared" si="6"/>
        <v>371740.68000000005</v>
      </c>
      <c r="AZ15" s="77">
        <f t="shared" si="6"/>
        <v>1160379.23</v>
      </c>
      <c r="BA15" s="77">
        <f t="shared" si="6"/>
        <v>377914.53</v>
      </c>
      <c r="BB15" s="77">
        <f t="shared" si="6"/>
        <v>1139781.6399999999</v>
      </c>
      <c r="BC15" s="77">
        <f t="shared" si="6"/>
        <v>133332.90000000002</v>
      </c>
      <c r="BD15" s="77">
        <f t="shared" si="6"/>
        <v>6516264.1499999994</v>
      </c>
      <c r="BE15" s="77">
        <f t="shared" si="6"/>
        <v>409134.82</v>
      </c>
      <c r="BF15" s="77">
        <f t="shared" si="6"/>
        <v>76120991.789999992</v>
      </c>
      <c r="BG15" s="77">
        <f t="shared" si="6"/>
        <v>41230952.209999993</v>
      </c>
      <c r="BH15" s="77">
        <f t="shared" si="6"/>
        <v>13192552.950000001</v>
      </c>
      <c r="BI15" s="77">
        <f t="shared" si="6"/>
        <v>21697486.630000003</v>
      </c>
    </row>
    <row r="16" spans="1:61" x14ac:dyDescent="0.25">
      <c r="C16">
        <v>310</v>
      </c>
      <c r="D16" t="s">
        <v>88</v>
      </c>
      <c r="E16" s="4">
        <v>82979.55</v>
      </c>
      <c r="F16" s="4">
        <v>19047.05</v>
      </c>
      <c r="G16" s="4">
        <v>25065.15</v>
      </c>
      <c r="H16" s="4">
        <v>35886.980000000003</v>
      </c>
      <c r="I16" s="4">
        <v>337414.18</v>
      </c>
      <c r="J16" s="4">
        <v>254165.25</v>
      </c>
      <c r="K16" s="4">
        <v>175073.9</v>
      </c>
      <c r="L16" s="4">
        <v>2147342.65</v>
      </c>
      <c r="M16" s="4">
        <v>182333.93</v>
      </c>
      <c r="N16" s="4">
        <v>7351.5</v>
      </c>
      <c r="O16" s="4">
        <v>606605.28</v>
      </c>
      <c r="P16" s="4">
        <v>53799.199999999997</v>
      </c>
      <c r="Q16" s="4">
        <v>7538.4</v>
      </c>
      <c r="R16" s="4">
        <v>32526.53</v>
      </c>
      <c r="S16" s="4">
        <v>26487.7</v>
      </c>
      <c r="T16" s="4">
        <v>54091.199999999997</v>
      </c>
      <c r="U16" s="4">
        <v>22012.83</v>
      </c>
      <c r="V16" s="4">
        <v>50891.7</v>
      </c>
      <c r="W16" s="4">
        <v>249252.38</v>
      </c>
      <c r="X16" s="4">
        <v>89156.73</v>
      </c>
      <c r="Y16" s="4">
        <v>127757.31</v>
      </c>
      <c r="Z16" s="4">
        <v>274114.46999999997</v>
      </c>
      <c r="AA16" s="4">
        <v>2542.87</v>
      </c>
      <c r="AB16" s="4">
        <v>29304.799999999999</v>
      </c>
      <c r="AC16" s="4">
        <v>83868.710000000006</v>
      </c>
      <c r="AD16" s="4">
        <v>68239.55</v>
      </c>
      <c r="AE16" s="4">
        <v>70888.55</v>
      </c>
      <c r="AF16" s="4">
        <v>110453.09</v>
      </c>
      <c r="AG16" s="4">
        <v>241070.54</v>
      </c>
      <c r="AH16" s="4">
        <v>402435.73</v>
      </c>
      <c r="AI16" s="4">
        <v>9298</v>
      </c>
      <c r="AJ16" s="4">
        <v>21306.06</v>
      </c>
      <c r="AK16" s="4">
        <v>185162.2</v>
      </c>
      <c r="AL16" s="4">
        <v>73270.210000000006</v>
      </c>
      <c r="AM16" s="4">
        <v>74404.350000000006</v>
      </c>
      <c r="AN16" s="4">
        <v>36500.6</v>
      </c>
      <c r="AO16" s="4">
        <v>215960.23</v>
      </c>
      <c r="AP16" s="4">
        <v>62854.41</v>
      </c>
      <c r="AQ16" s="4">
        <v>12612.5</v>
      </c>
      <c r="AR16" s="4">
        <v>106599.35</v>
      </c>
      <c r="AS16" s="4">
        <v>57012.89</v>
      </c>
      <c r="AT16" s="4">
        <v>97158.5</v>
      </c>
      <c r="AU16" s="4">
        <v>35814.33</v>
      </c>
      <c r="AV16" s="4">
        <v>165759.4</v>
      </c>
      <c r="AW16" s="4">
        <v>27154.99</v>
      </c>
      <c r="AX16" s="4">
        <v>12544.87</v>
      </c>
      <c r="AY16" s="4">
        <v>42437.24</v>
      </c>
      <c r="AZ16" s="4">
        <v>75672.800000000003</v>
      </c>
      <c r="BA16" s="4">
        <v>21916.959999999999</v>
      </c>
      <c r="BB16" s="4">
        <v>116141.95</v>
      </c>
      <c r="BC16" s="4">
        <v>14176.3</v>
      </c>
      <c r="BD16" s="4">
        <v>726095.01</v>
      </c>
      <c r="BE16" s="4">
        <v>71492.899999999994</v>
      </c>
      <c r="BF16" s="4">
        <f>SUM(E16:BE16)</f>
        <v>8131043.7599999988</v>
      </c>
      <c r="BG16" s="4">
        <f t="shared" ref="BG16:BG25" si="7">SUM(E16:W16)</f>
        <v>4369865.3600000003</v>
      </c>
      <c r="BH16" s="4">
        <f t="shared" ref="BH16:BH25" si="8">SUM(X16:AJ16)</f>
        <v>1530436.41</v>
      </c>
      <c r="BI16" s="4">
        <f t="shared" ref="BI16:BI25" si="9">SUM(AK16:BE16)</f>
        <v>2230741.9899999998</v>
      </c>
    </row>
    <row r="17" spans="2:61" x14ac:dyDescent="0.25">
      <c r="C17">
        <v>311</v>
      </c>
      <c r="D17" t="s">
        <v>452</v>
      </c>
      <c r="E17" s="4">
        <v>30604.400000000001</v>
      </c>
      <c r="F17" s="4">
        <v>6200</v>
      </c>
      <c r="G17" s="4">
        <v>11514.27</v>
      </c>
      <c r="H17" s="4">
        <v>25459.75</v>
      </c>
      <c r="I17" s="4">
        <v>99929.9</v>
      </c>
      <c r="J17" s="4">
        <v>42789.81</v>
      </c>
      <c r="K17" s="4">
        <v>38038.800000000003</v>
      </c>
      <c r="L17" s="4">
        <v>678473.94</v>
      </c>
      <c r="M17" s="4">
        <v>81693.55</v>
      </c>
      <c r="N17" s="4">
        <v>7770</v>
      </c>
      <c r="O17" s="4">
        <v>124453.09</v>
      </c>
      <c r="P17" s="4">
        <v>15915.75</v>
      </c>
      <c r="Q17" s="4">
        <v>3477.55</v>
      </c>
      <c r="R17" s="4">
        <v>3241.75</v>
      </c>
      <c r="S17" s="4">
        <v>0</v>
      </c>
      <c r="T17" s="4">
        <v>31017</v>
      </c>
      <c r="U17" s="4">
        <v>1975.5</v>
      </c>
      <c r="V17" s="4">
        <v>19442.45</v>
      </c>
      <c r="W17" s="4">
        <v>90048.86</v>
      </c>
      <c r="X17" s="4">
        <v>4562.6499999999996</v>
      </c>
      <c r="Y17" s="4">
        <v>20903.54</v>
      </c>
      <c r="Z17" s="4">
        <v>29561.43</v>
      </c>
      <c r="AA17" s="4">
        <v>0</v>
      </c>
      <c r="AB17" s="4">
        <v>204</v>
      </c>
      <c r="AC17" s="4">
        <v>4484.8999999999996</v>
      </c>
      <c r="AD17" s="4">
        <v>69052.2</v>
      </c>
      <c r="AE17" s="4">
        <v>25874.15</v>
      </c>
      <c r="AF17" s="4">
        <v>38442.9</v>
      </c>
      <c r="AG17" s="4">
        <v>84407.85</v>
      </c>
      <c r="AH17" s="4">
        <v>38599.46</v>
      </c>
      <c r="AI17" s="4">
        <v>1160.1500000000001</v>
      </c>
      <c r="AJ17" s="4">
        <v>1200</v>
      </c>
      <c r="AK17" s="4">
        <v>114822.04</v>
      </c>
      <c r="AL17" s="4">
        <v>6096.25</v>
      </c>
      <c r="AM17" s="4">
        <v>61001.25</v>
      </c>
      <c r="AN17" s="4">
        <v>9332.2999999999993</v>
      </c>
      <c r="AO17" s="4">
        <v>33239.379999999997</v>
      </c>
      <c r="AP17" s="4">
        <v>27187.41</v>
      </c>
      <c r="AQ17" s="4">
        <v>4819.5</v>
      </c>
      <c r="AR17" s="4">
        <v>65549.350000000006</v>
      </c>
      <c r="AS17" s="4">
        <v>26290.25</v>
      </c>
      <c r="AT17" s="4">
        <v>59680.65</v>
      </c>
      <c r="AU17" s="4">
        <v>10963.25</v>
      </c>
      <c r="AV17" s="4">
        <v>144659.65</v>
      </c>
      <c r="AW17" s="4">
        <v>30313.5</v>
      </c>
      <c r="AX17" s="4">
        <v>3231</v>
      </c>
      <c r="AY17" s="4">
        <v>8824.85</v>
      </c>
      <c r="AZ17" s="4">
        <v>80701.3</v>
      </c>
      <c r="BA17" s="4">
        <v>11617.85</v>
      </c>
      <c r="BB17" s="4">
        <v>62094.95</v>
      </c>
      <c r="BC17" s="4">
        <v>5655.45</v>
      </c>
      <c r="BD17" s="4">
        <v>234073.66</v>
      </c>
      <c r="BE17" s="4">
        <v>15891.1</v>
      </c>
      <c r="BF17" s="4">
        <f t="shared" ref="BF17:BF25" si="10">SUM(E17:BE17)</f>
        <v>2646544.54</v>
      </c>
      <c r="BG17" s="4">
        <f t="shared" si="7"/>
        <v>1312046.3700000001</v>
      </c>
      <c r="BH17" s="4">
        <f t="shared" si="8"/>
        <v>318453.23000000004</v>
      </c>
      <c r="BI17" s="4">
        <f t="shared" si="9"/>
        <v>1016044.94</v>
      </c>
    </row>
    <row r="18" spans="2:61" x14ac:dyDescent="0.25">
      <c r="C18">
        <v>312</v>
      </c>
      <c r="D18" t="s">
        <v>90</v>
      </c>
      <c r="E18" s="4">
        <v>83786.7</v>
      </c>
      <c r="F18" s="4">
        <v>46861.55</v>
      </c>
      <c r="G18" s="4">
        <v>27368.35</v>
      </c>
      <c r="H18" s="4">
        <v>96086.75</v>
      </c>
      <c r="I18" s="4">
        <v>966970.76</v>
      </c>
      <c r="J18" s="4">
        <v>780872.75</v>
      </c>
      <c r="K18" s="4">
        <v>359895.85</v>
      </c>
      <c r="L18" s="4">
        <v>12689084.34</v>
      </c>
      <c r="M18" s="4">
        <v>1009509.95</v>
      </c>
      <c r="N18" s="4">
        <v>11952.5</v>
      </c>
      <c r="O18" s="4">
        <v>508076.12</v>
      </c>
      <c r="P18" s="4">
        <v>46806.95</v>
      </c>
      <c r="Q18" s="4">
        <v>9231</v>
      </c>
      <c r="R18" s="4">
        <v>38594.449999999997</v>
      </c>
      <c r="S18" s="4">
        <v>43939.8</v>
      </c>
      <c r="T18" s="4">
        <v>152658.20000000001</v>
      </c>
      <c r="U18" s="4">
        <v>63697.2</v>
      </c>
      <c r="V18" s="4">
        <v>54596.65</v>
      </c>
      <c r="W18" s="4">
        <v>260411.61</v>
      </c>
      <c r="X18" s="4">
        <v>130486.85</v>
      </c>
      <c r="Y18" s="4">
        <v>233323.85</v>
      </c>
      <c r="Z18" s="4">
        <v>407199.7</v>
      </c>
      <c r="AA18" s="4">
        <v>69552.45</v>
      </c>
      <c r="AB18" s="4">
        <v>38317.9</v>
      </c>
      <c r="AC18" s="4">
        <v>121498.9</v>
      </c>
      <c r="AD18" s="4">
        <v>138783.93</v>
      </c>
      <c r="AE18" s="4">
        <v>190650.7</v>
      </c>
      <c r="AF18" s="4">
        <v>132343.35</v>
      </c>
      <c r="AG18" s="4">
        <v>300663.8</v>
      </c>
      <c r="AH18" s="4">
        <v>509629.85</v>
      </c>
      <c r="AI18" s="4">
        <v>104161.06</v>
      </c>
      <c r="AJ18" s="4">
        <v>28975.25</v>
      </c>
      <c r="AK18" s="4">
        <v>132058.15</v>
      </c>
      <c r="AL18" s="4">
        <v>91307.45</v>
      </c>
      <c r="AM18" s="4">
        <v>199487.45</v>
      </c>
      <c r="AN18" s="4">
        <v>25219.35</v>
      </c>
      <c r="AO18" s="4">
        <v>344639.17</v>
      </c>
      <c r="AP18" s="4">
        <v>258727.8</v>
      </c>
      <c r="AQ18" s="4">
        <v>95458.3</v>
      </c>
      <c r="AR18" s="4">
        <v>187709.6</v>
      </c>
      <c r="AS18" s="4">
        <v>143332.54999999999</v>
      </c>
      <c r="AT18" s="4">
        <v>165087.85</v>
      </c>
      <c r="AU18" s="4">
        <v>57967.37</v>
      </c>
      <c r="AV18" s="4">
        <v>192889.75</v>
      </c>
      <c r="AW18" s="4">
        <v>53712.5</v>
      </c>
      <c r="AX18" s="4">
        <v>38981.199999999997</v>
      </c>
      <c r="AY18" s="4">
        <v>69689.25</v>
      </c>
      <c r="AZ18" s="4">
        <v>269781.65000000002</v>
      </c>
      <c r="BA18" s="4">
        <v>60095.65</v>
      </c>
      <c r="BB18" s="4">
        <v>245733.37</v>
      </c>
      <c r="BC18" s="4">
        <v>34471.449999999997</v>
      </c>
      <c r="BD18" s="4">
        <v>578983.5</v>
      </c>
      <c r="BE18" s="4">
        <v>27528.1</v>
      </c>
      <c r="BF18" s="4">
        <f t="shared" si="10"/>
        <v>22928850.530000001</v>
      </c>
      <c r="BG18" s="4">
        <f t="shared" si="7"/>
        <v>17250401.479999997</v>
      </c>
      <c r="BH18" s="4">
        <f t="shared" si="8"/>
        <v>2405587.5900000003</v>
      </c>
      <c r="BI18" s="4">
        <f t="shared" si="9"/>
        <v>3272861.4600000004</v>
      </c>
    </row>
    <row r="19" spans="2:61" x14ac:dyDescent="0.25">
      <c r="C19">
        <v>313</v>
      </c>
      <c r="D19" t="s">
        <v>91</v>
      </c>
      <c r="E19" s="4">
        <v>137664.14000000001</v>
      </c>
      <c r="F19" s="4">
        <v>93116.79</v>
      </c>
      <c r="G19" s="4">
        <v>81140.05</v>
      </c>
      <c r="H19" s="4">
        <v>74728.789999999994</v>
      </c>
      <c r="I19" s="4">
        <v>771419.03</v>
      </c>
      <c r="J19" s="4">
        <v>630922.47</v>
      </c>
      <c r="K19" s="4">
        <v>439838.14</v>
      </c>
      <c r="L19" s="4">
        <v>3323080.94</v>
      </c>
      <c r="M19" s="4">
        <v>272838.94</v>
      </c>
      <c r="N19" s="4">
        <v>23964.35</v>
      </c>
      <c r="O19" s="4">
        <v>1384441.98</v>
      </c>
      <c r="P19" s="4">
        <v>117802.74</v>
      </c>
      <c r="Q19" s="4">
        <v>65068.65</v>
      </c>
      <c r="R19" s="4">
        <v>77036.83</v>
      </c>
      <c r="S19" s="4">
        <v>122758.88</v>
      </c>
      <c r="T19" s="4">
        <v>210164.41</v>
      </c>
      <c r="U19" s="4">
        <v>56677.05</v>
      </c>
      <c r="V19" s="4">
        <v>240483.46</v>
      </c>
      <c r="W19" s="4">
        <v>603821.59</v>
      </c>
      <c r="X19" s="4">
        <v>157058.35999999999</v>
      </c>
      <c r="Y19" s="4">
        <v>377982.21</v>
      </c>
      <c r="Z19" s="4">
        <v>1001409.56</v>
      </c>
      <c r="AA19" s="4">
        <v>37401.050000000003</v>
      </c>
      <c r="AB19" s="4">
        <v>83257.25</v>
      </c>
      <c r="AC19" s="4">
        <v>281732.53000000003</v>
      </c>
      <c r="AD19" s="4">
        <v>334014.81</v>
      </c>
      <c r="AE19" s="4">
        <v>374701.66</v>
      </c>
      <c r="AF19" s="4">
        <v>392392.56</v>
      </c>
      <c r="AG19" s="4">
        <v>611202.68000000005</v>
      </c>
      <c r="AH19" s="4">
        <v>742466.99</v>
      </c>
      <c r="AI19" s="4">
        <v>175318.37</v>
      </c>
      <c r="AJ19" s="4">
        <v>71141.7</v>
      </c>
      <c r="AK19" s="4">
        <v>276924.92</v>
      </c>
      <c r="AL19" s="4">
        <v>510530.73</v>
      </c>
      <c r="AM19" s="4">
        <v>425474.84</v>
      </c>
      <c r="AN19" s="4">
        <v>54424.29</v>
      </c>
      <c r="AO19" s="4">
        <v>482947.17</v>
      </c>
      <c r="AP19" s="4">
        <v>99916.84</v>
      </c>
      <c r="AQ19" s="4">
        <v>125449.52</v>
      </c>
      <c r="AR19" s="4">
        <v>579495.69999999995</v>
      </c>
      <c r="AS19" s="4">
        <v>157245.85999999999</v>
      </c>
      <c r="AT19" s="4">
        <v>222706.9</v>
      </c>
      <c r="AU19" s="4">
        <v>130538.8</v>
      </c>
      <c r="AV19" s="4">
        <v>449871.9</v>
      </c>
      <c r="AW19" s="4">
        <v>251352.95</v>
      </c>
      <c r="AX19" s="4">
        <v>26436.240000000002</v>
      </c>
      <c r="AY19" s="4">
        <v>65755.87</v>
      </c>
      <c r="AZ19" s="4">
        <v>352709.8</v>
      </c>
      <c r="BA19" s="4">
        <v>147512.10999999999</v>
      </c>
      <c r="BB19" s="4">
        <v>346963.05</v>
      </c>
      <c r="BC19" s="4">
        <v>23313.71</v>
      </c>
      <c r="BD19" s="4">
        <v>2336153.13</v>
      </c>
      <c r="BE19" s="4">
        <v>148225.19</v>
      </c>
      <c r="BF19" s="4">
        <f t="shared" si="10"/>
        <v>20580998.48</v>
      </c>
      <c r="BG19" s="4">
        <f t="shared" si="7"/>
        <v>8726969.2300000004</v>
      </c>
      <c r="BH19" s="4">
        <f t="shared" si="8"/>
        <v>4640079.7300000004</v>
      </c>
      <c r="BI19" s="4">
        <f t="shared" si="9"/>
        <v>7213949.5200000005</v>
      </c>
    </row>
    <row r="20" spans="2:61" x14ac:dyDescent="0.25">
      <c r="C20">
        <v>314</v>
      </c>
      <c r="D20" t="s">
        <v>92</v>
      </c>
      <c r="E20" s="4">
        <v>183317</v>
      </c>
      <c r="F20" s="4">
        <v>55885.55</v>
      </c>
      <c r="G20" s="4">
        <v>73430.06</v>
      </c>
      <c r="H20" s="4">
        <v>72823.45</v>
      </c>
      <c r="I20" s="4">
        <v>377076.77</v>
      </c>
      <c r="J20" s="4">
        <v>227851.4</v>
      </c>
      <c r="K20" s="4">
        <v>316912.84999999998</v>
      </c>
      <c r="L20" s="4">
        <v>1274166.1499999999</v>
      </c>
      <c r="M20" s="4">
        <v>251241.60000000001</v>
      </c>
      <c r="N20" s="4">
        <v>17281.5</v>
      </c>
      <c r="O20" s="4">
        <v>750356.55</v>
      </c>
      <c r="P20" s="4">
        <v>85692.7</v>
      </c>
      <c r="Q20" s="4">
        <v>4773.3</v>
      </c>
      <c r="R20" s="4">
        <v>47676.05</v>
      </c>
      <c r="S20" s="4">
        <v>50901.35</v>
      </c>
      <c r="T20" s="4">
        <v>101750.13</v>
      </c>
      <c r="U20" s="4">
        <v>54321.02</v>
      </c>
      <c r="V20" s="4">
        <v>135678.9</v>
      </c>
      <c r="W20" s="4">
        <v>287933.27</v>
      </c>
      <c r="X20" s="4">
        <v>71318.25</v>
      </c>
      <c r="Y20" s="4">
        <v>184292.05</v>
      </c>
      <c r="Z20" s="4">
        <v>580511.31000000006</v>
      </c>
      <c r="AA20" s="4">
        <v>36102</v>
      </c>
      <c r="AB20" s="4">
        <v>31018.55</v>
      </c>
      <c r="AC20" s="4">
        <v>203923.73</v>
      </c>
      <c r="AD20" s="4">
        <v>169814.25</v>
      </c>
      <c r="AE20" s="4">
        <v>197657.5</v>
      </c>
      <c r="AF20" s="4">
        <v>239800.91</v>
      </c>
      <c r="AG20" s="4">
        <v>490143.43</v>
      </c>
      <c r="AH20" s="4">
        <v>563142.81999999995</v>
      </c>
      <c r="AI20" s="4">
        <v>76545.399999999994</v>
      </c>
      <c r="AJ20" s="4">
        <v>36224.15</v>
      </c>
      <c r="AK20" s="4">
        <v>196303.7</v>
      </c>
      <c r="AL20" s="4">
        <v>229581.9</v>
      </c>
      <c r="AM20" s="4">
        <v>192658.5</v>
      </c>
      <c r="AN20" s="4">
        <v>14409.05</v>
      </c>
      <c r="AO20" s="4">
        <v>580494.04</v>
      </c>
      <c r="AP20" s="4">
        <v>112368.58</v>
      </c>
      <c r="AQ20" s="4">
        <v>97571.75</v>
      </c>
      <c r="AR20" s="4">
        <v>313805.15000000002</v>
      </c>
      <c r="AS20" s="4">
        <v>99973.1</v>
      </c>
      <c r="AT20" s="4">
        <v>101067.95</v>
      </c>
      <c r="AU20" s="4">
        <v>68887.95</v>
      </c>
      <c r="AV20" s="4">
        <v>244913.75</v>
      </c>
      <c r="AW20" s="4">
        <v>132041.85</v>
      </c>
      <c r="AX20" s="4">
        <v>10011.799999999999</v>
      </c>
      <c r="AY20" s="4">
        <v>111634.28</v>
      </c>
      <c r="AZ20" s="4">
        <v>190687.4</v>
      </c>
      <c r="BA20" s="4">
        <v>61013.49</v>
      </c>
      <c r="BB20" s="4">
        <v>228956.21</v>
      </c>
      <c r="BC20" s="4">
        <v>34759.550000000003</v>
      </c>
      <c r="BD20" s="4">
        <v>910040.11</v>
      </c>
      <c r="BE20" s="4">
        <v>57146.35</v>
      </c>
      <c r="BF20" s="4">
        <f t="shared" si="10"/>
        <v>11237890.41</v>
      </c>
      <c r="BG20" s="4">
        <f t="shared" si="7"/>
        <v>4369069.5999999996</v>
      </c>
      <c r="BH20" s="4">
        <f t="shared" si="8"/>
        <v>2880494.3499999996</v>
      </c>
      <c r="BI20" s="4">
        <f t="shared" si="9"/>
        <v>3988326.4599999995</v>
      </c>
    </row>
    <row r="21" spans="2:61" x14ac:dyDescent="0.25">
      <c r="C21">
        <v>315</v>
      </c>
      <c r="D21" t="s">
        <v>93</v>
      </c>
      <c r="E21" s="4">
        <v>49935.55</v>
      </c>
      <c r="F21" s="4">
        <v>14158.25</v>
      </c>
      <c r="G21" s="4">
        <v>7399.1</v>
      </c>
      <c r="H21" s="4">
        <v>20877.150000000001</v>
      </c>
      <c r="I21" s="4">
        <v>136852.59</v>
      </c>
      <c r="J21" s="4">
        <v>16607.45</v>
      </c>
      <c r="K21" s="4">
        <v>96871.63</v>
      </c>
      <c r="L21" s="4">
        <v>921142.08</v>
      </c>
      <c r="M21" s="4">
        <v>77186.649999999994</v>
      </c>
      <c r="N21" s="4">
        <v>0</v>
      </c>
      <c r="O21" s="4">
        <v>265572.3</v>
      </c>
      <c r="P21" s="4">
        <v>12984.4</v>
      </c>
      <c r="Q21" s="4">
        <v>1660.1</v>
      </c>
      <c r="R21" s="4">
        <v>25540.75</v>
      </c>
      <c r="S21" s="4">
        <v>10108.6</v>
      </c>
      <c r="T21" s="4">
        <v>13549.7</v>
      </c>
      <c r="U21" s="4">
        <v>12099.25</v>
      </c>
      <c r="V21" s="4">
        <v>42300.75</v>
      </c>
      <c r="W21" s="4">
        <v>113471.7</v>
      </c>
      <c r="X21" s="4">
        <v>0</v>
      </c>
      <c r="Y21" s="4">
        <v>93021.28</v>
      </c>
      <c r="Z21" s="4">
        <v>89596.95</v>
      </c>
      <c r="AA21" s="4">
        <v>6130.8</v>
      </c>
      <c r="AB21" s="4">
        <v>11027.4</v>
      </c>
      <c r="AC21" s="4">
        <v>29801.75</v>
      </c>
      <c r="AD21" s="4">
        <v>67070.8</v>
      </c>
      <c r="AE21" s="4">
        <v>63777.95</v>
      </c>
      <c r="AF21" s="4">
        <v>6538.53</v>
      </c>
      <c r="AG21" s="4">
        <v>113961.71</v>
      </c>
      <c r="AH21" s="4">
        <v>40618.85</v>
      </c>
      <c r="AI21" s="4">
        <v>10824.85</v>
      </c>
      <c r="AJ21" s="4">
        <v>15749.55</v>
      </c>
      <c r="AK21" s="4">
        <v>28737.45</v>
      </c>
      <c r="AL21" s="4">
        <v>124531.64</v>
      </c>
      <c r="AM21" s="4">
        <v>60055.35</v>
      </c>
      <c r="AN21" s="4">
        <v>949.35</v>
      </c>
      <c r="AO21" s="4">
        <v>126514.3</v>
      </c>
      <c r="AP21" s="4">
        <v>33238.9</v>
      </c>
      <c r="AQ21" s="4">
        <v>36130.75</v>
      </c>
      <c r="AR21" s="4">
        <v>93012.5</v>
      </c>
      <c r="AS21" s="4">
        <v>25187.05</v>
      </c>
      <c r="AT21" s="4">
        <v>23289.05</v>
      </c>
      <c r="AU21" s="4">
        <v>8930.5499999999993</v>
      </c>
      <c r="AV21" s="4">
        <v>49514.35</v>
      </c>
      <c r="AW21" s="4">
        <v>38493.699999999997</v>
      </c>
      <c r="AX21" s="4">
        <v>5687.6</v>
      </c>
      <c r="AY21" s="4">
        <v>23335.75</v>
      </c>
      <c r="AZ21" s="4">
        <v>29540.1</v>
      </c>
      <c r="BA21" s="4">
        <v>12720.7</v>
      </c>
      <c r="BB21" s="4">
        <v>87038.5</v>
      </c>
      <c r="BC21" s="4">
        <v>5535.85</v>
      </c>
      <c r="BD21" s="4">
        <v>452998.88</v>
      </c>
      <c r="BE21" s="4">
        <v>41709.5</v>
      </c>
      <c r="BF21" s="4">
        <f t="shared" si="10"/>
        <v>3693590.24</v>
      </c>
      <c r="BG21" s="4">
        <f t="shared" si="7"/>
        <v>1838318</v>
      </c>
      <c r="BH21" s="4">
        <f t="shared" si="8"/>
        <v>548120.42000000004</v>
      </c>
      <c r="BI21" s="4">
        <f t="shared" si="9"/>
        <v>1307151.8199999998</v>
      </c>
    </row>
    <row r="22" spans="2:61" x14ac:dyDescent="0.25">
      <c r="C22">
        <v>316</v>
      </c>
      <c r="D22" t="s">
        <v>94</v>
      </c>
      <c r="E22" s="4">
        <v>3877.2</v>
      </c>
      <c r="F22" s="4">
        <v>2981.4</v>
      </c>
      <c r="G22" s="4">
        <v>710.7</v>
      </c>
      <c r="H22" s="4">
        <v>71392.55</v>
      </c>
      <c r="I22" s="4">
        <v>77392.100000000006</v>
      </c>
      <c r="J22" s="4">
        <v>35405.5</v>
      </c>
      <c r="K22" s="4">
        <v>33077.9</v>
      </c>
      <c r="L22" s="4">
        <v>844355.6</v>
      </c>
      <c r="M22" s="4">
        <v>28402.5</v>
      </c>
      <c r="N22" s="4">
        <v>1200</v>
      </c>
      <c r="O22" s="4">
        <v>117014.1</v>
      </c>
      <c r="P22" s="4">
        <v>0</v>
      </c>
      <c r="Q22" s="4">
        <v>850</v>
      </c>
      <c r="R22" s="4">
        <v>0</v>
      </c>
      <c r="S22" s="4">
        <v>0</v>
      </c>
      <c r="T22" s="4">
        <v>788.5</v>
      </c>
      <c r="U22" s="4">
        <v>0</v>
      </c>
      <c r="V22" s="4">
        <v>4800</v>
      </c>
      <c r="W22" s="4">
        <v>117749.35</v>
      </c>
      <c r="X22" s="4">
        <v>22093.599999999999</v>
      </c>
      <c r="Y22" s="4">
        <v>30970</v>
      </c>
      <c r="Z22" s="4">
        <v>72793.3</v>
      </c>
      <c r="AA22" s="4">
        <v>0</v>
      </c>
      <c r="AB22" s="4">
        <v>800</v>
      </c>
      <c r="AC22" s="4">
        <v>3187.95</v>
      </c>
      <c r="AD22" s="4">
        <v>41120.6</v>
      </c>
      <c r="AE22" s="4">
        <v>5443.7</v>
      </c>
      <c r="AF22" s="4">
        <v>0</v>
      </c>
      <c r="AG22" s="4">
        <v>2221.5</v>
      </c>
      <c r="AH22" s="4">
        <v>134060.35</v>
      </c>
      <c r="AI22" s="4">
        <v>2100</v>
      </c>
      <c r="AJ22" s="4">
        <v>0</v>
      </c>
      <c r="AK22" s="4">
        <v>0</v>
      </c>
      <c r="AL22" s="4">
        <v>12847.9</v>
      </c>
      <c r="AM22" s="4">
        <v>13629.5</v>
      </c>
      <c r="AN22" s="4">
        <v>600</v>
      </c>
      <c r="AO22" s="4">
        <v>39700</v>
      </c>
      <c r="AP22" s="4">
        <v>37823.4</v>
      </c>
      <c r="AQ22" s="4">
        <v>0</v>
      </c>
      <c r="AR22" s="4">
        <v>41161.300000000003</v>
      </c>
      <c r="AS22" s="4">
        <v>24470.85</v>
      </c>
      <c r="AT22" s="4">
        <v>0</v>
      </c>
      <c r="AU22" s="4">
        <v>0</v>
      </c>
      <c r="AV22" s="4">
        <v>9200</v>
      </c>
      <c r="AW22" s="4">
        <v>21605.7</v>
      </c>
      <c r="AX22" s="4">
        <v>0</v>
      </c>
      <c r="AY22" s="4">
        <v>3573.45</v>
      </c>
      <c r="AZ22" s="4">
        <v>33624.35</v>
      </c>
      <c r="BA22" s="4">
        <v>0</v>
      </c>
      <c r="BB22" s="4">
        <v>3684.4</v>
      </c>
      <c r="BC22" s="4">
        <v>0</v>
      </c>
      <c r="BD22" s="4">
        <v>749292.2</v>
      </c>
      <c r="BE22" s="4">
        <v>600</v>
      </c>
      <c r="BF22" s="4">
        <f t="shared" si="10"/>
        <v>2646601.4500000002</v>
      </c>
      <c r="BG22" s="4">
        <f t="shared" si="7"/>
        <v>1339997.4000000001</v>
      </c>
      <c r="BH22" s="4">
        <f t="shared" si="8"/>
        <v>314791</v>
      </c>
      <c r="BI22" s="4">
        <f t="shared" si="9"/>
        <v>991813.04999999993</v>
      </c>
    </row>
    <row r="23" spans="2:61" x14ac:dyDescent="0.25">
      <c r="C23">
        <v>317</v>
      </c>
      <c r="D23" t="s">
        <v>95</v>
      </c>
      <c r="E23" s="4">
        <v>23606.65</v>
      </c>
      <c r="F23" s="4">
        <v>2177.6</v>
      </c>
      <c r="G23" s="4">
        <v>1364</v>
      </c>
      <c r="H23" s="4">
        <v>2580.4</v>
      </c>
      <c r="I23" s="4">
        <v>40021.85</v>
      </c>
      <c r="J23" s="4">
        <v>37193.949999999997</v>
      </c>
      <c r="K23" s="4">
        <v>23077.05</v>
      </c>
      <c r="L23" s="4">
        <v>76479.25</v>
      </c>
      <c r="M23" s="4">
        <v>16667.5</v>
      </c>
      <c r="N23" s="4">
        <v>16.8</v>
      </c>
      <c r="O23" s="4">
        <v>60402.7</v>
      </c>
      <c r="P23" s="4">
        <v>3538.2</v>
      </c>
      <c r="Q23" s="4">
        <v>628.75</v>
      </c>
      <c r="R23" s="4">
        <v>1262.8</v>
      </c>
      <c r="S23" s="4">
        <v>7404.35</v>
      </c>
      <c r="T23" s="4">
        <v>51953.45</v>
      </c>
      <c r="U23" s="4">
        <v>705.9</v>
      </c>
      <c r="V23" s="4">
        <v>2531.65</v>
      </c>
      <c r="W23" s="4">
        <v>25629.95</v>
      </c>
      <c r="X23" s="4">
        <v>20127.25</v>
      </c>
      <c r="Y23" s="4">
        <v>8215.7000000000007</v>
      </c>
      <c r="Z23" s="4">
        <v>34873.699999999997</v>
      </c>
      <c r="AA23" s="4">
        <v>512.65</v>
      </c>
      <c r="AB23" s="4">
        <v>782.9</v>
      </c>
      <c r="AC23" s="4">
        <v>4787.8</v>
      </c>
      <c r="AD23" s="4">
        <v>11138.8</v>
      </c>
      <c r="AE23" s="4">
        <v>5898.95</v>
      </c>
      <c r="AF23" s="4">
        <v>87.35</v>
      </c>
      <c r="AG23" s="4">
        <v>25618.05</v>
      </c>
      <c r="AH23" s="4">
        <v>28922.7</v>
      </c>
      <c r="AI23" s="4">
        <v>961.9</v>
      </c>
      <c r="AJ23" s="4">
        <v>508.9</v>
      </c>
      <c r="AK23" s="4">
        <v>23066</v>
      </c>
      <c r="AL23" s="4">
        <v>11440.05</v>
      </c>
      <c r="AM23" s="4">
        <v>9913.4500000000007</v>
      </c>
      <c r="AN23" s="4">
        <v>436.8</v>
      </c>
      <c r="AO23" s="4">
        <v>15506.3</v>
      </c>
      <c r="AP23" s="4">
        <v>3534.2</v>
      </c>
      <c r="AQ23" s="4">
        <v>519.35</v>
      </c>
      <c r="AR23" s="4">
        <v>21214.25</v>
      </c>
      <c r="AS23" s="4">
        <v>9496.65</v>
      </c>
      <c r="AT23" s="4">
        <v>10311</v>
      </c>
      <c r="AU23" s="4">
        <v>404.9</v>
      </c>
      <c r="AV23" s="4">
        <v>23399.55</v>
      </c>
      <c r="AW23" s="4">
        <v>3569.3</v>
      </c>
      <c r="AX23" s="4">
        <v>487.2</v>
      </c>
      <c r="AY23" s="4">
        <v>2876.65</v>
      </c>
      <c r="AZ23" s="4">
        <v>20093.849999999999</v>
      </c>
      <c r="BA23" s="4">
        <v>1482.3</v>
      </c>
      <c r="BB23" s="4">
        <v>17934.7</v>
      </c>
      <c r="BC23" s="4">
        <v>182</v>
      </c>
      <c r="BD23" s="4">
        <v>28154.1</v>
      </c>
      <c r="BE23" s="4">
        <v>3546.8</v>
      </c>
      <c r="BF23" s="4">
        <f t="shared" si="10"/>
        <v>727248.85000000033</v>
      </c>
      <c r="BG23" s="4">
        <f t="shared" si="7"/>
        <v>377242.80000000005</v>
      </c>
      <c r="BH23" s="4">
        <f t="shared" si="8"/>
        <v>142436.65</v>
      </c>
      <c r="BI23" s="4">
        <f t="shared" si="9"/>
        <v>207569.4</v>
      </c>
    </row>
    <row r="24" spans="2:61" x14ac:dyDescent="0.25">
      <c r="C24">
        <v>318</v>
      </c>
      <c r="D24" t="s">
        <v>96</v>
      </c>
      <c r="E24" s="4">
        <v>-46864.3</v>
      </c>
      <c r="F24" s="4">
        <v>12688.92</v>
      </c>
      <c r="G24" s="4">
        <v>14365.11</v>
      </c>
      <c r="H24" s="4">
        <v>5876.46</v>
      </c>
      <c r="I24" s="4">
        <v>207963.42</v>
      </c>
      <c r="J24" s="4">
        <v>129749.7</v>
      </c>
      <c r="K24" s="4">
        <v>32397.02</v>
      </c>
      <c r="L24" s="4">
        <v>322665.21999999997</v>
      </c>
      <c r="M24" s="4">
        <v>28228.79</v>
      </c>
      <c r="N24" s="4">
        <v>10138.58</v>
      </c>
      <c r="O24" s="4">
        <v>230302.48</v>
      </c>
      <c r="P24" s="4">
        <v>15615.69</v>
      </c>
      <c r="Q24" s="4">
        <v>427.5</v>
      </c>
      <c r="R24" s="4">
        <v>0</v>
      </c>
      <c r="S24" s="4">
        <v>-4049.8</v>
      </c>
      <c r="T24" s="4">
        <v>39284.79</v>
      </c>
      <c r="U24" s="4">
        <v>10296.85</v>
      </c>
      <c r="V24" s="4">
        <v>80363.210000000006</v>
      </c>
      <c r="W24" s="4">
        <v>185284.18</v>
      </c>
      <c r="X24" s="4">
        <v>-11260.26</v>
      </c>
      <c r="Y24" s="4">
        <v>29567.279999999999</v>
      </c>
      <c r="Z24" s="4">
        <v>47059.03</v>
      </c>
      <c r="AA24" s="4">
        <v>6433.57</v>
      </c>
      <c r="AB24" s="4">
        <v>8276.43</v>
      </c>
      <c r="AC24" s="4">
        <v>69743.78</v>
      </c>
      <c r="AD24" s="4">
        <v>58333.1</v>
      </c>
      <c r="AE24" s="4">
        <v>15004.16</v>
      </c>
      <c r="AF24" s="4">
        <v>-945.06</v>
      </c>
      <c r="AG24" s="4">
        <v>40619.35</v>
      </c>
      <c r="AH24" s="4">
        <v>66170.44</v>
      </c>
      <c r="AI24" s="4">
        <v>3656.29</v>
      </c>
      <c r="AJ24" s="4">
        <v>-8056.84</v>
      </c>
      <c r="AK24" s="4">
        <v>3715.45</v>
      </c>
      <c r="AL24" s="4">
        <v>60436</v>
      </c>
      <c r="AM24" s="4">
        <v>88167.63</v>
      </c>
      <c r="AN24" s="4">
        <v>26355.39</v>
      </c>
      <c r="AO24" s="4">
        <v>45247.95</v>
      </c>
      <c r="AP24" s="4">
        <v>36323.629999999997</v>
      </c>
      <c r="AQ24" s="4">
        <v>36848.65</v>
      </c>
      <c r="AR24" s="4">
        <v>51355.29</v>
      </c>
      <c r="AS24" s="4">
        <v>6963.69</v>
      </c>
      <c r="AT24" s="4">
        <v>59284.26</v>
      </c>
      <c r="AU24" s="4">
        <v>13495.81</v>
      </c>
      <c r="AV24" s="4">
        <v>74336.320000000007</v>
      </c>
      <c r="AW24" s="4">
        <v>43275.63</v>
      </c>
      <c r="AX24" s="4">
        <v>12156.5</v>
      </c>
      <c r="AY24" s="4">
        <v>43613.34</v>
      </c>
      <c r="AZ24" s="4">
        <v>99589.08</v>
      </c>
      <c r="BA24" s="4">
        <v>61555.47</v>
      </c>
      <c r="BB24" s="4">
        <v>23557.95</v>
      </c>
      <c r="BC24" s="4">
        <v>13984.49</v>
      </c>
      <c r="BD24" s="4">
        <v>356907.26</v>
      </c>
      <c r="BE24" s="4">
        <v>39212.879999999997</v>
      </c>
      <c r="BF24" s="4">
        <f t="shared" si="10"/>
        <v>2795717.76</v>
      </c>
      <c r="BG24" s="4">
        <f t="shared" si="7"/>
        <v>1274733.8199999998</v>
      </c>
      <c r="BH24" s="4">
        <f t="shared" si="8"/>
        <v>324601.26999999996</v>
      </c>
      <c r="BI24" s="4">
        <f t="shared" si="9"/>
        <v>1196382.67</v>
      </c>
    </row>
    <row r="25" spans="2:61" x14ac:dyDescent="0.25">
      <c r="C25">
        <v>319</v>
      </c>
      <c r="D25" t="s">
        <v>97</v>
      </c>
      <c r="E25" s="4">
        <v>916.5</v>
      </c>
      <c r="F25" s="4">
        <v>1401.4</v>
      </c>
      <c r="G25" s="4">
        <v>6061.3</v>
      </c>
      <c r="H25" s="4">
        <v>5163.3</v>
      </c>
      <c r="I25" s="4">
        <v>53924.12</v>
      </c>
      <c r="J25" s="4">
        <v>24343.1</v>
      </c>
      <c r="K25" s="4">
        <v>15115.75</v>
      </c>
      <c r="L25" s="4">
        <v>164958.45000000001</v>
      </c>
      <c r="M25" s="4">
        <v>52744</v>
      </c>
      <c r="N25" s="4">
        <v>972</v>
      </c>
      <c r="O25" s="4">
        <v>24888.05</v>
      </c>
      <c r="P25" s="4">
        <v>1652</v>
      </c>
      <c r="Q25" s="4">
        <v>3886.98</v>
      </c>
      <c r="R25" s="4">
        <v>0</v>
      </c>
      <c r="S25" s="4">
        <v>933.35</v>
      </c>
      <c r="T25" s="4">
        <v>8197</v>
      </c>
      <c r="U25" s="4">
        <v>1510.25</v>
      </c>
      <c r="V25" s="4">
        <v>2001.5</v>
      </c>
      <c r="W25" s="4">
        <v>3639.1</v>
      </c>
      <c r="X25" s="4">
        <v>1175.95</v>
      </c>
      <c r="Y25" s="4">
        <v>14805.75</v>
      </c>
      <c r="Z25" s="4">
        <v>14636.3</v>
      </c>
      <c r="AA25" s="4">
        <v>797</v>
      </c>
      <c r="AB25" s="4">
        <v>637.95000000000005</v>
      </c>
      <c r="AC25" s="4">
        <v>3405.25</v>
      </c>
      <c r="AD25" s="4">
        <v>10507.95</v>
      </c>
      <c r="AE25" s="4">
        <v>1199.3</v>
      </c>
      <c r="AF25" s="4">
        <v>925.05</v>
      </c>
      <c r="AG25" s="4">
        <v>21493.35</v>
      </c>
      <c r="AH25" s="4">
        <v>15572.1</v>
      </c>
      <c r="AI25" s="4">
        <v>1008.3</v>
      </c>
      <c r="AJ25" s="4">
        <v>1388.05</v>
      </c>
      <c r="AK25" s="4">
        <v>0</v>
      </c>
      <c r="AL25" s="4">
        <v>19021.61</v>
      </c>
      <c r="AM25" s="4">
        <v>689.55</v>
      </c>
      <c r="AN25" s="4">
        <v>0</v>
      </c>
      <c r="AO25" s="4">
        <v>24793.55</v>
      </c>
      <c r="AP25" s="4">
        <v>1362.25</v>
      </c>
      <c r="AQ25" s="4">
        <v>756.65</v>
      </c>
      <c r="AR25" s="4">
        <v>17808.8</v>
      </c>
      <c r="AS25" s="4">
        <v>1699.9</v>
      </c>
      <c r="AT25" s="4">
        <v>10802.6</v>
      </c>
      <c r="AU25" s="4">
        <v>1575.25</v>
      </c>
      <c r="AV25" s="4">
        <v>21000</v>
      </c>
      <c r="AW25" s="4">
        <v>8000</v>
      </c>
      <c r="AX25" s="4">
        <v>877.3</v>
      </c>
      <c r="AY25" s="4">
        <v>0</v>
      </c>
      <c r="AZ25" s="4">
        <v>7978.9</v>
      </c>
      <c r="BA25" s="4">
        <v>0</v>
      </c>
      <c r="BB25" s="4">
        <v>7676.56</v>
      </c>
      <c r="BC25" s="4">
        <v>1254.0999999999999</v>
      </c>
      <c r="BD25" s="4">
        <v>143566.29999999999</v>
      </c>
      <c r="BE25" s="4">
        <v>3782</v>
      </c>
      <c r="BF25" s="4">
        <f t="shared" si="10"/>
        <v>732505.77</v>
      </c>
      <c r="BG25" s="4">
        <f t="shared" si="7"/>
        <v>372308.14999999997</v>
      </c>
      <c r="BH25" s="4">
        <f t="shared" si="8"/>
        <v>87552.300000000017</v>
      </c>
      <c r="BI25" s="4">
        <f t="shared" si="9"/>
        <v>272645.32</v>
      </c>
    </row>
    <row r="26" spans="2:61" x14ac:dyDescent="0.25">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row>
    <row r="27" spans="2:61" x14ac:dyDescent="0.25">
      <c r="B27" s="76">
        <v>33</v>
      </c>
      <c r="C27" s="76"/>
      <c r="D27" s="76" t="s">
        <v>98</v>
      </c>
      <c r="E27" s="77">
        <f>E28+E29</f>
        <v>282130.74</v>
      </c>
      <c r="F27" s="77">
        <f t="shared" ref="F27:BI27" si="11">F28+F29</f>
        <v>82434</v>
      </c>
      <c r="G27" s="77">
        <f t="shared" si="11"/>
        <v>75868.399999999994</v>
      </c>
      <c r="H27" s="77">
        <f t="shared" si="11"/>
        <v>97710</v>
      </c>
      <c r="I27" s="77">
        <f t="shared" si="11"/>
        <v>967279.79</v>
      </c>
      <c r="J27" s="77">
        <f t="shared" si="11"/>
        <v>1031388.2899999999</v>
      </c>
      <c r="K27" s="77">
        <f t="shared" si="11"/>
        <v>507798.55</v>
      </c>
      <c r="L27" s="77">
        <f t="shared" si="11"/>
        <v>5626924.5</v>
      </c>
      <c r="M27" s="77">
        <f t="shared" si="11"/>
        <v>236080</v>
      </c>
      <c r="N27" s="77">
        <f t="shared" si="11"/>
        <v>50797.67</v>
      </c>
      <c r="O27" s="77">
        <f t="shared" si="11"/>
        <v>1215448.0999999999</v>
      </c>
      <c r="P27" s="77">
        <f t="shared" si="11"/>
        <v>117103</v>
      </c>
      <c r="Q27" s="77">
        <f t="shared" si="11"/>
        <v>12561</v>
      </c>
      <c r="R27" s="77">
        <f t="shared" si="11"/>
        <v>94900</v>
      </c>
      <c r="S27" s="77">
        <f t="shared" si="11"/>
        <v>107211</v>
      </c>
      <c r="T27" s="77">
        <f t="shared" si="11"/>
        <v>116736.9</v>
      </c>
      <c r="U27" s="77">
        <f t="shared" si="11"/>
        <v>33089.699999999997</v>
      </c>
      <c r="V27" s="77">
        <f t="shared" si="11"/>
        <v>155684.85</v>
      </c>
      <c r="W27" s="77">
        <f t="shared" si="11"/>
        <v>940048.97</v>
      </c>
      <c r="X27" s="77">
        <f t="shared" si="11"/>
        <v>40515.25</v>
      </c>
      <c r="Y27" s="77">
        <f t="shared" si="11"/>
        <v>269737.3</v>
      </c>
      <c r="Z27" s="77">
        <f t="shared" si="11"/>
        <v>354358.34</v>
      </c>
      <c r="AA27" s="77">
        <f t="shared" si="11"/>
        <v>48600</v>
      </c>
      <c r="AB27" s="77">
        <f t="shared" si="11"/>
        <v>700</v>
      </c>
      <c r="AC27" s="77">
        <f t="shared" si="11"/>
        <v>88682.95</v>
      </c>
      <c r="AD27" s="77">
        <f t="shared" si="11"/>
        <v>189752.77</v>
      </c>
      <c r="AE27" s="77">
        <f t="shared" si="11"/>
        <v>146039.14000000001</v>
      </c>
      <c r="AF27" s="77">
        <f t="shared" si="11"/>
        <v>86837.65</v>
      </c>
      <c r="AG27" s="77">
        <f t="shared" si="11"/>
        <v>616217.30000000005</v>
      </c>
      <c r="AH27" s="77">
        <f t="shared" si="11"/>
        <v>768732</v>
      </c>
      <c r="AI27" s="77">
        <f t="shared" si="11"/>
        <v>53527</v>
      </c>
      <c r="AJ27" s="77">
        <f t="shared" si="11"/>
        <v>54670.8</v>
      </c>
      <c r="AK27" s="77">
        <f t="shared" si="11"/>
        <v>702484</v>
      </c>
      <c r="AL27" s="77">
        <f t="shared" si="11"/>
        <v>408999.5</v>
      </c>
      <c r="AM27" s="77">
        <f t="shared" si="11"/>
        <v>262400</v>
      </c>
      <c r="AN27" s="77">
        <f t="shared" si="11"/>
        <v>34064</v>
      </c>
      <c r="AO27" s="77">
        <f t="shared" si="11"/>
        <v>599305.21</v>
      </c>
      <c r="AP27" s="77">
        <f t="shared" si="11"/>
        <v>85150</v>
      </c>
      <c r="AQ27" s="77">
        <f t="shared" si="11"/>
        <v>220972.56</v>
      </c>
      <c r="AR27" s="77">
        <f t="shared" si="11"/>
        <v>180610</v>
      </c>
      <c r="AS27" s="77">
        <f t="shared" si="11"/>
        <v>178081.75</v>
      </c>
      <c r="AT27" s="77">
        <f t="shared" si="11"/>
        <v>248187</v>
      </c>
      <c r="AU27" s="77">
        <f t="shared" si="11"/>
        <v>76788.100000000006</v>
      </c>
      <c r="AV27" s="77">
        <f t="shared" si="11"/>
        <v>465912.52999999997</v>
      </c>
      <c r="AW27" s="77">
        <f t="shared" si="11"/>
        <v>132346.01999999999</v>
      </c>
      <c r="AX27" s="77">
        <f t="shared" si="11"/>
        <v>33410</v>
      </c>
      <c r="AY27" s="77">
        <f t="shared" si="11"/>
        <v>185465</v>
      </c>
      <c r="AZ27" s="77">
        <f t="shared" si="11"/>
        <v>583142</v>
      </c>
      <c r="BA27" s="77">
        <f t="shared" si="11"/>
        <v>31888.18</v>
      </c>
      <c r="BB27" s="77">
        <f t="shared" si="11"/>
        <v>381525.81</v>
      </c>
      <c r="BC27" s="77">
        <f t="shared" si="11"/>
        <v>13961</v>
      </c>
      <c r="BD27" s="77">
        <f t="shared" si="11"/>
        <v>2988366.1100000003</v>
      </c>
      <c r="BE27" s="77">
        <f t="shared" si="11"/>
        <v>101119</v>
      </c>
      <c r="BF27" s="77">
        <f t="shared" si="11"/>
        <v>22383743.729999997</v>
      </c>
      <c r="BG27" s="77">
        <f t="shared" si="11"/>
        <v>11751195.459999997</v>
      </c>
      <c r="BH27" s="77">
        <f t="shared" si="11"/>
        <v>2718370.5</v>
      </c>
      <c r="BI27" s="77">
        <f t="shared" si="11"/>
        <v>7914177.7700000005</v>
      </c>
    </row>
    <row r="28" spans="2:61" x14ac:dyDescent="0.25">
      <c r="C28">
        <v>330</v>
      </c>
      <c r="D28" t="s">
        <v>100</v>
      </c>
      <c r="E28" s="4">
        <v>282130.74</v>
      </c>
      <c r="F28" s="4">
        <v>70754</v>
      </c>
      <c r="G28" s="4">
        <v>74121.899999999994</v>
      </c>
      <c r="H28" s="4">
        <v>97710</v>
      </c>
      <c r="I28" s="4">
        <v>949055.79</v>
      </c>
      <c r="J28" s="4">
        <v>1017897.2</v>
      </c>
      <c r="K28" s="4">
        <v>505810.85</v>
      </c>
      <c r="L28" s="4">
        <v>5532820.2699999996</v>
      </c>
      <c r="M28" s="4">
        <v>229350</v>
      </c>
      <c r="N28" s="4">
        <v>50797.67</v>
      </c>
      <c r="O28" s="4">
        <v>1190961.7</v>
      </c>
      <c r="P28" s="4">
        <v>117103</v>
      </c>
      <c r="Q28" s="4">
        <v>12561</v>
      </c>
      <c r="R28" s="4">
        <v>94900</v>
      </c>
      <c r="S28" s="4">
        <v>107211</v>
      </c>
      <c r="T28" s="4">
        <v>116736.9</v>
      </c>
      <c r="U28" s="4">
        <v>33089.699999999997</v>
      </c>
      <c r="V28" s="4">
        <v>137784.85</v>
      </c>
      <c r="W28" s="4">
        <v>901548.95</v>
      </c>
      <c r="X28" s="4">
        <v>40515.25</v>
      </c>
      <c r="Y28" s="4">
        <v>269737.3</v>
      </c>
      <c r="Z28" s="4">
        <v>354358.34</v>
      </c>
      <c r="AA28" s="4">
        <v>48600</v>
      </c>
      <c r="AB28" s="4">
        <v>700</v>
      </c>
      <c r="AC28" s="4">
        <v>88682.95</v>
      </c>
      <c r="AD28" s="4">
        <v>189752.77</v>
      </c>
      <c r="AE28" s="4">
        <v>146039.14000000001</v>
      </c>
      <c r="AF28" s="4">
        <v>86837.65</v>
      </c>
      <c r="AG28" s="4">
        <v>616217.30000000005</v>
      </c>
      <c r="AH28" s="4">
        <v>722655.65</v>
      </c>
      <c r="AI28" s="4">
        <v>53527</v>
      </c>
      <c r="AJ28" s="4">
        <v>54670.8</v>
      </c>
      <c r="AK28" s="4">
        <v>702484</v>
      </c>
      <c r="AL28" s="4">
        <v>408999.5</v>
      </c>
      <c r="AM28" s="4">
        <v>242650</v>
      </c>
      <c r="AN28" s="4">
        <v>34064</v>
      </c>
      <c r="AO28" s="4">
        <v>588905.21</v>
      </c>
      <c r="AP28" s="4">
        <v>85150</v>
      </c>
      <c r="AQ28" s="4">
        <v>220972.56</v>
      </c>
      <c r="AR28" s="4">
        <v>145910</v>
      </c>
      <c r="AS28" s="4">
        <v>0</v>
      </c>
      <c r="AT28" s="4">
        <v>247227</v>
      </c>
      <c r="AU28" s="4">
        <v>76788.100000000006</v>
      </c>
      <c r="AV28" s="4">
        <v>449875.98</v>
      </c>
      <c r="AW28" s="4">
        <v>132346.01999999999</v>
      </c>
      <c r="AX28" s="4">
        <v>33410</v>
      </c>
      <c r="AY28" s="4">
        <v>180965</v>
      </c>
      <c r="AZ28" s="4">
        <v>529017</v>
      </c>
      <c r="BA28" s="4">
        <v>31528.48</v>
      </c>
      <c r="BB28" s="4">
        <v>381525.81</v>
      </c>
      <c r="BC28" s="4">
        <v>13961</v>
      </c>
      <c r="BD28" s="4">
        <v>2841897.41</v>
      </c>
      <c r="BE28" s="4">
        <v>101119</v>
      </c>
      <c r="BF28" s="4">
        <f t="shared" ref="BF28:BF29" si="12">SUM(E28:BE28)</f>
        <v>21643435.739999998</v>
      </c>
      <c r="BG28" s="4">
        <f t="shared" ref="BG28:BG29" si="13">SUM(E28:W28)</f>
        <v>11522345.519999998</v>
      </c>
      <c r="BH28" s="4">
        <f t="shared" ref="BH28:BH29" si="14">SUM(X28:AJ28)</f>
        <v>2672294.15</v>
      </c>
      <c r="BI28" s="4">
        <f t="shared" ref="BI28:BI29" si="15">SUM(AK28:BE28)</f>
        <v>7448796.0700000003</v>
      </c>
    </row>
    <row r="29" spans="2:61" x14ac:dyDescent="0.25">
      <c r="C29">
        <v>332</v>
      </c>
      <c r="D29" t="s">
        <v>99</v>
      </c>
      <c r="E29" s="4">
        <v>0</v>
      </c>
      <c r="F29" s="4">
        <v>11680</v>
      </c>
      <c r="G29" s="4">
        <v>1746.5</v>
      </c>
      <c r="H29" s="4">
        <v>0</v>
      </c>
      <c r="I29" s="4">
        <v>18224</v>
      </c>
      <c r="J29" s="4">
        <v>13491.09</v>
      </c>
      <c r="K29" s="4">
        <v>1987.7</v>
      </c>
      <c r="L29" s="4">
        <v>94104.23</v>
      </c>
      <c r="M29" s="4">
        <v>6730</v>
      </c>
      <c r="N29" s="4">
        <v>0</v>
      </c>
      <c r="O29" s="4">
        <v>24486.400000000001</v>
      </c>
      <c r="P29" s="4">
        <v>0</v>
      </c>
      <c r="Q29" s="4">
        <v>0</v>
      </c>
      <c r="R29" s="4">
        <v>0</v>
      </c>
      <c r="S29" s="4">
        <v>0</v>
      </c>
      <c r="T29" s="4">
        <v>0</v>
      </c>
      <c r="U29" s="4">
        <v>0</v>
      </c>
      <c r="V29" s="4">
        <v>17900</v>
      </c>
      <c r="W29" s="4">
        <v>38500.019999999997</v>
      </c>
      <c r="X29" s="4">
        <v>0</v>
      </c>
      <c r="Y29" s="4">
        <v>0</v>
      </c>
      <c r="Z29" s="4">
        <v>0</v>
      </c>
      <c r="AA29" s="4">
        <v>0</v>
      </c>
      <c r="AB29" s="4">
        <v>0</v>
      </c>
      <c r="AC29" s="4">
        <v>0</v>
      </c>
      <c r="AD29" s="4">
        <v>0</v>
      </c>
      <c r="AE29" s="4">
        <v>0</v>
      </c>
      <c r="AF29" s="4">
        <v>0</v>
      </c>
      <c r="AG29" s="4">
        <v>0</v>
      </c>
      <c r="AH29" s="4">
        <v>46076.35</v>
      </c>
      <c r="AI29" s="4">
        <v>0</v>
      </c>
      <c r="AJ29" s="4">
        <v>0</v>
      </c>
      <c r="AK29" s="4">
        <v>0</v>
      </c>
      <c r="AL29" s="4">
        <v>0</v>
      </c>
      <c r="AM29" s="4">
        <v>19750</v>
      </c>
      <c r="AN29" s="4">
        <v>0</v>
      </c>
      <c r="AO29" s="4">
        <v>10400</v>
      </c>
      <c r="AP29" s="4">
        <v>0</v>
      </c>
      <c r="AQ29" s="4">
        <v>0</v>
      </c>
      <c r="AR29" s="4">
        <v>34700</v>
      </c>
      <c r="AS29" s="4">
        <v>178081.75</v>
      </c>
      <c r="AT29" s="4">
        <v>960</v>
      </c>
      <c r="AU29" s="4">
        <v>0</v>
      </c>
      <c r="AV29" s="4">
        <v>16036.55</v>
      </c>
      <c r="AW29" s="4">
        <v>0</v>
      </c>
      <c r="AX29" s="4">
        <v>0</v>
      </c>
      <c r="AY29" s="4">
        <v>4500</v>
      </c>
      <c r="AZ29" s="4">
        <v>54125</v>
      </c>
      <c r="BA29" s="4">
        <v>359.7</v>
      </c>
      <c r="BB29" s="4">
        <v>0</v>
      </c>
      <c r="BC29" s="4">
        <v>0</v>
      </c>
      <c r="BD29" s="4">
        <v>146468.70000000001</v>
      </c>
      <c r="BE29" s="4">
        <v>0</v>
      </c>
      <c r="BF29" s="4">
        <f t="shared" si="12"/>
        <v>740307.99</v>
      </c>
      <c r="BG29" s="4">
        <f t="shared" si="13"/>
        <v>228849.93999999997</v>
      </c>
      <c r="BH29" s="4">
        <f t="shared" si="14"/>
        <v>46076.35</v>
      </c>
      <c r="BI29" s="4">
        <f t="shared" si="15"/>
        <v>465381.7</v>
      </c>
    </row>
    <row r="30" spans="2:61" x14ac:dyDescent="0.25">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row>
    <row r="31" spans="2:61" x14ac:dyDescent="0.25">
      <c r="B31" s="76">
        <v>34</v>
      </c>
      <c r="C31" s="76"/>
      <c r="D31" s="76" t="s">
        <v>101</v>
      </c>
      <c r="E31" s="77">
        <f>E32+E33+E34+E35+E36+E37</f>
        <v>38934.65</v>
      </c>
      <c r="F31" s="77">
        <f t="shared" ref="F31:BI31" si="16">F32+F33+F34+F35+F36+F37</f>
        <v>47203.630000000005</v>
      </c>
      <c r="G31" s="77">
        <f t="shared" si="16"/>
        <v>100058.82</v>
      </c>
      <c r="H31" s="77">
        <f t="shared" si="16"/>
        <v>72918.87</v>
      </c>
      <c r="I31" s="77">
        <f t="shared" si="16"/>
        <v>575915.76</v>
      </c>
      <c r="J31" s="77">
        <f t="shared" si="16"/>
        <v>311634.11</v>
      </c>
      <c r="K31" s="77">
        <f t="shared" si="16"/>
        <v>212656.85</v>
      </c>
      <c r="L31" s="77">
        <f t="shared" si="16"/>
        <v>1762202.0899999999</v>
      </c>
      <c r="M31" s="77">
        <f t="shared" si="16"/>
        <v>67667.070000000007</v>
      </c>
      <c r="N31" s="77">
        <f t="shared" si="16"/>
        <v>8121.91</v>
      </c>
      <c r="O31" s="77">
        <f t="shared" si="16"/>
        <v>363958.46</v>
      </c>
      <c r="P31" s="77">
        <f t="shared" si="16"/>
        <v>47542.29</v>
      </c>
      <c r="Q31" s="77">
        <f t="shared" si="16"/>
        <v>8946.4800000000014</v>
      </c>
      <c r="R31" s="77">
        <f t="shared" si="16"/>
        <v>53453.820000000007</v>
      </c>
      <c r="S31" s="77">
        <f t="shared" si="16"/>
        <v>69384.44</v>
      </c>
      <c r="T31" s="77">
        <f t="shared" si="16"/>
        <v>66325.719999999987</v>
      </c>
      <c r="U31" s="77">
        <f t="shared" si="16"/>
        <v>14511.68</v>
      </c>
      <c r="V31" s="77">
        <f t="shared" si="16"/>
        <v>52127.99</v>
      </c>
      <c r="W31" s="77">
        <f t="shared" si="16"/>
        <v>202554.03</v>
      </c>
      <c r="X31" s="77">
        <f t="shared" si="16"/>
        <v>14076.05</v>
      </c>
      <c r="Y31" s="77">
        <f t="shared" si="16"/>
        <v>158659.09</v>
      </c>
      <c r="Z31" s="77">
        <f t="shared" si="16"/>
        <v>18628.559999999998</v>
      </c>
      <c r="AA31" s="77">
        <f t="shared" si="16"/>
        <v>3560.17</v>
      </c>
      <c r="AB31" s="77">
        <f t="shared" si="16"/>
        <v>16106.66</v>
      </c>
      <c r="AC31" s="77">
        <f t="shared" si="16"/>
        <v>76538.850000000006</v>
      </c>
      <c r="AD31" s="77">
        <f t="shared" si="16"/>
        <v>116578.73000000001</v>
      </c>
      <c r="AE31" s="77">
        <f t="shared" si="16"/>
        <v>38264.15</v>
      </c>
      <c r="AF31" s="77">
        <f t="shared" si="16"/>
        <v>76299.45</v>
      </c>
      <c r="AG31" s="77">
        <f t="shared" si="16"/>
        <v>106342.45</v>
      </c>
      <c r="AH31" s="77">
        <f t="shared" si="16"/>
        <v>192435.77000000002</v>
      </c>
      <c r="AI31" s="77">
        <f t="shared" si="16"/>
        <v>17489.71</v>
      </c>
      <c r="AJ31" s="77">
        <f t="shared" si="16"/>
        <v>25878.75</v>
      </c>
      <c r="AK31" s="77">
        <f t="shared" si="16"/>
        <v>234637.57</v>
      </c>
      <c r="AL31" s="77">
        <f t="shared" si="16"/>
        <v>199635.7</v>
      </c>
      <c r="AM31" s="77">
        <f t="shared" si="16"/>
        <v>172278.25</v>
      </c>
      <c r="AN31" s="77">
        <f t="shared" si="16"/>
        <v>20793.809999999998</v>
      </c>
      <c r="AO31" s="77">
        <f t="shared" si="16"/>
        <v>302592</v>
      </c>
      <c r="AP31" s="77">
        <f t="shared" si="16"/>
        <v>72703.8</v>
      </c>
      <c r="AQ31" s="77">
        <f t="shared" si="16"/>
        <v>62320.54</v>
      </c>
      <c r="AR31" s="77">
        <f t="shared" si="16"/>
        <v>244846.24</v>
      </c>
      <c r="AS31" s="77">
        <f t="shared" si="16"/>
        <v>85953.989999999991</v>
      </c>
      <c r="AT31" s="77">
        <f t="shared" si="16"/>
        <v>155846.22999999998</v>
      </c>
      <c r="AU31" s="77">
        <f t="shared" si="16"/>
        <v>22674.73</v>
      </c>
      <c r="AV31" s="77">
        <f t="shared" si="16"/>
        <v>301937.45999999996</v>
      </c>
      <c r="AW31" s="77">
        <f t="shared" si="16"/>
        <v>74054.740000000005</v>
      </c>
      <c r="AX31" s="77">
        <f t="shared" si="16"/>
        <v>8054.16</v>
      </c>
      <c r="AY31" s="77">
        <f t="shared" si="16"/>
        <v>15749.32</v>
      </c>
      <c r="AZ31" s="77">
        <f t="shared" si="16"/>
        <v>324265.32999999996</v>
      </c>
      <c r="BA31" s="77">
        <f t="shared" si="16"/>
        <v>26202.06</v>
      </c>
      <c r="BB31" s="77">
        <f t="shared" si="16"/>
        <v>129553.11</v>
      </c>
      <c r="BC31" s="77">
        <f t="shared" si="16"/>
        <v>371.09999999999997</v>
      </c>
      <c r="BD31" s="77">
        <f t="shared" si="16"/>
        <v>874506.92999999993</v>
      </c>
      <c r="BE31" s="77">
        <f t="shared" si="16"/>
        <v>57204</v>
      </c>
      <c r="BF31" s="77">
        <f t="shared" si="16"/>
        <v>8323158.1299999999</v>
      </c>
      <c r="BG31" s="77">
        <f t="shared" si="16"/>
        <v>4076118.67</v>
      </c>
      <c r="BH31" s="77">
        <f t="shared" si="16"/>
        <v>860858.39</v>
      </c>
      <c r="BI31" s="77">
        <f t="shared" si="16"/>
        <v>3386181.0699999994</v>
      </c>
    </row>
    <row r="32" spans="2:61" x14ac:dyDescent="0.25">
      <c r="C32">
        <v>340</v>
      </c>
      <c r="D32" t="s">
        <v>102</v>
      </c>
      <c r="E32" s="4">
        <v>38934.65</v>
      </c>
      <c r="F32" s="4">
        <v>37718.33</v>
      </c>
      <c r="G32" s="4">
        <v>63703.07</v>
      </c>
      <c r="H32" s="4">
        <v>50695.97</v>
      </c>
      <c r="I32" s="4">
        <v>441586.42</v>
      </c>
      <c r="J32" s="4">
        <v>256881.91</v>
      </c>
      <c r="K32" s="4">
        <v>135437.13</v>
      </c>
      <c r="L32" s="4">
        <v>1605830.89</v>
      </c>
      <c r="M32" s="4">
        <v>44645.69</v>
      </c>
      <c r="N32" s="4">
        <v>8121.91</v>
      </c>
      <c r="O32" s="4">
        <v>277293.21000000002</v>
      </c>
      <c r="P32" s="4">
        <v>37908.54</v>
      </c>
      <c r="Q32" s="4">
        <v>8389.0300000000007</v>
      </c>
      <c r="R32" s="4">
        <v>45100.37</v>
      </c>
      <c r="S32" s="4">
        <v>64989.99</v>
      </c>
      <c r="T32" s="4">
        <v>48118.02</v>
      </c>
      <c r="U32" s="4">
        <v>8827.43</v>
      </c>
      <c r="V32" s="4">
        <v>42480.34</v>
      </c>
      <c r="W32" s="4">
        <v>185337.29</v>
      </c>
      <c r="X32" s="4">
        <v>6978.81</v>
      </c>
      <c r="Y32" s="4">
        <v>158659.09</v>
      </c>
      <c r="Z32" s="4">
        <v>10036.209999999999</v>
      </c>
      <c r="AA32" s="4">
        <v>3455.77</v>
      </c>
      <c r="AB32" s="4">
        <v>3976.82</v>
      </c>
      <c r="AC32" s="4">
        <v>51756.65</v>
      </c>
      <c r="AD32" s="4">
        <v>79274.83</v>
      </c>
      <c r="AE32" s="4">
        <v>38264.15</v>
      </c>
      <c r="AF32" s="4">
        <v>8911.5</v>
      </c>
      <c r="AG32" s="4">
        <v>55215</v>
      </c>
      <c r="AH32" s="4">
        <v>172314.82</v>
      </c>
      <c r="AI32" s="4">
        <v>29078.26</v>
      </c>
      <c r="AJ32" s="4">
        <v>6010.75</v>
      </c>
      <c r="AK32" s="4">
        <v>144522.82</v>
      </c>
      <c r="AL32" s="4">
        <v>139519.01</v>
      </c>
      <c r="AM32" s="4">
        <v>136276.35</v>
      </c>
      <c r="AN32" s="4">
        <v>19639.759999999998</v>
      </c>
      <c r="AO32" s="4">
        <v>67994.080000000002</v>
      </c>
      <c r="AP32" s="4">
        <v>60019.839999999997</v>
      </c>
      <c r="AQ32" s="4">
        <v>62320.54</v>
      </c>
      <c r="AR32" s="4">
        <v>81690.240000000005</v>
      </c>
      <c r="AS32" s="4">
        <v>80902.12</v>
      </c>
      <c r="AT32" s="4">
        <v>131647.57999999999</v>
      </c>
      <c r="AU32" s="4">
        <v>22674.73</v>
      </c>
      <c r="AV32" s="4">
        <v>301752.61</v>
      </c>
      <c r="AW32" s="4">
        <v>56642.14</v>
      </c>
      <c r="AX32" s="4">
        <v>7339.96</v>
      </c>
      <c r="AY32" s="4">
        <v>15749.32</v>
      </c>
      <c r="AZ32" s="4">
        <v>306670.73</v>
      </c>
      <c r="BA32" s="4">
        <v>11746.61</v>
      </c>
      <c r="BB32" s="4">
        <v>79671.94</v>
      </c>
      <c r="BC32" s="4">
        <v>60.65</v>
      </c>
      <c r="BD32" s="4">
        <v>763187.49</v>
      </c>
      <c r="BE32" s="4">
        <v>39123.85</v>
      </c>
      <c r="BF32" s="4">
        <f t="shared" ref="BF32:BF37" si="17">SUM(E32:BE32)</f>
        <v>6555085.2200000007</v>
      </c>
      <c r="BG32" s="4">
        <f t="shared" ref="BG32:BG37" si="18">SUM(E32:W32)</f>
        <v>3402000.1900000004</v>
      </c>
      <c r="BH32" s="4">
        <f t="shared" ref="BH32:BH37" si="19">SUM(X32:AJ32)</f>
        <v>623932.66</v>
      </c>
      <c r="BI32" s="4">
        <f t="shared" ref="BI32:BI37" si="20">SUM(AK32:BE32)</f>
        <v>2529152.37</v>
      </c>
    </row>
    <row r="33" spans="2:61" x14ac:dyDescent="0.25">
      <c r="C33">
        <v>341</v>
      </c>
      <c r="D33" t="s">
        <v>103</v>
      </c>
      <c r="E33" s="4">
        <v>0</v>
      </c>
      <c r="F33" s="4">
        <v>0</v>
      </c>
      <c r="G33" s="4">
        <v>0</v>
      </c>
      <c r="H33" s="4">
        <v>0</v>
      </c>
      <c r="I33" s="4">
        <v>0</v>
      </c>
      <c r="J33" s="4">
        <v>0</v>
      </c>
      <c r="K33" s="4">
        <v>0</v>
      </c>
      <c r="L33" s="4">
        <v>0</v>
      </c>
      <c r="M33" s="4">
        <v>0</v>
      </c>
      <c r="N33" s="4">
        <v>0</v>
      </c>
      <c r="O33" s="4">
        <v>0</v>
      </c>
      <c r="P33" s="4">
        <v>0</v>
      </c>
      <c r="Q33" s="4">
        <v>0</v>
      </c>
      <c r="R33" s="4">
        <v>0</v>
      </c>
      <c r="S33" s="4">
        <v>0</v>
      </c>
      <c r="T33" s="4">
        <v>0</v>
      </c>
      <c r="U33" s="4">
        <v>0</v>
      </c>
      <c r="V33" s="4">
        <v>0</v>
      </c>
      <c r="W33" s="4">
        <v>0</v>
      </c>
      <c r="X33" s="4">
        <v>0</v>
      </c>
      <c r="Y33" s="4">
        <v>0</v>
      </c>
      <c r="Z33" s="4">
        <v>0</v>
      </c>
      <c r="AA33" s="4">
        <v>0</v>
      </c>
      <c r="AB33" s="4">
        <v>0</v>
      </c>
      <c r="AC33" s="4">
        <v>0</v>
      </c>
      <c r="AD33" s="4">
        <v>0</v>
      </c>
      <c r="AE33" s="4">
        <v>0</v>
      </c>
      <c r="AF33" s="4">
        <v>0</v>
      </c>
      <c r="AG33" s="4">
        <v>0</v>
      </c>
      <c r="AH33" s="4">
        <v>0</v>
      </c>
      <c r="AI33" s="4">
        <v>0</v>
      </c>
      <c r="AJ33" s="4">
        <v>0</v>
      </c>
      <c r="AK33" s="4">
        <v>0</v>
      </c>
      <c r="AL33" s="4">
        <v>204.65</v>
      </c>
      <c r="AM33" s="4">
        <v>0</v>
      </c>
      <c r="AN33" s="4">
        <v>0</v>
      </c>
      <c r="AO33" s="4">
        <v>234597.92</v>
      </c>
      <c r="AP33" s="4">
        <v>0</v>
      </c>
      <c r="AQ33" s="4">
        <v>0</v>
      </c>
      <c r="AR33" s="4">
        <v>0</v>
      </c>
      <c r="AS33" s="4">
        <v>0</v>
      </c>
      <c r="AT33" s="4">
        <v>0</v>
      </c>
      <c r="AU33" s="4">
        <v>0</v>
      </c>
      <c r="AV33" s="4">
        <v>0</v>
      </c>
      <c r="AW33" s="4">
        <v>0</v>
      </c>
      <c r="AX33" s="4">
        <v>0</v>
      </c>
      <c r="AY33" s="4">
        <v>0</v>
      </c>
      <c r="AZ33" s="4">
        <v>0</v>
      </c>
      <c r="BA33" s="4">
        <v>0</v>
      </c>
      <c r="BB33" s="4">
        <v>0</v>
      </c>
      <c r="BC33" s="4">
        <v>0</v>
      </c>
      <c r="BD33" s="4">
        <v>20609.189999999999</v>
      </c>
      <c r="BE33" s="4">
        <v>0</v>
      </c>
      <c r="BF33" s="4">
        <f t="shared" si="17"/>
        <v>255411.76</v>
      </c>
      <c r="BG33" s="4">
        <f t="shared" si="18"/>
        <v>0</v>
      </c>
      <c r="BH33" s="4">
        <f t="shared" si="19"/>
        <v>0</v>
      </c>
      <c r="BI33" s="4">
        <f t="shared" si="20"/>
        <v>255411.76</v>
      </c>
    </row>
    <row r="34" spans="2:61" x14ac:dyDescent="0.25">
      <c r="C34">
        <v>342</v>
      </c>
      <c r="D34" t="s">
        <v>104</v>
      </c>
      <c r="E34" s="4">
        <v>0</v>
      </c>
      <c r="F34" s="4">
        <v>0</v>
      </c>
      <c r="G34" s="4">
        <v>0</v>
      </c>
      <c r="H34" s="4">
        <v>0</v>
      </c>
      <c r="I34" s="4">
        <v>0</v>
      </c>
      <c r="J34" s="4">
        <v>0</v>
      </c>
      <c r="K34" s="4">
        <v>20</v>
      </c>
      <c r="L34" s="4">
        <v>0</v>
      </c>
      <c r="M34" s="4">
        <v>0</v>
      </c>
      <c r="N34" s="4">
        <v>0</v>
      </c>
      <c r="O34" s="4">
        <v>0</v>
      </c>
      <c r="P34" s="4">
        <v>0</v>
      </c>
      <c r="Q34" s="4">
        <v>0</v>
      </c>
      <c r="R34" s="4">
        <v>0</v>
      </c>
      <c r="S34" s="4">
        <v>0</v>
      </c>
      <c r="T34" s="4">
        <v>0</v>
      </c>
      <c r="U34" s="4">
        <v>0</v>
      </c>
      <c r="V34" s="4">
        <v>0</v>
      </c>
      <c r="W34" s="4">
        <v>0</v>
      </c>
      <c r="X34" s="4">
        <v>0</v>
      </c>
      <c r="Y34" s="4">
        <v>0</v>
      </c>
      <c r="Z34" s="4">
        <v>0</v>
      </c>
      <c r="AA34" s="4">
        <v>0</v>
      </c>
      <c r="AB34" s="4">
        <v>0</v>
      </c>
      <c r="AC34" s="4">
        <v>0</v>
      </c>
      <c r="AD34" s="4">
        <v>0</v>
      </c>
      <c r="AE34" s="4">
        <v>0</v>
      </c>
      <c r="AF34" s="4">
        <v>0</v>
      </c>
      <c r="AG34" s="4">
        <v>0</v>
      </c>
      <c r="AH34" s="4">
        <v>0</v>
      </c>
      <c r="AI34" s="4">
        <v>0</v>
      </c>
      <c r="AJ34" s="4">
        <v>0</v>
      </c>
      <c r="AK34" s="4">
        <v>0</v>
      </c>
      <c r="AL34" s="4">
        <v>0</v>
      </c>
      <c r="AM34" s="4">
        <v>0</v>
      </c>
      <c r="AN34" s="4">
        <v>0</v>
      </c>
      <c r="AO34" s="4">
        <v>0</v>
      </c>
      <c r="AP34" s="4">
        <v>0</v>
      </c>
      <c r="AQ34" s="4">
        <v>0</v>
      </c>
      <c r="AR34" s="4">
        <v>0</v>
      </c>
      <c r="AS34" s="4">
        <v>0</v>
      </c>
      <c r="AT34" s="4">
        <v>0</v>
      </c>
      <c r="AU34" s="4">
        <v>0</v>
      </c>
      <c r="AV34" s="4">
        <v>0</v>
      </c>
      <c r="AW34" s="4">
        <v>0</v>
      </c>
      <c r="AX34" s="4">
        <v>0</v>
      </c>
      <c r="AY34" s="4">
        <v>0</v>
      </c>
      <c r="AZ34" s="4">
        <v>0</v>
      </c>
      <c r="BA34" s="4">
        <v>0</v>
      </c>
      <c r="BB34" s="4">
        <v>0</v>
      </c>
      <c r="BC34" s="4">
        <v>0</v>
      </c>
      <c r="BD34" s="4">
        <v>0</v>
      </c>
      <c r="BE34" s="4">
        <v>0</v>
      </c>
      <c r="BF34" s="4">
        <f t="shared" si="17"/>
        <v>20</v>
      </c>
      <c r="BG34" s="4">
        <f t="shared" si="18"/>
        <v>20</v>
      </c>
      <c r="BH34" s="4">
        <f t="shared" si="19"/>
        <v>0</v>
      </c>
      <c r="BI34" s="4">
        <f t="shared" si="20"/>
        <v>0</v>
      </c>
    </row>
    <row r="35" spans="2:61" x14ac:dyDescent="0.25">
      <c r="C35">
        <v>343</v>
      </c>
      <c r="D35" t="s">
        <v>105</v>
      </c>
      <c r="E35" s="4">
        <v>0</v>
      </c>
      <c r="F35" s="4">
        <v>9485.2999999999993</v>
      </c>
      <c r="G35" s="4">
        <v>36355.75</v>
      </c>
      <c r="H35" s="4">
        <v>22222.9</v>
      </c>
      <c r="I35" s="4">
        <v>129733.34</v>
      </c>
      <c r="J35" s="4">
        <v>54752.2</v>
      </c>
      <c r="K35" s="4">
        <v>72909.3</v>
      </c>
      <c r="L35" s="4">
        <v>156371.20000000001</v>
      </c>
      <c r="M35" s="4">
        <v>23006.85</v>
      </c>
      <c r="N35" s="4">
        <v>0</v>
      </c>
      <c r="O35" s="4">
        <v>86665.25</v>
      </c>
      <c r="P35" s="4">
        <v>9633.75</v>
      </c>
      <c r="Q35" s="4">
        <v>557.45000000000005</v>
      </c>
      <c r="R35" s="4">
        <v>8353.4500000000007</v>
      </c>
      <c r="S35" s="4">
        <v>4394.45</v>
      </c>
      <c r="T35" s="4">
        <v>14851.05</v>
      </c>
      <c r="U35" s="4">
        <v>5684.25</v>
      </c>
      <c r="V35" s="4">
        <v>9647.65</v>
      </c>
      <c r="W35" s="4">
        <v>17216.740000000002</v>
      </c>
      <c r="X35" s="4">
        <v>3718.35</v>
      </c>
      <c r="Y35" s="4">
        <v>0</v>
      </c>
      <c r="Z35" s="4">
        <v>8592.35</v>
      </c>
      <c r="AA35" s="4">
        <v>104.4</v>
      </c>
      <c r="AB35" s="4">
        <v>10376.200000000001</v>
      </c>
      <c r="AC35" s="4">
        <v>24782.2</v>
      </c>
      <c r="AD35" s="4">
        <v>37301.9</v>
      </c>
      <c r="AE35" s="4">
        <v>0</v>
      </c>
      <c r="AF35" s="4">
        <v>67387.95</v>
      </c>
      <c r="AG35" s="4">
        <v>51127.45</v>
      </c>
      <c r="AH35" s="4">
        <v>20120.95</v>
      </c>
      <c r="AI35" s="4">
        <v>0</v>
      </c>
      <c r="AJ35" s="4">
        <v>19868</v>
      </c>
      <c r="AK35" s="4">
        <v>90114.75</v>
      </c>
      <c r="AL35" s="4">
        <v>54586.5</v>
      </c>
      <c r="AM35" s="4">
        <v>36001.9</v>
      </c>
      <c r="AN35" s="4">
        <v>0</v>
      </c>
      <c r="AO35" s="4">
        <v>0</v>
      </c>
      <c r="AP35" s="4">
        <v>9162.85</v>
      </c>
      <c r="AQ35" s="4">
        <v>0</v>
      </c>
      <c r="AR35" s="4">
        <v>163156</v>
      </c>
      <c r="AS35" s="4">
        <v>4973.92</v>
      </c>
      <c r="AT35" s="4">
        <v>24198.65</v>
      </c>
      <c r="AU35" s="4">
        <v>0</v>
      </c>
      <c r="AV35" s="4">
        <v>184.85</v>
      </c>
      <c r="AW35" s="4">
        <v>16519.8</v>
      </c>
      <c r="AX35" s="4">
        <v>0</v>
      </c>
      <c r="AY35" s="4">
        <v>0</v>
      </c>
      <c r="AZ35" s="4">
        <v>17594.599999999999</v>
      </c>
      <c r="BA35" s="4">
        <v>14455.45</v>
      </c>
      <c r="BB35" s="4">
        <v>49581.17</v>
      </c>
      <c r="BC35" s="4">
        <v>310.45</v>
      </c>
      <c r="BD35" s="4">
        <v>90710.25</v>
      </c>
      <c r="BE35" s="4">
        <v>16172.75</v>
      </c>
      <c r="BF35" s="4">
        <f t="shared" si="17"/>
        <v>1492944.5199999996</v>
      </c>
      <c r="BG35" s="4">
        <f t="shared" si="18"/>
        <v>661840.87999999989</v>
      </c>
      <c r="BH35" s="4">
        <f t="shared" si="19"/>
        <v>243379.75</v>
      </c>
      <c r="BI35" s="4">
        <f t="shared" si="20"/>
        <v>587723.8899999999</v>
      </c>
    </row>
    <row r="36" spans="2:61" x14ac:dyDescent="0.25">
      <c r="C36">
        <v>344</v>
      </c>
      <c r="D36" t="s">
        <v>106</v>
      </c>
      <c r="E36" s="4">
        <v>0</v>
      </c>
      <c r="F36" s="4">
        <v>0</v>
      </c>
      <c r="G36" s="4">
        <v>0</v>
      </c>
      <c r="H36" s="4">
        <v>0</v>
      </c>
      <c r="I36" s="4">
        <v>4596</v>
      </c>
      <c r="J36" s="4">
        <v>0</v>
      </c>
      <c r="K36" s="4">
        <v>4290.42</v>
      </c>
      <c r="L36" s="4">
        <v>0</v>
      </c>
      <c r="M36" s="4">
        <v>0</v>
      </c>
      <c r="N36" s="4">
        <v>0</v>
      </c>
      <c r="O36" s="4">
        <v>0</v>
      </c>
      <c r="P36" s="4">
        <v>0</v>
      </c>
      <c r="Q36" s="4">
        <v>0</v>
      </c>
      <c r="R36" s="4">
        <v>0</v>
      </c>
      <c r="S36" s="4">
        <v>0</v>
      </c>
      <c r="T36" s="4">
        <v>3356.65</v>
      </c>
      <c r="U36" s="4">
        <v>0</v>
      </c>
      <c r="V36" s="4">
        <v>0</v>
      </c>
      <c r="W36" s="4">
        <v>0</v>
      </c>
      <c r="X36" s="4">
        <v>0</v>
      </c>
      <c r="Y36" s="4">
        <v>0</v>
      </c>
      <c r="Z36" s="4">
        <v>0</v>
      </c>
      <c r="AA36" s="4">
        <v>0</v>
      </c>
      <c r="AB36" s="4">
        <v>0</v>
      </c>
      <c r="AC36" s="4">
        <v>0</v>
      </c>
      <c r="AD36" s="4">
        <v>2</v>
      </c>
      <c r="AE36" s="4">
        <v>0</v>
      </c>
      <c r="AF36" s="4">
        <v>0</v>
      </c>
      <c r="AG36" s="4">
        <v>0</v>
      </c>
      <c r="AH36" s="4">
        <v>0</v>
      </c>
      <c r="AI36" s="4">
        <v>-11588.55</v>
      </c>
      <c r="AJ36" s="4">
        <v>0</v>
      </c>
      <c r="AK36" s="4">
        <v>0</v>
      </c>
      <c r="AL36" s="4">
        <v>0</v>
      </c>
      <c r="AM36" s="4">
        <v>0</v>
      </c>
      <c r="AN36" s="4">
        <v>0</v>
      </c>
      <c r="AO36" s="4">
        <v>0</v>
      </c>
      <c r="AP36" s="4">
        <v>0</v>
      </c>
      <c r="AQ36" s="4">
        <v>0</v>
      </c>
      <c r="AR36" s="4">
        <v>0</v>
      </c>
      <c r="AS36" s="4">
        <v>0</v>
      </c>
      <c r="AT36" s="4">
        <v>0</v>
      </c>
      <c r="AU36" s="4">
        <v>0</v>
      </c>
      <c r="AV36" s="4">
        <v>0</v>
      </c>
      <c r="AW36" s="4">
        <v>0</v>
      </c>
      <c r="AX36" s="4">
        <v>0</v>
      </c>
      <c r="AY36" s="4">
        <v>0</v>
      </c>
      <c r="AZ36" s="4">
        <v>0</v>
      </c>
      <c r="BA36" s="4">
        <v>0</v>
      </c>
      <c r="BB36" s="4">
        <v>300</v>
      </c>
      <c r="BC36" s="4">
        <v>0</v>
      </c>
      <c r="BD36" s="4">
        <v>0</v>
      </c>
      <c r="BE36" s="4">
        <v>0</v>
      </c>
      <c r="BF36" s="4">
        <f t="shared" si="17"/>
        <v>956.52000000000044</v>
      </c>
      <c r="BG36" s="4">
        <f t="shared" si="18"/>
        <v>12243.07</v>
      </c>
      <c r="BH36" s="4">
        <f t="shared" si="19"/>
        <v>-11586.55</v>
      </c>
      <c r="BI36" s="4">
        <f t="shared" si="20"/>
        <v>300</v>
      </c>
    </row>
    <row r="37" spans="2:61" x14ac:dyDescent="0.25">
      <c r="C37">
        <v>349</v>
      </c>
      <c r="D37" t="s">
        <v>107</v>
      </c>
      <c r="E37" s="4">
        <v>0</v>
      </c>
      <c r="F37" s="4">
        <v>0</v>
      </c>
      <c r="G37" s="4">
        <v>0</v>
      </c>
      <c r="H37" s="4">
        <v>0</v>
      </c>
      <c r="I37" s="4">
        <v>0</v>
      </c>
      <c r="J37" s="4">
        <v>0</v>
      </c>
      <c r="K37" s="4">
        <v>0</v>
      </c>
      <c r="L37" s="4">
        <v>0</v>
      </c>
      <c r="M37" s="4">
        <v>14.53</v>
      </c>
      <c r="N37" s="4">
        <v>0</v>
      </c>
      <c r="O37" s="4">
        <v>0</v>
      </c>
      <c r="P37" s="4">
        <v>0</v>
      </c>
      <c r="Q37" s="4">
        <v>0</v>
      </c>
      <c r="R37" s="4">
        <v>0</v>
      </c>
      <c r="S37" s="4">
        <v>0</v>
      </c>
      <c r="T37" s="4">
        <v>0</v>
      </c>
      <c r="U37" s="4">
        <v>0</v>
      </c>
      <c r="V37" s="4">
        <v>0</v>
      </c>
      <c r="W37" s="4">
        <v>0</v>
      </c>
      <c r="X37" s="4">
        <v>3378.89</v>
      </c>
      <c r="Y37" s="4">
        <v>0</v>
      </c>
      <c r="Z37" s="4">
        <v>0</v>
      </c>
      <c r="AA37" s="4">
        <v>0</v>
      </c>
      <c r="AB37" s="4">
        <v>1753.64</v>
      </c>
      <c r="AC37" s="4">
        <v>0</v>
      </c>
      <c r="AD37" s="4">
        <v>0</v>
      </c>
      <c r="AE37" s="4">
        <v>0</v>
      </c>
      <c r="AF37" s="4">
        <v>0</v>
      </c>
      <c r="AG37" s="4">
        <v>0</v>
      </c>
      <c r="AH37" s="4">
        <v>0</v>
      </c>
      <c r="AI37" s="4">
        <v>0</v>
      </c>
      <c r="AJ37" s="4">
        <v>0</v>
      </c>
      <c r="AK37" s="4">
        <v>0</v>
      </c>
      <c r="AL37" s="4">
        <v>5325.54</v>
      </c>
      <c r="AM37" s="4">
        <v>0</v>
      </c>
      <c r="AN37" s="4">
        <v>1154.05</v>
      </c>
      <c r="AO37" s="4">
        <v>0</v>
      </c>
      <c r="AP37" s="4">
        <v>3521.11</v>
      </c>
      <c r="AQ37" s="4">
        <v>0</v>
      </c>
      <c r="AR37" s="4">
        <v>0</v>
      </c>
      <c r="AS37" s="4">
        <v>77.95</v>
      </c>
      <c r="AT37" s="4">
        <v>0</v>
      </c>
      <c r="AU37" s="4">
        <v>0</v>
      </c>
      <c r="AV37" s="4">
        <v>0</v>
      </c>
      <c r="AW37" s="4">
        <v>892.8</v>
      </c>
      <c r="AX37" s="4">
        <v>714.2</v>
      </c>
      <c r="AY37" s="4">
        <v>0</v>
      </c>
      <c r="AZ37" s="4">
        <v>0</v>
      </c>
      <c r="BA37" s="4">
        <v>0</v>
      </c>
      <c r="BB37" s="4">
        <v>0</v>
      </c>
      <c r="BC37" s="4">
        <v>0</v>
      </c>
      <c r="BD37" s="4">
        <v>0</v>
      </c>
      <c r="BE37" s="4">
        <v>1907.4</v>
      </c>
      <c r="BF37" s="4">
        <f t="shared" si="17"/>
        <v>18740.11</v>
      </c>
      <c r="BG37" s="4">
        <f t="shared" si="18"/>
        <v>14.53</v>
      </c>
      <c r="BH37" s="4">
        <f t="shared" si="19"/>
        <v>5132.53</v>
      </c>
      <c r="BI37" s="4">
        <f t="shared" si="20"/>
        <v>13593.050000000001</v>
      </c>
    </row>
    <row r="38" spans="2:61" x14ac:dyDescent="0.25">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row>
    <row r="39" spans="2:61" x14ac:dyDescent="0.25">
      <c r="B39" s="76">
        <v>35</v>
      </c>
      <c r="C39" s="76"/>
      <c r="D39" s="76" t="s">
        <v>109</v>
      </c>
      <c r="E39" s="77">
        <f>E40+E41</f>
        <v>16978.75</v>
      </c>
      <c r="F39" s="77">
        <f t="shared" ref="F39:BI39" si="21">F40+F41</f>
        <v>15022.35</v>
      </c>
      <c r="G39" s="77">
        <f t="shared" si="21"/>
        <v>4842.95</v>
      </c>
      <c r="H39" s="77">
        <f t="shared" si="21"/>
        <v>0</v>
      </c>
      <c r="I39" s="77">
        <f t="shared" si="21"/>
        <v>112388.8</v>
      </c>
      <c r="J39" s="77">
        <f t="shared" si="21"/>
        <v>8283.2099999999991</v>
      </c>
      <c r="K39" s="77">
        <f t="shared" si="21"/>
        <v>30083.4</v>
      </c>
      <c r="L39" s="77">
        <f t="shared" si="21"/>
        <v>0</v>
      </c>
      <c r="M39" s="77">
        <f t="shared" si="21"/>
        <v>108697.49</v>
      </c>
      <c r="N39" s="77">
        <f t="shared" si="21"/>
        <v>9500</v>
      </c>
      <c r="O39" s="77">
        <f t="shared" si="21"/>
        <v>738557.5</v>
      </c>
      <c r="P39" s="77">
        <f t="shared" si="21"/>
        <v>0</v>
      </c>
      <c r="Q39" s="77">
        <f t="shared" si="21"/>
        <v>0</v>
      </c>
      <c r="R39" s="77">
        <f t="shared" si="21"/>
        <v>-45.4</v>
      </c>
      <c r="S39" s="77">
        <f t="shared" si="21"/>
        <v>29000</v>
      </c>
      <c r="T39" s="77">
        <f t="shared" si="21"/>
        <v>0</v>
      </c>
      <c r="U39" s="77">
        <f t="shared" si="21"/>
        <v>14808.4</v>
      </c>
      <c r="V39" s="77">
        <f t="shared" si="21"/>
        <v>0</v>
      </c>
      <c r="W39" s="77">
        <f t="shared" si="21"/>
        <v>0</v>
      </c>
      <c r="X39" s="77">
        <f t="shared" si="21"/>
        <v>74767.850000000006</v>
      </c>
      <c r="Y39" s="77">
        <f t="shared" si="21"/>
        <v>1646.6</v>
      </c>
      <c r="Z39" s="77">
        <f t="shared" si="21"/>
        <v>64419</v>
      </c>
      <c r="AA39" s="77">
        <f t="shared" si="21"/>
        <v>0</v>
      </c>
      <c r="AB39" s="77">
        <f t="shared" si="21"/>
        <v>8123.55</v>
      </c>
      <c r="AC39" s="77">
        <f t="shared" si="21"/>
        <v>5397.7</v>
      </c>
      <c r="AD39" s="77">
        <f t="shared" si="21"/>
        <v>3500</v>
      </c>
      <c r="AE39" s="77">
        <f t="shared" si="21"/>
        <v>5379.25</v>
      </c>
      <c r="AF39" s="77">
        <f t="shared" si="21"/>
        <v>6081.76</v>
      </c>
      <c r="AG39" s="77">
        <f t="shared" si="21"/>
        <v>57650.95</v>
      </c>
      <c r="AH39" s="77">
        <f t="shared" si="21"/>
        <v>24180.25</v>
      </c>
      <c r="AI39" s="77">
        <f t="shared" si="21"/>
        <v>15605.95</v>
      </c>
      <c r="AJ39" s="77">
        <f t="shared" si="21"/>
        <v>3000</v>
      </c>
      <c r="AK39" s="77">
        <f t="shared" si="21"/>
        <v>60056.55</v>
      </c>
      <c r="AL39" s="77">
        <f t="shared" si="21"/>
        <v>5884.53</v>
      </c>
      <c r="AM39" s="77">
        <f t="shared" si="21"/>
        <v>44358.37</v>
      </c>
      <c r="AN39" s="77">
        <f t="shared" si="21"/>
        <v>0</v>
      </c>
      <c r="AO39" s="77">
        <f t="shared" si="21"/>
        <v>0</v>
      </c>
      <c r="AP39" s="77">
        <f t="shared" si="21"/>
        <v>9464.7800000000007</v>
      </c>
      <c r="AQ39" s="77">
        <f t="shared" si="21"/>
        <v>13192.7</v>
      </c>
      <c r="AR39" s="77">
        <f t="shared" si="21"/>
        <v>112767.45</v>
      </c>
      <c r="AS39" s="77">
        <f t="shared" si="21"/>
        <v>99540</v>
      </c>
      <c r="AT39" s="77">
        <f t="shared" si="21"/>
        <v>196054.44</v>
      </c>
      <c r="AU39" s="77">
        <f t="shared" si="21"/>
        <v>1484.3</v>
      </c>
      <c r="AV39" s="77">
        <f t="shared" si="21"/>
        <v>167384.66</v>
      </c>
      <c r="AW39" s="77">
        <f t="shared" si="21"/>
        <v>13512</v>
      </c>
      <c r="AX39" s="77">
        <f t="shared" si="21"/>
        <v>35.86</v>
      </c>
      <c r="AY39" s="77">
        <f t="shared" si="21"/>
        <v>-310</v>
      </c>
      <c r="AZ39" s="77">
        <f t="shared" si="21"/>
        <v>10462.5</v>
      </c>
      <c r="BA39" s="77">
        <f t="shared" si="21"/>
        <v>5123.95</v>
      </c>
      <c r="BB39" s="77">
        <f t="shared" si="21"/>
        <v>39690.97</v>
      </c>
      <c r="BC39" s="77">
        <f t="shared" si="21"/>
        <v>5104</v>
      </c>
      <c r="BD39" s="77">
        <f t="shared" si="21"/>
        <v>10234.450000000001</v>
      </c>
      <c r="BE39" s="77">
        <f t="shared" si="21"/>
        <v>19316.63</v>
      </c>
      <c r="BF39" s="77">
        <f t="shared" si="21"/>
        <v>2171228.4500000007</v>
      </c>
      <c r="BG39" s="77">
        <f t="shared" si="21"/>
        <v>1088117.45</v>
      </c>
      <c r="BH39" s="77">
        <f t="shared" si="21"/>
        <v>269752.86000000004</v>
      </c>
      <c r="BI39" s="77">
        <f t="shared" si="21"/>
        <v>813358.14</v>
      </c>
    </row>
    <row r="40" spans="2:61" x14ac:dyDescent="0.25">
      <c r="C40">
        <v>350</v>
      </c>
      <c r="D40" t="s">
        <v>109</v>
      </c>
      <c r="E40" s="4">
        <v>0</v>
      </c>
      <c r="F40" s="4">
        <v>0</v>
      </c>
      <c r="G40" s="4">
        <v>0</v>
      </c>
      <c r="H40" s="4">
        <v>0</v>
      </c>
      <c r="I40" s="4">
        <v>13700.35</v>
      </c>
      <c r="J40" s="4">
        <v>0</v>
      </c>
      <c r="K40" s="4">
        <v>0</v>
      </c>
      <c r="L40" s="4">
        <v>0</v>
      </c>
      <c r="M40" s="4">
        <v>0</v>
      </c>
      <c r="N40" s="4">
        <v>9500</v>
      </c>
      <c r="O40" s="4">
        <v>0</v>
      </c>
      <c r="P40" s="4">
        <v>0</v>
      </c>
      <c r="Q40" s="4">
        <v>0</v>
      </c>
      <c r="R40" s="4">
        <v>0</v>
      </c>
      <c r="S40" s="4">
        <v>0</v>
      </c>
      <c r="T40" s="4">
        <v>0</v>
      </c>
      <c r="U40" s="4">
        <v>0</v>
      </c>
      <c r="V40" s="4">
        <v>0</v>
      </c>
      <c r="W40" s="4">
        <v>0</v>
      </c>
      <c r="X40" s="4">
        <v>0</v>
      </c>
      <c r="Y40" s="4">
        <v>0</v>
      </c>
      <c r="Z40" s="4">
        <v>0</v>
      </c>
      <c r="AA40" s="4">
        <v>0</v>
      </c>
      <c r="AB40" s="4">
        <v>0</v>
      </c>
      <c r="AC40" s="4">
        <v>0</v>
      </c>
      <c r="AD40" s="4">
        <v>0</v>
      </c>
      <c r="AE40" s="4">
        <v>1005.75</v>
      </c>
      <c r="AF40" s="4">
        <v>0</v>
      </c>
      <c r="AG40" s="4">
        <v>0</v>
      </c>
      <c r="AH40" s="4">
        <v>0</v>
      </c>
      <c r="AI40" s="4">
        <v>4708.75</v>
      </c>
      <c r="AJ40" s="4">
        <v>0</v>
      </c>
      <c r="AK40" s="4">
        <v>0</v>
      </c>
      <c r="AL40" s="4">
        <v>0</v>
      </c>
      <c r="AM40" s="4">
        <v>0</v>
      </c>
      <c r="AN40" s="4">
        <v>0</v>
      </c>
      <c r="AO40" s="4">
        <v>0</v>
      </c>
      <c r="AP40" s="4">
        <v>0</v>
      </c>
      <c r="AQ40" s="4">
        <v>0</v>
      </c>
      <c r="AR40" s="4">
        <v>0</v>
      </c>
      <c r="AS40" s="4">
        <v>0.43</v>
      </c>
      <c r="AT40" s="4">
        <v>10.3</v>
      </c>
      <c r="AU40" s="4">
        <v>0</v>
      </c>
      <c r="AV40" s="4">
        <v>9624.65</v>
      </c>
      <c r="AW40" s="4">
        <v>0</v>
      </c>
      <c r="AX40" s="4">
        <v>0</v>
      </c>
      <c r="AY40" s="4">
        <v>0</v>
      </c>
      <c r="AZ40" s="4">
        <v>0</v>
      </c>
      <c r="BA40" s="4">
        <v>0</v>
      </c>
      <c r="BB40" s="4">
        <v>0</v>
      </c>
      <c r="BC40" s="4">
        <v>0</v>
      </c>
      <c r="BD40" s="4">
        <v>0</v>
      </c>
      <c r="BE40" s="4">
        <v>0</v>
      </c>
      <c r="BF40" s="4">
        <f t="shared" ref="BF40:BF41" si="22">SUM(E40:BE40)</f>
        <v>38550.229999999996</v>
      </c>
      <c r="BG40" s="4">
        <f t="shared" ref="BG40:BG41" si="23">SUM(E40:W40)</f>
        <v>23200.35</v>
      </c>
      <c r="BH40" s="4">
        <f t="shared" ref="BH40:BH41" si="24">SUM(X40:AJ40)</f>
        <v>5714.5</v>
      </c>
      <c r="BI40" s="4">
        <f t="shared" ref="BI40:BI41" si="25">SUM(AK40:BE40)</f>
        <v>9635.3799999999992</v>
      </c>
    </row>
    <row r="41" spans="2:61" x14ac:dyDescent="0.25">
      <c r="C41">
        <v>351</v>
      </c>
      <c r="D41" t="s">
        <v>108</v>
      </c>
      <c r="E41" s="4">
        <v>16978.75</v>
      </c>
      <c r="F41" s="4">
        <v>15022.35</v>
      </c>
      <c r="G41" s="4">
        <v>4842.95</v>
      </c>
      <c r="H41" s="4">
        <v>0</v>
      </c>
      <c r="I41" s="4">
        <v>98688.45</v>
      </c>
      <c r="J41" s="4">
        <v>8283.2099999999991</v>
      </c>
      <c r="K41" s="4">
        <v>30083.4</v>
      </c>
      <c r="L41" s="4">
        <v>0</v>
      </c>
      <c r="M41" s="4">
        <v>108697.49</v>
      </c>
      <c r="N41" s="4">
        <v>0</v>
      </c>
      <c r="O41" s="4">
        <v>738557.5</v>
      </c>
      <c r="P41" s="4">
        <v>0</v>
      </c>
      <c r="Q41" s="4">
        <v>0</v>
      </c>
      <c r="R41" s="4">
        <v>-45.4</v>
      </c>
      <c r="S41" s="4">
        <v>29000</v>
      </c>
      <c r="T41" s="4">
        <v>0</v>
      </c>
      <c r="U41" s="4">
        <v>14808.4</v>
      </c>
      <c r="V41" s="4">
        <v>0</v>
      </c>
      <c r="W41" s="4">
        <v>0</v>
      </c>
      <c r="X41" s="4">
        <v>74767.850000000006</v>
      </c>
      <c r="Y41" s="4">
        <v>1646.6</v>
      </c>
      <c r="Z41" s="4">
        <v>64419</v>
      </c>
      <c r="AA41" s="4">
        <v>0</v>
      </c>
      <c r="AB41" s="4">
        <v>8123.55</v>
      </c>
      <c r="AC41" s="4">
        <v>5397.7</v>
      </c>
      <c r="AD41" s="4">
        <v>3500</v>
      </c>
      <c r="AE41" s="4">
        <v>4373.5</v>
      </c>
      <c r="AF41" s="4">
        <v>6081.76</v>
      </c>
      <c r="AG41" s="4">
        <v>57650.95</v>
      </c>
      <c r="AH41" s="4">
        <v>24180.25</v>
      </c>
      <c r="AI41" s="4">
        <v>10897.2</v>
      </c>
      <c r="AJ41" s="4">
        <v>3000</v>
      </c>
      <c r="AK41" s="4">
        <v>60056.55</v>
      </c>
      <c r="AL41" s="4">
        <v>5884.53</v>
      </c>
      <c r="AM41" s="4">
        <v>44358.37</v>
      </c>
      <c r="AN41" s="4">
        <v>0</v>
      </c>
      <c r="AO41" s="4">
        <v>0</v>
      </c>
      <c r="AP41" s="4">
        <v>9464.7800000000007</v>
      </c>
      <c r="AQ41" s="4">
        <v>13192.7</v>
      </c>
      <c r="AR41" s="4">
        <v>112767.45</v>
      </c>
      <c r="AS41" s="4">
        <v>99539.57</v>
      </c>
      <c r="AT41" s="4">
        <v>196044.14</v>
      </c>
      <c r="AU41" s="4">
        <v>1484.3</v>
      </c>
      <c r="AV41" s="4">
        <v>157760.01</v>
      </c>
      <c r="AW41" s="4">
        <v>13512</v>
      </c>
      <c r="AX41" s="4">
        <v>35.86</v>
      </c>
      <c r="AY41" s="4">
        <v>-310</v>
      </c>
      <c r="AZ41" s="4">
        <v>10462.5</v>
      </c>
      <c r="BA41" s="4">
        <v>5123.95</v>
      </c>
      <c r="BB41" s="4">
        <v>39690.97</v>
      </c>
      <c r="BC41" s="4">
        <v>5104</v>
      </c>
      <c r="BD41" s="4">
        <v>10234.450000000001</v>
      </c>
      <c r="BE41" s="4">
        <v>19316.63</v>
      </c>
      <c r="BF41" s="4">
        <f t="shared" si="22"/>
        <v>2132678.2200000007</v>
      </c>
      <c r="BG41" s="4">
        <f t="shared" si="23"/>
        <v>1064917.0999999999</v>
      </c>
      <c r="BH41" s="4">
        <f t="shared" si="24"/>
        <v>264038.36000000004</v>
      </c>
      <c r="BI41" s="4">
        <f t="shared" si="25"/>
        <v>803722.76</v>
      </c>
    </row>
    <row r="42" spans="2:61" x14ac:dyDescent="0.25">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row>
    <row r="43" spans="2:61" x14ac:dyDescent="0.25">
      <c r="B43" s="76">
        <v>36</v>
      </c>
      <c r="C43" s="76"/>
      <c r="D43" s="76" t="s">
        <v>110</v>
      </c>
      <c r="E43" s="77">
        <f>E44+E45+E46+E47+E48+E49+E50+E51</f>
        <v>2209370.23</v>
      </c>
      <c r="F43" s="77">
        <f t="shared" ref="F43:BI43" si="26">F44+F45+F46+F47+F48+F49+F50+F51</f>
        <v>627387.05000000005</v>
      </c>
      <c r="G43" s="77">
        <f t="shared" si="26"/>
        <v>1067999.6300000001</v>
      </c>
      <c r="H43" s="77">
        <f t="shared" si="26"/>
        <v>993032.24</v>
      </c>
      <c r="I43" s="77">
        <f t="shared" si="26"/>
        <v>7195314.7400000002</v>
      </c>
      <c r="J43" s="77">
        <f t="shared" si="26"/>
        <v>6522316.0499999998</v>
      </c>
      <c r="K43" s="77">
        <f t="shared" si="26"/>
        <v>6360565.75</v>
      </c>
      <c r="L43" s="77">
        <f t="shared" si="26"/>
        <v>41645193.569999993</v>
      </c>
      <c r="M43" s="77">
        <f t="shared" si="26"/>
        <v>3711345.35</v>
      </c>
      <c r="N43" s="77">
        <f t="shared" si="26"/>
        <v>332621.14</v>
      </c>
      <c r="O43" s="77">
        <f t="shared" si="26"/>
        <v>16420305.289999999</v>
      </c>
      <c r="P43" s="77">
        <f t="shared" si="26"/>
        <v>1067370.28</v>
      </c>
      <c r="Q43" s="77">
        <f t="shared" si="26"/>
        <v>237243.12</v>
      </c>
      <c r="R43" s="77">
        <f t="shared" si="26"/>
        <v>848961.15</v>
      </c>
      <c r="S43" s="77">
        <f t="shared" si="26"/>
        <v>695404.95</v>
      </c>
      <c r="T43" s="77">
        <f t="shared" si="26"/>
        <v>1370064.75</v>
      </c>
      <c r="U43" s="77">
        <f t="shared" si="26"/>
        <v>551293.94999999995</v>
      </c>
      <c r="V43" s="77">
        <f t="shared" si="26"/>
        <v>1279572.96</v>
      </c>
      <c r="W43" s="77">
        <f t="shared" si="26"/>
        <v>5914198.4799999995</v>
      </c>
      <c r="X43" s="77">
        <f t="shared" si="26"/>
        <v>654769.9</v>
      </c>
      <c r="Y43" s="77">
        <f t="shared" si="26"/>
        <v>2887179.59</v>
      </c>
      <c r="Z43" s="77">
        <f t="shared" si="26"/>
        <v>5156029.13</v>
      </c>
      <c r="AA43" s="77">
        <f t="shared" si="26"/>
        <v>188983.15000000002</v>
      </c>
      <c r="AB43" s="77">
        <f t="shared" si="26"/>
        <v>409650.75</v>
      </c>
      <c r="AC43" s="77">
        <f t="shared" si="26"/>
        <v>1343491.8</v>
      </c>
      <c r="AD43" s="77">
        <f t="shared" si="26"/>
        <v>1472669.3199999998</v>
      </c>
      <c r="AE43" s="77">
        <f t="shared" si="26"/>
        <v>1233611.2</v>
      </c>
      <c r="AF43" s="77">
        <f t="shared" si="26"/>
        <v>1215526.6200000001</v>
      </c>
      <c r="AG43" s="77">
        <f t="shared" si="26"/>
        <v>4919792.4700000007</v>
      </c>
      <c r="AH43" s="77">
        <f t="shared" si="26"/>
        <v>5843500.3099999996</v>
      </c>
      <c r="AI43" s="77">
        <f t="shared" si="26"/>
        <v>502593.45</v>
      </c>
      <c r="AJ43" s="77">
        <f t="shared" si="26"/>
        <v>353426.6</v>
      </c>
      <c r="AK43" s="77">
        <f t="shared" si="26"/>
        <v>4896314.2799999993</v>
      </c>
      <c r="AL43" s="77">
        <f t="shared" si="26"/>
        <v>2669208.7599999998</v>
      </c>
      <c r="AM43" s="77">
        <f t="shared" si="26"/>
        <v>3094597.2199999997</v>
      </c>
      <c r="AN43" s="77">
        <f t="shared" si="26"/>
        <v>308362.87</v>
      </c>
      <c r="AO43" s="77">
        <f t="shared" si="26"/>
        <v>4180721.17</v>
      </c>
      <c r="AP43" s="77">
        <f t="shared" si="26"/>
        <v>1966950.19</v>
      </c>
      <c r="AQ43" s="77">
        <f t="shared" si="26"/>
        <v>1366301.9500000002</v>
      </c>
      <c r="AR43" s="77">
        <f t="shared" si="26"/>
        <v>3014483.6999999997</v>
      </c>
      <c r="AS43" s="77">
        <f t="shared" si="26"/>
        <v>1826552.77</v>
      </c>
      <c r="AT43" s="77">
        <f t="shared" si="26"/>
        <v>2626079.9500000002</v>
      </c>
      <c r="AU43" s="77">
        <f t="shared" si="26"/>
        <v>861136.67</v>
      </c>
      <c r="AV43" s="77">
        <f t="shared" si="26"/>
        <v>6327870.8499999996</v>
      </c>
      <c r="AW43" s="77">
        <f t="shared" si="26"/>
        <v>1685038.83</v>
      </c>
      <c r="AX43" s="77">
        <f t="shared" si="26"/>
        <v>455572.74</v>
      </c>
      <c r="AY43" s="77">
        <f t="shared" si="26"/>
        <v>681002.32000000007</v>
      </c>
      <c r="AZ43" s="77">
        <f t="shared" si="26"/>
        <v>4013802.46</v>
      </c>
      <c r="BA43" s="77">
        <f t="shared" si="26"/>
        <v>1037836.9099999999</v>
      </c>
      <c r="BB43" s="77">
        <f t="shared" si="26"/>
        <v>2527216.2199999997</v>
      </c>
      <c r="BC43" s="77">
        <f t="shared" si="26"/>
        <v>462252.08999999997</v>
      </c>
      <c r="BD43" s="77">
        <f t="shared" si="26"/>
        <v>18522704.539999999</v>
      </c>
      <c r="BE43" s="77">
        <f t="shared" si="26"/>
        <v>1443374.0100000002</v>
      </c>
      <c r="BF43" s="77">
        <f t="shared" si="26"/>
        <v>189198165.47</v>
      </c>
      <c r="BG43" s="77">
        <f t="shared" si="26"/>
        <v>99049560.679999992</v>
      </c>
      <c r="BH43" s="77">
        <f t="shared" si="26"/>
        <v>26181224.289999999</v>
      </c>
      <c r="BI43" s="77">
        <f t="shared" si="26"/>
        <v>63967380.5</v>
      </c>
    </row>
    <row r="44" spans="2:61" x14ac:dyDescent="0.25">
      <c r="C44">
        <v>360</v>
      </c>
      <c r="D44" t="s">
        <v>111</v>
      </c>
      <c r="E44" s="4">
        <v>4379.6000000000004</v>
      </c>
      <c r="F44" s="4">
        <v>1560</v>
      </c>
      <c r="G44" s="4">
        <v>1440</v>
      </c>
      <c r="H44" s="4">
        <v>1000</v>
      </c>
      <c r="I44" s="4">
        <v>16200.7</v>
      </c>
      <c r="J44" s="4">
        <v>118930.7</v>
      </c>
      <c r="K44" s="4">
        <v>39560</v>
      </c>
      <c r="L44" s="4">
        <v>26242.15</v>
      </c>
      <c r="M44" s="4">
        <v>2880</v>
      </c>
      <c r="N44" s="4">
        <v>660</v>
      </c>
      <c r="O44" s="4">
        <v>86349.55</v>
      </c>
      <c r="P44" s="4">
        <v>1260</v>
      </c>
      <c r="Q44" s="4">
        <v>240</v>
      </c>
      <c r="R44" s="4">
        <v>1380</v>
      </c>
      <c r="S44" s="4">
        <v>1040</v>
      </c>
      <c r="T44" s="4">
        <v>2870.5</v>
      </c>
      <c r="U44" s="4">
        <v>940</v>
      </c>
      <c r="V44" s="4">
        <v>1420</v>
      </c>
      <c r="W44" s="4">
        <v>7300</v>
      </c>
      <c r="X44" s="4">
        <v>2535</v>
      </c>
      <c r="Y44" s="4">
        <v>7757.25</v>
      </c>
      <c r="Z44" s="4">
        <v>0</v>
      </c>
      <c r="AA44" s="4">
        <v>525</v>
      </c>
      <c r="AB44" s="4">
        <v>1330</v>
      </c>
      <c r="AC44" s="4">
        <v>4490</v>
      </c>
      <c r="AD44" s="4">
        <v>10716.35</v>
      </c>
      <c r="AE44" s="4">
        <v>5640</v>
      </c>
      <c r="AF44" s="4">
        <v>4480</v>
      </c>
      <c r="AG44" s="4">
        <v>18105</v>
      </c>
      <c r="AH44" s="4">
        <v>23049.98</v>
      </c>
      <c r="AI44" s="4">
        <v>2220</v>
      </c>
      <c r="AJ44" s="4">
        <v>3371</v>
      </c>
      <c r="AK44" s="4">
        <v>5889</v>
      </c>
      <c r="AL44" s="4">
        <v>4420</v>
      </c>
      <c r="AM44" s="4">
        <v>5370</v>
      </c>
      <c r="AN44" s="4">
        <v>740</v>
      </c>
      <c r="AO44" s="4">
        <v>2205</v>
      </c>
      <c r="AP44" s="4">
        <v>527.20000000000005</v>
      </c>
      <c r="AQ44" s="4">
        <v>2000</v>
      </c>
      <c r="AR44" s="4">
        <v>7185</v>
      </c>
      <c r="AS44" s="4">
        <v>2480</v>
      </c>
      <c r="AT44" s="4">
        <v>2800</v>
      </c>
      <c r="AU44" s="4">
        <v>1735</v>
      </c>
      <c r="AV44" s="4">
        <v>9865</v>
      </c>
      <c r="AW44" s="4">
        <v>1660</v>
      </c>
      <c r="AX44" s="4">
        <v>0</v>
      </c>
      <c r="AY44" s="4">
        <v>140</v>
      </c>
      <c r="AZ44" s="4">
        <v>5245</v>
      </c>
      <c r="BA44" s="4">
        <v>3005</v>
      </c>
      <c r="BB44" s="4">
        <v>4865</v>
      </c>
      <c r="BC44" s="4">
        <v>309.8</v>
      </c>
      <c r="BD44" s="4">
        <v>15985</v>
      </c>
      <c r="BE44" s="4">
        <v>2220</v>
      </c>
      <c r="BF44" s="4">
        <f t="shared" ref="BF44:BF51" si="27">SUM(E44:BE44)</f>
        <v>478518.77999999997</v>
      </c>
      <c r="BG44" s="4">
        <f t="shared" ref="BG44:BG51" si="28">SUM(E44:W44)</f>
        <v>315653.2</v>
      </c>
      <c r="BH44" s="4">
        <f t="shared" ref="BH44:BH51" si="29">SUM(X44:AJ44)</f>
        <v>84219.58</v>
      </c>
      <c r="BI44" s="4">
        <f t="shared" ref="BI44:BI51" si="30">SUM(AK44:BE44)</f>
        <v>78646</v>
      </c>
    </row>
    <row r="45" spans="2:61" x14ac:dyDescent="0.25">
      <c r="C45">
        <v>361</v>
      </c>
      <c r="D45" t="s">
        <v>112</v>
      </c>
      <c r="E45" s="4">
        <v>1642996.43</v>
      </c>
      <c r="F45" s="4">
        <v>426368.55</v>
      </c>
      <c r="G45" s="4">
        <v>870822.43</v>
      </c>
      <c r="H45" s="4">
        <v>727515</v>
      </c>
      <c r="I45" s="4">
        <v>4562345.7300000004</v>
      </c>
      <c r="J45" s="4">
        <v>4166628.05</v>
      </c>
      <c r="K45" s="4">
        <v>4728107.1500000004</v>
      </c>
      <c r="L45" s="4">
        <v>17598891.059999999</v>
      </c>
      <c r="M45" s="4">
        <v>2579016.69</v>
      </c>
      <c r="N45" s="4">
        <v>142621.79999999999</v>
      </c>
      <c r="O45" s="4">
        <v>11520360.84</v>
      </c>
      <c r="P45" s="4">
        <v>824706.83</v>
      </c>
      <c r="Q45" s="4">
        <v>190499.47</v>
      </c>
      <c r="R45" s="4">
        <v>654801.9</v>
      </c>
      <c r="S45" s="4">
        <v>526071.5</v>
      </c>
      <c r="T45" s="4">
        <v>1078168.8</v>
      </c>
      <c r="U45" s="4">
        <v>398712.5</v>
      </c>
      <c r="V45" s="4">
        <v>803298.46</v>
      </c>
      <c r="W45" s="4">
        <v>4186782.03</v>
      </c>
      <c r="X45" s="4">
        <v>463776.45</v>
      </c>
      <c r="Y45" s="4">
        <v>2122765.73</v>
      </c>
      <c r="Z45" s="4">
        <v>2386302.63</v>
      </c>
      <c r="AA45" s="4">
        <v>146610.85</v>
      </c>
      <c r="AB45" s="4">
        <v>324583.40000000002</v>
      </c>
      <c r="AC45" s="4">
        <v>990991</v>
      </c>
      <c r="AD45" s="4">
        <v>1039219.1</v>
      </c>
      <c r="AE45" s="4">
        <v>833630</v>
      </c>
      <c r="AF45" s="4">
        <v>916735.67</v>
      </c>
      <c r="AG45" s="4">
        <v>3242852.41</v>
      </c>
      <c r="AH45" s="4">
        <v>3203278.78</v>
      </c>
      <c r="AI45" s="4">
        <v>391709.65</v>
      </c>
      <c r="AJ45" s="4">
        <v>234108.95</v>
      </c>
      <c r="AK45" s="4">
        <v>3879098.03</v>
      </c>
      <c r="AL45" s="4">
        <v>1891880.56</v>
      </c>
      <c r="AM45" s="4">
        <v>2320298.8199999998</v>
      </c>
      <c r="AN45" s="4">
        <v>168329.5</v>
      </c>
      <c r="AO45" s="4">
        <v>1397618.47</v>
      </c>
      <c r="AP45" s="4">
        <v>1371415.45</v>
      </c>
      <c r="AQ45" s="4">
        <v>1034573.64</v>
      </c>
      <c r="AR45" s="4">
        <v>2168914.2999999998</v>
      </c>
      <c r="AS45" s="4">
        <v>1396047.52</v>
      </c>
      <c r="AT45" s="4">
        <v>1852728.48</v>
      </c>
      <c r="AU45" s="4">
        <v>559225.52</v>
      </c>
      <c r="AV45" s="4">
        <v>5038855.55</v>
      </c>
      <c r="AW45" s="4">
        <v>1310763.18</v>
      </c>
      <c r="AX45" s="4">
        <v>296070.14</v>
      </c>
      <c r="AY45" s="4">
        <v>494081.62</v>
      </c>
      <c r="AZ45" s="4">
        <v>3020900.16</v>
      </c>
      <c r="BA45" s="4">
        <v>833538.46</v>
      </c>
      <c r="BB45" s="4">
        <v>1879787.97</v>
      </c>
      <c r="BC45" s="4">
        <v>351335.54</v>
      </c>
      <c r="BD45" s="4">
        <v>8597748.8300000001</v>
      </c>
      <c r="BE45" s="4">
        <v>1048753.6100000001</v>
      </c>
      <c r="BF45" s="4">
        <f t="shared" si="27"/>
        <v>114837245.19000001</v>
      </c>
      <c r="BG45" s="4">
        <f t="shared" si="28"/>
        <v>57628715.219999999</v>
      </c>
      <c r="BH45" s="4">
        <f t="shared" si="29"/>
        <v>16296564.619999999</v>
      </c>
      <c r="BI45" s="4">
        <f t="shared" si="30"/>
        <v>40911965.350000001</v>
      </c>
    </row>
    <row r="46" spans="2:61" x14ac:dyDescent="0.25">
      <c r="C46">
        <v>362</v>
      </c>
      <c r="D46" t="s">
        <v>113</v>
      </c>
      <c r="E46" s="4">
        <v>22114</v>
      </c>
      <c r="F46" s="4">
        <v>6240</v>
      </c>
      <c r="G46" s="4">
        <v>0</v>
      </c>
      <c r="H46" s="4">
        <v>0</v>
      </c>
      <c r="I46" s="4">
        <v>140230</v>
      </c>
      <c r="J46" s="4">
        <v>130811</v>
      </c>
      <c r="K46" s="4">
        <v>128164</v>
      </c>
      <c r="L46" s="4">
        <v>929100.5</v>
      </c>
      <c r="M46" s="4">
        <v>96891</v>
      </c>
      <c r="N46" s="4">
        <v>48680.34</v>
      </c>
      <c r="O46" s="4">
        <v>224405</v>
      </c>
      <c r="P46" s="4">
        <v>0</v>
      </c>
      <c r="Q46" s="4">
        <v>3347</v>
      </c>
      <c r="R46" s="4">
        <v>0</v>
      </c>
      <c r="S46" s="4">
        <v>0</v>
      </c>
      <c r="T46" s="4">
        <v>29695.95</v>
      </c>
      <c r="U46" s="4">
        <v>0</v>
      </c>
      <c r="V46" s="4">
        <v>52463</v>
      </c>
      <c r="W46" s="4">
        <v>0</v>
      </c>
      <c r="X46" s="4">
        <v>0</v>
      </c>
      <c r="Y46" s="4">
        <v>0</v>
      </c>
      <c r="Z46" s="4">
        <v>1844217</v>
      </c>
      <c r="AA46" s="4">
        <v>0</v>
      </c>
      <c r="AB46" s="4">
        <v>0</v>
      </c>
      <c r="AC46" s="4">
        <v>12380</v>
      </c>
      <c r="AD46" s="4">
        <v>0</v>
      </c>
      <c r="AE46" s="4">
        <v>0</v>
      </c>
      <c r="AF46" s="4">
        <v>1331</v>
      </c>
      <c r="AG46" s="4">
        <v>289157</v>
      </c>
      <c r="AH46" s="4">
        <v>0</v>
      </c>
      <c r="AI46" s="4">
        <v>0</v>
      </c>
      <c r="AJ46" s="4">
        <v>0</v>
      </c>
      <c r="AK46" s="4">
        <v>0</v>
      </c>
      <c r="AL46" s="4">
        <v>105139</v>
      </c>
      <c r="AM46" s="4">
        <v>0</v>
      </c>
      <c r="AN46" s="4">
        <v>0</v>
      </c>
      <c r="AO46" s="4">
        <v>1491774</v>
      </c>
      <c r="AP46" s="4">
        <v>8591</v>
      </c>
      <c r="AQ46" s="4">
        <v>17577</v>
      </c>
      <c r="AR46" s="4">
        <v>0</v>
      </c>
      <c r="AS46" s="4">
        <v>19558</v>
      </c>
      <c r="AT46" s="4">
        <v>0</v>
      </c>
      <c r="AU46" s="4">
        <v>89804</v>
      </c>
      <c r="AV46" s="4">
        <v>64315</v>
      </c>
      <c r="AW46" s="4">
        <v>0</v>
      </c>
      <c r="AX46" s="4">
        <v>0</v>
      </c>
      <c r="AY46" s="4">
        <v>0</v>
      </c>
      <c r="AZ46" s="4">
        <v>45951</v>
      </c>
      <c r="BA46" s="4">
        <v>5113</v>
      </c>
      <c r="BB46" s="4">
        <v>39223</v>
      </c>
      <c r="BC46" s="4">
        <v>0</v>
      </c>
      <c r="BD46" s="4">
        <v>467838</v>
      </c>
      <c r="BE46" s="4">
        <v>0</v>
      </c>
      <c r="BF46" s="4">
        <f t="shared" si="27"/>
        <v>6314109.79</v>
      </c>
      <c r="BG46" s="4">
        <f t="shared" si="28"/>
        <v>1812141.79</v>
      </c>
      <c r="BH46" s="4">
        <f t="shared" si="29"/>
        <v>2147085</v>
      </c>
      <c r="BI46" s="4">
        <f t="shared" si="30"/>
        <v>2354883</v>
      </c>
    </row>
    <row r="47" spans="2:61" x14ac:dyDescent="0.25">
      <c r="C47">
        <v>363</v>
      </c>
      <c r="D47" t="s">
        <v>114</v>
      </c>
      <c r="E47" s="4">
        <v>531555.19999999995</v>
      </c>
      <c r="F47" s="4">
        <v>191274.5</v>
      </c>
      <c r="G47" s="4">
        <v>195737.2</v>
      </c>
      <c r="H47" s="4">
        <v>233517.97</v>
      </c>
      <c r="I47" s="4">
        <v>2476538.31</v>
      </c>
      <c r="J47" s="4">
        <v>2076831.3</v>
      </c>
      <c r="K47" s="4">
        <v>1464734.6</v>
      </c>
      <c r="L47" s="4">
        <v>18483918.25</v>
      </c>
      <c r="M47" s="4">
        <v>813424</v>
      </c>
      <c r="N47" s="4">
        <v>140659</v>
      </c>
      <c r="O47" s="4">
        <v>4555166.7</v>
      </c>
      <c r="P47" s="4">
        <v>241403.45</v>
      </c>
      <c r="Q47" s="4">
        <v>43156.65</v>
      </c>
      <c r="R47" s="4">
        <v>189197.25</v>
      </c>
      <c r="S47" s="4">
        <v>168293.45</v>
      </c>
      <c r="T47" s="4">
        <v>259329.5</v>
      </c>
      <c r="U47" s="4">
        <v>142189.45000000001</v>
      </c>
      <c r="V47" s="4">
        <v>418431.5</v>
      </c>
      <c r="W47" s="4">
        <v>1720116.45</v>
      </c>
      <c r="X47" s="4">
        <v>188458.45</v>
      </c>
      <c r="Y47" s="4">
        <v>743844.61</v>
      </c>
      <c r="Z47" s="4">
        <v>912495.5</v>
      </c>
      <c r="AA47" s="4">
        <v>41847.300000000003</v>
      </c>
      <c r="AB47" s="4">
        <v>83737.350000000006</v>
      </c>
      <c r="AC47" s="4">
        <v>335630.8</v>
      </c>
      <c r="AD47" s="4">
        <v>405362.92</v>
      </c>
      <c r="AE47" s="4">
        <v>390552.2</v>
      </c>
      <c r="AF47" s="4">
        <v>285532.45</v>
      </c>
      <c r="AG47" s="4">
        <v>1354558.06</v>
      </c>
      <c r="AH47" s="4">
        <v>2595589.5499999998</v>
      </c>
      <c r="AI47" s="4">
        <v>102702.8</v>
      </c>
      <c r="AJ47" s="4">
        <v>115946.65</v>
      </c>
      <c r="AK47" s="4">
        <v>1011327.25</v>
      </c>
      <c r="AL47" s="4">
        <v>667769.19999999995</v>
      </c>
      <c r="AM47" s="4">
        <v>767074.4</v>
      </c>
      <c r="AN47" s="4">
        <v>139293.37</v>
      </c>
      <c r="AO47" s="4">
        <v>1289123.7</v>
      </c>
      <c r="AP47" s="4">
        <v>586416.54</v>
      </c>
      <c r="AQ47" s="4">
        <v>306131.96000000002</v>
      </c>
      <c r="AR47" s="4">
        <v>831679.4</v>
      </c>
      <c r="AS47" s="4">
        <v>402059.25</v>
      </c>
      <c r="AT47" s="4">
        <v>770551.47</v>
      </c>
      <c r="AU47" s="4">
        <v>210312.15</v>
      </c>
      <c r="AV47" s="4">
        <v>1214835.3</v>
      </c>
      <c r="AW47" s="4">
        <v>372615.65</v>
      </c>
      <c r="AX47" s="4">
        <v>157927.6</v>
      </c>
      <c r="AY47" s="4">
        <v>183855.7</v>
      </c>
      <c r="AZ47" s="4">
        <v>928286.3</v>
      </c>
      <c r="BA47" s="4">
        <v>196180.45</v>
      </c>
      <c r="BB47" s="4">
        <v>603340.25</v>
      </c>
      <c r="BC47" s="4">
        <v>108977.75</v>
      </c>
      <c r="BD47" s="4">
        <v>9441132.7100000009</v>
      </c>
      <c r="BE47" s="4">
        <v>387396.4</v>
      </c>
      <c r="BF47" s="4">
        <f t="shared" si="27"/>
        <v>62478020.169999994</v>
      </c>
      <c r="BG47" s="4">
        <f t="shared" si="28"/>
        <v>34345474.729999997</v>
      </c>
      <c r="BH47" s="4">
        <f t="shared" si="29"/>
        <v>7556258.6400000006</v>
      </c>
      <c r="BI47" s="4">
        <f t="shared" si="30"/>
        <v>20576286.799999997</v>
      </c>
    </row>
    <row r="48" spans="2:61" x14ac:dyDescent="0.25">
      <c r="C48">
        <v>364</v>
      </c>
      <c r="D48" t="s">
        <v>115</v>
      </c>
      <c r="E48" s="4">
        <v>0</v>
      </c>
      <c r="F48" s="4">
        <v>0</v>
      </c>
      <c r="G48" s="4">
        <v>0</v>
      </c>
      <c r="H48" s="4">
        <v>0</v>
      </c>
      <c r="I48" s="4">
        <v>0</v>
      </c>
      <c r="J48" s="4">
        <v>0</v>
      </c>
      <c r="K48" s="4">
        <v>0</v>
      </c>
      <c r="L48" s="4">
        <v>0</v>
      </c>
      <c r="M48" s="4">
        <v>0</v>
      </c>
      <c r="N48" s="4">
        <v>0</v>
      </c>
      <c r="O48" s="4">
        <v>0</v>
      </c>
      <c r="P48" s="4">
        <v>0</v>
      </c>
      <c r="Q48" s="4">
        <v>0</v>
      </c>
      <c r="R48" s="4">
        <v>0</v>
      </c>
      <c r="S48" s="4">
        <v>0</v>
      </c>
      <c r="T48" s="4">
        <v>0</v>
      </c>
      <c r="U48" s="4">
        <v>0</v>
      </c>
      <c r="V48" s="4">
        <v>0</v>
      </c>
      <c r="W48" s="4">
        <v>0</v>
      </c>
      <c r="X48" s="4">
        <v>0</v>
      </c>
      <c r="Y48" s="4">
        <v>0</v>
      </c>
      <c r="Z48" s="4">
        <v>0</v>
      </c>
      <c r="AA48" s="4">
        <v>0</v>
      </c>
      <c r="AB48" s="4">
        <v>0</v>
      </c>
      <c r="AC48" s="4">
        <v>0</v>
      </c>
      <c r="AD48" s="4">
        <v>0</v>
      </c>
      <c r="AE48" s="4">
        <v>0</v>
      </c>
      <c r="AF48" s="4">
        <v>0</v>
      </c>
      <c r="AG48" s="4">
        <v>0</v>
      </c>
      <c r="AH48" s="4">
        <v>0</v>
      </c>
      <c r="AI48" s="4">
        <v>0</v>
      </c>
      <c r="AJ48" s="4">
        <v>0</v>
      </c>
      <c r="AK48" s="4">
        <v>0</v>
      </c>
      <c r="AL48" s="4">
        <v>0</v>
      </c>
      <c r="AM48" s="4">
        <v>0</v>
      </c>
      <c r="AN48" s="4">
        <v>0</v>
      </c>
      <c r="AO48" s="4">
        <v>0</v>
      </c>
      <c r="AP48" s="4">
        <v>0</v>
      </c>
      <c r="AQ48" s="4">
        <v>0</v>
      </c>
      <c r="AR48" s="4">
        <v>0</v>
      </c>
      <c r="AS48" s="4">
        <v>0</v>
      </c>
      <c r="AT48" s="4">
        <v>0</v>
      </c>
      <c r="AU48" s="4">
        <v>0</v>
      </c>
      <c r="AV48" s="4">
        <v>0</v>
      </c>
      <c r="AW48" s="4">
        <v>0</v>
      </c>
      <c r="AX48" s="4">
        <v>0</v>
      </c>
      <c r="AY48" s="4">
        <v>0</v>
      </c>
      <c r="AZ48" s="4">
        <v>0</v>
      </c>
      <c r="BA48" s="4">
        <v>0</v>
      </c>
      <c r="BB48" s="4">
        <v>0</v>
      </c>
      <c r="BC48" s="4">
        <v>0</v>
      </c>
      <c r="BD48" s="4">
        <v>0</v>
      </c>
      <c r="BE48" s="4">
        <v>0</v>
      </c>
      <c r="BF48" s="4">
        <f t="shared" si="27"/>
        <v>0</v>
      </c>
      <c r="BG48" s="4">
        <f t="shared" si="28"/>
        <v>0</v>
      </c>
      <c r="BH48" s="4">
        <f t="shared" si="29"/>
        <v>0</v>
      </c>
      <c r="BI48" s="4">
        <f t="shared" si="30"/>
        <v>0</v>
      </c>
    </row>
    <row r="49" spans="2:61" x14ac:dyDescent="0.25">
      <c r="C49">
        <v>365</v>
      </c>
      <c r="D49" t="s">
        <v>116</v>
      </c>
      <c r="E49" s="4">
        <v>0</v>
      </c>
      <c r="F49" s="4">
        <v>0</v>
      </c>
      <c r="G49" s="4">
        <v>0</v>
      </c>
      <c r="H49" s="4">
        <v>0</v>
      </c>
      <c r="I49" s="4">
        <v>0</v>
      </c>
      <c r="J49" s="4">
        <v>0</v>
      </c>
      <c r="K49" s="4">
        <v>0</v>
      </c>
      <c r="L49" s="4">
        <v>0</v>
      </c>
      <c r="M49" s="4">
        <v>0</v>
      </c>
      <c r="N49" s="4">
        <v>0</v>
      </c>
      <c r="O49" s="4">
        <v>0</v>
      </c>
      <c r="P49" s="4">
        <v>0</v>
      </c>
      <c r="Q49" s="4">
        <v>0</v>
      </c>
      <c r="R49" s="4">
        <v>0</v>
      </c>
      <c r="S49" s="4">
        <v>0</v>
      </c>
      <c r="T49" s="4">
        <v>0</v>
      </c>
      <c r="U49" s="4">
        <v>7400</v>
      </c>
      <c r="V49" s="4">
        <v>0</v>
      </c>
      <c r="W49" s="4">
        <v>0</v>
      </c>
      <c r="X49" s="4">
        <v>0</v>
      </c>
      <c r="Y49" s="4">
        <v>0</v>
      </c>
      <c r="Z49" s="4">
        <v>0</v>
      </c>
      <c r="AA49" s="4">
        <v>0</v>
      </c>
      <c r="AB49" s="4">
        <v>0</v>
      </c>
      <c r="AC49" s="4">
        <v>0</v>
      </c>
      <c r="AD49" s="4">
        <v>0</v>
      </c>
      <c r="AE49" s="4">
        <v>0</v>
      </c>
      <c r="AF49" s="4">
        <v>0</v>
      </c>
      <c r="AG49" s="4">
        <v>0</v>
      </c>
      <c r="AH49" s="4">
        <v>0</v>
      </c>
      <c r="AI49" s="4">
        <v>0</v>
      </c>
      <c r="AJ49" s="4">
        <v>0</v>
      </c>
      <c r="AK49" s="4">
        <v>0</v>
      </c>
      <c r="AL49" s="4">
        <v>0</v>
      </c>
      <c r="AM49" s="4">
        <v>0</v>
      </c>
      <c r="AN49" s="4">
        <v>0</v>
      </c>
      <c r="AO49" s="4">
        <v>0</v>
      </c>
      <c r="AP49" s="4">
        <v>0</v>
      </c>
      <c r="AQ49" s="4">
        <v>0</v>
      </c>
      <c r="AR49" s="4">
        <v>0</v>
      </c>
      <c r="AS49" s="4">
        <v>0</v>
      </c>
      <c r="AT49" s="4">
        <v>0</v>
      </c>
      <c r="AU49" s="4">
        <v>0</v>
      </c>
      <c r="AV49" s="4">
        <v>0</v>
      </c>
      <c r="AW49" s="4">
        <v>0</v>
      </c>
      <c r="AX49" s="4">
        <v>0</v>
      </c>
      <c r="AY49" s="4">
        <v>0</v>
      </c>
      <c r="AZ49" s="4">
        <v>13420</v>
      </c>
      <c r="BA49" s="4">
        <v>0</v>
      </c>
      <c r="BB49" s="4">
        <v>0</v>
      </c>
      <c r="BC49" s="4">
        <v>0</v>
      </c>
      <c r="BD49" s="4">
        <v>0</v>
      </c>
      <c r="BE49" s="4">
        <v>0</v>
      </c>
      <c r="BF49" s="4">
        <f t="shared" si="27"/>
        <v>20820</v>
      </c>
      <c r="BG49" s="4">
        <f t="shared" si="28"/>
        <v>7400</v>
      </c>
      <c r="BH49" s="4">
        <f t="shared" si="29"/>
        <v>0</v>
      </c>
      <c r="BI49" s="4">
        <f t="shared" si="30"/>
        <v>13420</v>
      </c>
    </row>
    <row r="50" spans="2:61" x14ac:dyDescent="0.25">
      <c r="C50">
        <v>366</v>
      </c>
      <c r="D50" t="s">
        <v>117</v>
      </c>
      <c r="E50" s="4">
        <v>0</v>
      </c>
      <c r="F50" s="4">
        <v>0</v>
      </c>
      <c r="G50" s="4">
        <v>0</v>
      </c>
      <c r="H50" s="4">
        <v>0</v>
      </c>
      <c r="I50" s="4">
        <v>0</v>
      </c>
      <c r="J50" s="4">
        <v>0</v>
      </c>
      <c r="K50" s="4">
        <v>0</v>
      </c>
      <c r="L50" s="4">
        <v>0</v>
      </c>
      <c r="M50" s="4">
        <v>0</v>
      </c>
      <c r="N50" s="4">
        <v>0</v>
      </c>
      <c r="O50" s="4">
        <v>15250</v>
      </c>
      <c r="P50" s="4">
        <v>0</v>
      </c>
      <c r="Q50" s="4">
        <v>0</v>
      </c>
      <c r="R50" s="4">
        <v>0</v>
      </c>
      <c r="S50" s="4">
        <v>0</v>
      </c>
      <c r="T50" s="4">
        <v>0</v>
      </c>
      <c r="U50" s="4">
        <v>0</v>
      </c>
      <c r="V50" s="4">
        <v>0</v>
      </c>
      <c r="W50" s="4">
        <v>0</v>
      </c>
      <c r="X50" s="4">
        <v>0</v>
      </c>
      <c r="Y50" s="4">
        <v>5000</v>
      </c>
      <c r="Z50" s="4">
        <v>0</v>
      </c>
      <c r="AA50" s="4">
        <v>0</v>
      </c>
      <c r="AB50" s="4">
        <v>0</v>
      </c>
      <c r="AC50" s="4">
        <v>0</v>
      </c>
      <c r="AD50" s="4">
        <v>0</v>
      </c>
      <c r="AE50" s="4">
        <v>0</v>
      </c>
      <c r="AF50" s="4">
        <v>0</v>
      </c>
      <c r="AG50" s="4">
        <v>0</v>
      </c>
      <c r="AH50" s="4">
        <v>0</v>
      </c>
      <c r="AI50" s="4">
        <v>4800</v>
      </c>
      <c r="AJ50" s="4">
        <v>0</v>
      </c>
      <c r="AK50" s="4">
        <v>0</v>
      </c>
      <c r="AL50" s="4">
        <v>0</v>
      </c>
      <c r="AM50" s="4">
        <v>0</v>
      </c>
      <c r="AN50" s="4">
        <v>0</v>
      </c>
      <c r="AO50" s="4">
        <v>0</v>
      </c>
      <c r="AP50" s="4">
        <v>0</v>
      </c>
      <c r="AQ50" s="4">
        <v>0</v>
      </c>
      <c r="AR50" s="4">
        <v>0</v>
      </c>
      <c r="AS50" s="4">
        <v>0</v>
      </c>
      <c r="AT50" s="4">
        <v>0</v>
      </c>
      <c r="AU50" s="4">
        <v>0</v>
      </c>
      <c r="AV50" s="4">
        <v>0</v>
      </c>
      <c r="AW50" s="4">
        <v>0</v>
      </c>
      <c r="AX50" s="4">
        <v>0</v>
      </c>
      <c r="AY50" s="4">
        <v>0</v>
      </c>
      <c r="AZ50" s="4">
        <v>0</v>
      </c>
      <c r="BA50" s="4">
        <v>0</v>
      </c>
      <c r="BB50" s="4">
        <v>0</v>
      </c>
      <c r="BC50" s="4">
        <v>0</v>
      </c>
      <c r="BD50" s="4">
        <v>0</v>
      </c>
      <c r="BE50" s="4">
        <v>0</v>
      </c>
      <c r="BF50" s="4">
        <f t="shared" si="27"/>
        <v>25050</v>
      </c>
      <c r="BG50" s="4">
        <f t="shared" si="28"/>
        <v>15250</v>
      </c>
      <c r="BH50" s="4">
        <f t="shared" si="29"/>
        <v>9800</v>
      </c>
      <c r="BI50" s="4">
        <f t="shared" si="30"/>
        <v>0</v>
      </c>
    </row>
    <row r="51" spans="2:61" x14ac:dyDescent="0.25">
      <c r="C51">
        <v>369</v>
      </c>
      <c r="D51" t="s">
        <v>118</v>
      </c>
      <c r="E51" s="4">
        <v>8325</v>
      </c>
      <c r="F51" s="4">
        <v>1944</v>
      </c>
      <c r="G51" s="4">
        <v>0</v>
      </c>
      <c r="H51" s="4">
        <v>30999.27</v>
      </c>
      <c r="I51" s="4">
        <v>0</v>
      </c>
      <c r="J51" s="4">
        <v>29115</v>
      </c>
      <c r="K51" s="4">
        <v>0</v>
      </c>
      <c r="L51" s="4">
        <v>4607041.6100000003</v>
      </c>
      <c r="M51" s="4">
        <v>219133.66</v>
      </c>
      <c r="N51" s="4">
        <v>0</v>
      </c>
      <c r="O51" s="4">
        <v>18773.2</v>
      </c>
      <c r="P51" s="4">
        <v>0</v>
      </c>
      <c r="Q51" s="4">
        <v>0</v>
      </c>
      <c r="R51" s="4">
        <v>3582</v>
      </c>
      <c r="S51" s="4">
        <v>0</v>
      </c>
      <c r="T51" s="4">
        <v>0</v>
      </c>
      <c r="U51" s="4">
        <v>2052</v>
      </c>
      <c r="V51" s="4">
        <v>3960</v>
      </c>
      <c r="W51" s="4">
        <v>0</v>
      </c>
      <c r="X51" s="4">
        <v>0</v>
      </c>
      <c r="Y51" s="4">
        <v>7812</v>
      </c>
      <c r="Z51" s="4">
        <v>13014</v>
      </c>
      <c r="AA51" s="4">
        <v>0</v>
      </c>
      <c r="AB51" s="4">
        <v>0</v>
      </c>
      <c r="AC51" s="4">
        <v>0</v>
      </c>
      <c r="AD51" s="4">
        <v>17370.95</v>
      </c>
      <c r="AE51" s="4">
        <v>3789</v>
      </c>
      <c r="AF51" s="4">
        <v>7447.5</v>
      </c>
      <c r="AG51" s="4">
        <v>15120</v>
      </c>
      <c r="AH51" s="4">
        <v>21582</v>
      </c>
      <c r="AI51" s="4">
        <v>1161</v>
      </c>
      <c r="AJ51" s="4">
        <v>0</v>
      </c>
      <c r="AK51" s="4">
        <v>0</v>
      </c>
      <c r="AL51" s="4">
        <v>0</v>
      </c>
      <c r="AM51" s="4">
        <v>1854</v>
      </c>
      <c r="AN51" s="4">
        <v>0</v>
      </c>
      <c r="AO51" s="4">
        <v>0</v>
      </c>
      <c r="AP51" s="4">
        <v>0</v>
      </c>
      <c r="AQ51" s="4">
        <v>6019.35</v>
      </c>
      <c r="AR51" s="4">
        <v>6705</v>
      </c>
      <c r="AS51" s="4">
        <v>6408</v>
      </c>
      <c r="AT51" s="4">
        <v>0</v>
      </c>
      <c r="AU51" s="4">
        <v>60</v>
      </c>
      <c r="AV51" s="4">
        <v>0</v>
      </c>
      <c r="AW51" s="4">
        <v>0</v>
      </c>
      <c r="AX51" s="4">
        <v>1575</v>
      </c>
      <c r="AY51" s="4">
        <v>2925</v>
      </c>
      <c r="AZ51" s="4">
        <v>0</v>
      </c>
      <c r="BA51" s="4">
        <v>0</v>
      </c>
      <c r="BB51" s="4">
        <v>0</v>
      </c>
      <c r="BC51" s="4">
        <v>1629</v>
      </c>
      <c r="BD51" s="4">
        <v>0</v>
      </c>
      <c r="BE51" s="4">
        <v>5004</v>
      </c>
      <c r="BF51" s="4">
        <f t="shared" si="27"/>
        <v>5044401.54</v>
      </c>
      <c r="BG51" s="4">
        <f t="shared" si="28"/>
        <v>4924925.74</v>
      </c>
      <c r="BH51" s="4">
        <f t="shared" si="29"/>
        <v>87296.45</v>
      </c>
      <c r="BI51" s="4">
        <f t="shared" si="30"/>
        <v>32179.35</v>
      </c>
    </row>
    <row r="52" spans="2:61" x14ac:dyDescent="0.25">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row>
    <row r="53" spans="2:61" x14ac:dyDescent="0.25">
      <c r="B53" s="76">
        <v>37</v>
      </c>
      <c r="C53" s="76"/>
      <c r="D53" s="76" t="s">
        <v>119</v>
      </c>
      <c r="E53" s="77">
        <f>E54</f>
        <v>0</v>
      </c>
      <c r="F53" s="77">
        <f t="shared" ref="F53:BI53" si="31">F54</f>
        <v>0</v>
      </c>
      <c r="G53" s="77">
        <f t="shared" si="31"/>
        <v>0</v>
      </c>
      <c r="H53" s="77">
        <f t="shared" si="31"/>
        <v>0</v>
      </c>
      <c r="I53" s="77">
        <f t="shared" si="31"/>
        <v>0</v>
      </c>
      <c r="J53" s="77">
        <f t="shared" si="31"/>
        <v>0</v>
      </c>
      <c r="K53" s="77">
        <f t="shared" si="31"/>
        <v>0</v>
      </c>
      <c r="L53" s="77">
        <f t="shared" si="31"/>
        <v>0</v>
      </c>
      <c r="M53" s="77">
        <f t="shared" si="31"/>
        <v>0</v>
      </c>
      <c r="N53" s="77">
        <f t="shared" si="31"/>
        <v>0</v>
      </c>
      <c r="O53" s="77">
        <f t="shared" si="31"/>
        <v>0</v>
      </c>
      <c r="P53" s="77">
        <f t="shared" si="31"/>
        <v>0</v>
      </c>
      <c r="Q53" s="77">
        <f t="shared" si="31"/>
        <v>0</v>
      </c>
      <c r="R53" s="77">
        <f t="shared" si="31"/>
        <v>0</v>
      </c>
      <c r="S53" s="77">
        <f t="shared" si="31"/>
        <v>0</v>
      </c>
      <c r="T53" s="77">
        <f t="shared" si="31"/>
        <v>0</v>
      </c>
      <c r="U53" s="77">
        <f t="shared" si="31"/>
        <v>0</v>
      </c>
      <c r="V53" s="77">
        <f t="shared" si="31"/>
        <v>0</v>
      </c>
      <c r="W53" s="77">
        <f t="shared" si="31"/>
        <v>0</v>
      </c>
      <c r="X53" s="77">
        <f t="shared" si="31"/>
        <v>419365.9</v>
      </c>
      <c r="Y53" s="77">
        <f t="shared" si="31"/>
        <v>0</v>
      </c>
      <c r="Z53" s="77">
        <f t="shared" si="31"/>
        <v>429137</v>
      </c>
      <c r="AA53" s="77">
        <f t="shared" si="31"/>
        <v>145651.5</v>
      </c>
      <c r="AB53" s="77">
        <f t="shared" si="31"/>
        <v>176860.15</v>
      </c>
      <c r="AC53" s="77">
        <f t="shared" si="31"/>
        <v>188161.95</v>
      </c>
      <c r="AD53" s="77">
        <f t="shared" si="31"/>
        <v>0</v>
      </c>
      <c r="AE53" s="77">
        <f t="shared" si="31"/>
        <v>238357.4</v>
      </c>
      <c r="AF53" s="77">
        <f t="shared" si="31"/>
        <v>591726.85</v>
      </c>
      <c r="AG53" s="77">
        <f t="shared" si="31"/>
        <v>419088.2</v>
      </c>
      <c r="AH53" s="77">
        <f t="shared" si="31"/>
        <v>0</v>
      </c>
      <c r="AI53" s="77">
        <f t="shared" si="31"/>
        <v>4182.3500000000004</v>
      </c>
      <c r="AJ53" s="77">
        <f t="shared" si="31"/>
        <v>0</v>
      </c>
      <c r="AK53" s="77">
        <f t="shared" si="31"/>
        <v>10000</v>
      </c>
      <c r="AL53" s="77">
        <f t="shared" si="31"/>
        <v>0</v>
      </c>
      <c r="AM53" s="77">
        <f t="shared" si="31"/>
        <v>18999.8</v>
      </c>
      <c r="AN53" s="77">
        <f t="shared" si="31"/>
        <v>0</v>
      </c>
      <c r="AO53" s="77">
        <f t="shared" si="31"/>
        <v>0</v>
      </c>
      <c r="AP53" s="77">
        <f t="shared" si="31"/>
        <v>1027.5</v>
      </c>
      <c r="AQ53" s="77">
        <f t="shared" si="31"/>
        <v>0</v>
      </c>
      <c r="AR53" s="77">
        <f t="shared" si="31"/>
        <v>56776.35</v>
      </c>
      <c r="AS53" s="77">
        <f t="shared" si="31"/>
        <v>0</v>
      </c>
      <c r="AT53" s="77">
        <f t="shared" si="31"/>
        <v>0</v>
      </c>
      <c r="AU53" s="77">
        <f t="shared" si="31"/>
        <v>0</v>
      </c>
      <c r="AV53" s="77">
        <f t="shared" si="31"/>
        <v>42544</v>
      </c>
      <c r="AW53" s="77">
        <f t="shared" si="31"/>
        <v>9660</v>
      </c>
      <c r="AX53" s="77">
        <f t="shared" si="31"/>
        <v>0</v>
      </c>
      <c r="AY53" s="77">
        <f t="shared" si="31"/>
        <v>0</v>
      </c>
      <c r="AZ53" s="77">
        <f t="shared" si="31"/>
        <v>0</v>
      </c>
      <c r="BA53" s="77">
        <f t="shared" si="31"/>
        <v>0</v>
      </c>
      <c r="BB53" s="77">
        <f t="shared" si="31"/>
        <v>0</v>
      </c>
      <c r="BC53" s="77">
        <f t="shared" si="31"/>
        <v>0</v>
      </c>
      <c r="BD53" s="77">
        <f t="shared" si="31"/>
        <v>0</v>
      </c>
      <c r="BE53" s="77">
        <f t="shared" si="31"/>
        <v>0</v>
      </c>
      <c r="BF53" s="77">
        <f t="shared" si="31"/>
        <v>2751538.95</v>
      </c>
      <c r="BG53" s="77">
        <f t="shared" si="31"/>
        <v>0</v>
      </c>
      <c r="BH53" s="77">
        <f t="shared" si="31"/>
        <v>2612531.3000000003</v>
      </c>
      <c r="BI53" s="77">
        <f t="shared" si="31"/>
        <v>139007.65</v>
      </c>
    </row>
    <row r="54" spans="2:61" x14ac:dyDescent="0.25">
      <c r="C54">
        <v>370</v>
      </c>
      <c r="D54" t="s">
        <v>120</v>
      </c>
      <c r="E54" s="4">
        <v>0</v>
      </c>
      <c r="F54" s="4">
        <v>0</v>
      </c>
      <c r="G54" s="4">
        <v>0</v>
      </c>
      <c r="H54" s="4">
        <v>0</v>
      </c>
      <c r="I54" s="4">
        <v>0</v>
      </c>
      <c r="J54" s="4">
        <v>0</v>
      </c>
      <c r="K54" s="4">
        <v>0</v>
      </c>
      <c r="L54" s="4">
        <v>0</v>
      </c>
      <c r="M54" s="4">
        <v>0</v>
      </c>
      <c r="N54" s="4">
        <v>0</v>
      </c>
      <c r="O54" s="4">
        <v>0</v>
      </c>
      <c r="P54" s="4">
        <v>0</v>
      </c>
      <c r="Q54" s="4">
        <v>0</v>
      </c>
      <c r="R54" s="4">
        <v>0</v>
      </c>
      <c r="S54" s="4">
        <v>0</v>
      </c>
      <c r="T54" s="4">
        <v>0</v>
      </c>
      <c r="U54" s="4">
        <v>0</v>
      </c>
      <c r="V54" s="4">
        <v>0</v>
      </c>
      <c r="W54" s="4">
        <v>0</v>
      </c>
      <c r="X54" s="4">
        <v>419365.9</v>
      </c>
      <c r="Y54" s="4">
        <v>0</v>
      </c>
      <c r="Z54" s="4">
        <v>429137</v>
      </c>
      <c r="AA54" s="4">
        <v>145651.5</v>
      </c>
      <c r="AB54" s="4">
        <v>176860.15</v>
      </c>
      <c r="AC54" s="4">
        <v>188161.95</v>
      </c>
      <c r="AD54" s="4">
        <v>0</v>
      </c>
      <c r="AE54" s="4">
        <v>238357.4</v>
      </c>
      <c r="AF54" s="4">
        <v>591726.85</v>
      </c>
      <c r="AG54" s="4">
        <v>419088.2</v>
      </c>
      <c r="AH54" s="4">
        <v>0</v>
      </c>
      <c r="AI54" s="4">
        <v>4182.3500000000004</v>
      </c>
      <c r="AJ54" s="4">
        <v>0</v>
      </c>
      <c r="AK54" s="4">
        <v>10000</v>
      </c>
      <c r="AL54" s="4">
        <v>0</v>
      </c>
      <c r="AM54" s="4">
        <v>18999.8</v>
      </c>
      <c r="AN54" s="4">
        <v>0</v>
      </c>
      <c r="AO54" s="4">
        <v>0</v>
      </c>
      <c r="AP54" s="4">
        <v>1027.5</v>
      </c>
      <c r="AQ54" s="4">
        <v>0</v>
      </c>
      <c r="AR54" s="4">
        <v>56776.35</v>
      </c>
      <c r="AS54" s="4">
        <v>0</v>
      </c>
      <c r="AT54" s="4">
        <v>0</v>
      </c>
      <c r="AU54" s="4">
        <v>0</v>
      </c>
      <c r="AV54" s="4">
        <v>42544</v>
      </c>
      <c r="AW54" s="4">
        <v>9660</v>
      </c>
      <c r="AX54" s="4">
        <v>0</v>
      </c>
      <c r="AY54" s="4">
        <v>0</v>
      </c>
      <c r="AZ54" s="4">
        <v>0</v>
      </c>
      <c r="BA54" s="4">
        <v>0</v>
      </c>
      <c r="BB54" s="4">
        <v>0</v>
      </c>
      <c r="BC54" s="4">
        <v>0</v>
      </c>
      <c r="BD54" s="4">
        <v>0</v>
      </c>
      <c r="BE54" s="4">
        <v>0</v>
      </c>
      <c r="BF54" s="4">
        <f t="shared" ref="BF54" si="32">SUM(E54:BE54)</f>
        <v>2751538.95</v>
      </c>
      <c r="BG54" s="4">
        <f t="shared" ref="BG54" si="33">SUM(E54:W54)</f>
        <v>0</v>
      </c>
      <c r="BH54" s="4">
        <f t="shared" ref="BH54" si="34">SUM(X54:AJ54)</f>
        <v>2612531.3000000003</v>
      </c>
      <c r="BI54" s="4">
        <f t="shared" ref="BI54" si="35">SUM(AK54:BE54)</f>
        <v>139007.65</v>
      </c>
    </row>
    <row r="55" spans="2:61" x14ac:dyDescent="0.25">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row>
    <row r="56" spans="2:61" x14ac:dyDescent="0.25">
      <c r="B56" s="76">
        <v>38</v>
      </c>
      <c r="C56" s="76"/>
      <c r="D56" s="76" t="s">
        <v>121</v>
      </c>
      <c r="E56" s="77">
        <f>E57+E58+E59+E60+E61+E62</f>
        <v>0</v>
      </c>
      <c r="F56" s="77">
        <f t="shared" ref="F56:BI56" si="36">F57+F58+F59+F60+F61+F62</f>
        <v>0</v>
      </c>
      <c r="G56" s="77">
        <f t="shared" si="36"/>
        <v>0</v>
      </c>
      <c r="H56" s="77">
        <f t="shared" si="36"/>
        <v>339.5</v>
      </c>
      <c r="I56" s="77">
        <f t="shared" si="36"/>
        <v>470135.1</v>
      </c>
      <c r="J56" s="77">
        <f t="shared" si="36"/>
        <v>0</v>
      </c>
      <c r="K56" s="77">
        <f t="shared" si="36"/>
        <v>100000</v>
      </c>
      <c r="L56" s="77">
        <f t="shared" si="36"/>
        <v>0</v>
      </c>
      <c r="M56" s="77">
        <f t="shared" si="36"/>
        <v>0</v>
      </c>
      <c r="N56" s="77">
        <f t="shared" si="36"/>
        <v>0</v>
      </c>
      <c r="O56" s="77">
        <f t="shared" si="36"/>
        <v>1157.5</v>
      </c>
      <c r="P56" s="77">
        <f t="shared" si="36"/>
        <v>0</v>
      </c>
      <c r="Q56" s="77">
        <f t="shared" si="36"/>
        <v>0</v>
      </c>
      <c r="R56" s="77">
        <f t="shared" si="36"/>
        <v>0</v>
      </c>
      <c r="S56" s="77">
        <f t="shared" si="36"/>
        <v>23651.4</v>
      </c>
      <c r="T56" s="77">
        <f t="shared" si="36"/>
        <v>0</v>
      </c>
      <c r="U56" s="77">
        <f t="shared" si="36"/>
        <v>0</v>
      </c>
      <c r="V56" s="77">
        <f t="shared" si="36"/>
        <v>0</v>
      </c>
      <c r="W56" s="77">
        <f t="shared" si="36"/>
        <v>787113.6</v>
      </c>
      <c r="X56" s="77">
        <f t="shared" si="36"/>
        <v>21795.38</v>
      </c>
      <c r="Y56" s="77">
        <f t="shared" si="36"/>
        <v>0</v>
      </c>
      <c r="Z56" s="77">
        <f t="shared" si="36"/>
        <v>51438.41</v>
      </c>
      <c r="AA56" s="77">
        <f t="shared" si="36"/>
        <v>0</v>
      </c>
      <c r="AB56" s="77">
        <f t="shared" si="36"/>
        <v>0</v>
      </c>
      <c r="AC56" s="77">
        <f t="shared" si="36"/>
        <v>0</v>
      </c>
      <c r="AD56" s="77">
        <f t="shared" si="36"/>
        <v>19570</v>
      </c>
      <c r="AE56" s="77">
        <f t="shared" si="36"/>
        <v>0</v>
      </c>
      <c r="AF56" s="77">
        <f t="shared" si="36"/>
        <v>0</v>
      </c>
      <c r="AG56" s="77">
        <f t="shared" si="36"/>
        <v>200000</v>
      </c>
      <c r="AH56" s="77">
        <f t="shared" si="36"/>
        <v>650000</v>
      </c>
      <c r="AI56" s="77">
        <f t="shared" si="36"/>
        <v>40000</v>
      </c>
      <c r="AJ56" s="77">
        <f t="shared" si="36"/>
        <v>0</v>
      </c>
      <c r="AK56" s="77">
        <f t="shared" si="36"/>
        <v>401659.89</v>
      </c>
      <c r="AL56" s="77">
        <f t="shared" si="36"/>
        <v>493752.35</v>
      </c>
      <c r="AM56" s="77">
        <f t="shared" si="36"/>
        <v>100000</v>
      </c>
      <c r="AN56" s="77">
        <f t="shared" si="36"/>
        <v>2870.87</v>
      </c>
      <c r="AO56" s="77">
        <f t="shared" si="36"/>
        <v>800000</v>
      </c>
      <c r="AP56" s="77">
        <f t="shared" si="36"/>
        <v>0</v>
      </c>
      <c r="AQ56" s="77">
        <f t="shared" si="36"/>
        <v>0</v>
      </c>
      <c r="AR56" s="77">
        <f t="shared" si="36"/>
        <v>270000</v>
      </c>
      <c r="AS56" s="77">
        <f t="shared" si="36"/>
        <v>275000</v>
      </c>
      <c r="AT56" s="77">
        <f t="shared" si="36"/>
        <v>0</v>
      </c>
      <c r="AU56" s="77">
        <f t="shared" si="36"/>
        <v>0</v>
      </c>
      <c r="AV56" s="77">
        <f t="shared" si="36"/>
        <v>100000</v>
      </c>
      <c r="AW56" s="77">
        <f t="shared" si="36"/>
        <v>259247.85</v>
      </c>
      <c r="AX56" s="77">
        <f t="shared" si="36"/>
        <v>0</v>
      </c>
      <c r="AY56" s="77">
        <f t="shared" si="36"/>
        <v>0</v>
      </c>
      <c r="AZ56" s="77">
        <f t="shared" si="36"/>
        <v>200000</v>
      </c>
      <c r="BA56" s="77">
        <f t="shared" si="36"/>
        <v>0</v>
      </c>
      <c r="BB56" s="77">
        <f t="shared" si="36"/>
        <v>58973.21</v>
      </c>
      <c r="BC56" s="77">
        <f t="shared" si="36"/>
        <v>3640</v>
      </c>
      <c r="BD56" s="77">
        <f t="shared" si="36"/>
        <v>155.19999999999999</v>
      </c>
      <c r="BE56" s="77">
        <f t="shared" si="36"/>
        <v>60000</v>
      </c>
      <c r="BF56" s="77">
        <f t="shared" si="36"/>
        <v>5390500.2599999998</v>
      </c>
      <c r="BG56" s="77">
        <f t="shared" si="36"/>
        <v>1382397.1</v>
      </c>
      <c r="BH56" s="77">
        <f t="shared" si="36"/>
        <v>982803.79</v>
      </c>
      <c r="BI56" s="77">
        <f t="shared" si="36"/>
        <v>3025299.37</v>
      </c>
    </row>
    <row r="57" spans="2:61" x14ac:dyDescent="0.25">
      <c r="C57">
        <v>380</v>
      </c>
      <c r="D57" t="s">
        <v>122</v>
      </c>
      <c r="E57" s="4">
        <v>0</v>
      </c>
      <c r="F57" s="4">
        <v>0</v>
      </c>
      <c r="G57" s="4">
        <v>0</v>
      </c>
      <c r="H57" s="4">
        <v>0</v>
      </c>
      <c r="I57" s="4">
        <v>0</v>
      </c>
      <c r="J57" s="4">
        <v>0</v>
      </c>
      <c r="K57" s="4">
        <v>0</v>
      </c>
      <c r="L57" s="4">
        <v>0</v>
      </c>
      <c r="M57" s="4">
        <v>0</v>
      </c>
      <c r="N57" s="4">
        <v>0</v>
      </c>
      <c r="O57" s="4">
        <v>0</v>
      </c>
      <c r="P57" s="4">
        <v>0</v>
      </c>
      <c r="Q57" s="4">
        <v>0</v>
      </c>
      <c r="R57" s="4">
        <v>0</v>
      </c>
      <c r="S57" s="4">
        <v>0</v>
      </c>
      <c r="T57" s="4">
        <v>0</v>
      </c>
      <c r="U57" s="4">
        <v>0</v>
      </c>
      <c r="V57" s="4">
        <v>0</v>
      </c>
      <c r="W57" s="4">
        <v>0</v>
      </c>
      <c r="X57" s="4">
        <v>0</v>
      </c>
      <c r="Y57" s="4">
        <v>0</v>
      </c>
      <c r="Z57" s="4">
        <v>0</v>
      </c>
      <c r="AA57" s="4">
        <v>0</v>
      </c>
      <c r="AB57" s="4">
        <v>0</v>
      </c>
      <c r="AC57" s="4">
        <v>0</v>
      </c>
      <c r="AD57" s="4">
        <v>0</v>
      </c>
      <c r="AE57" s="4">
        <v>0</v>
      </c>
      <c r="AF57" s="4">
        <v>0</v>
      </c>
      <c r="AG57" s="4">
        <v>0</v>
      </c>
      <c r="AH57" s="4">
        <v>0</v>
      </c>
      <c r="AI57" s="4">
        <v>0</v>
      </c>
      <c r="AJ57" s="4">
        <v>0</v>
      </c>
      <c r="AK57" s="4">
        <v>0</v>
      </c>
      <c r="AL57" s="4">
        <v>11</v>
      </c>
      <c r="AM57" s="4">
        <v>0</v>
      </c>
      <c r="AN57" s="4">
        <v>0</v>
      </c>
      <c r="AO57" s="4">
        <v>0</v>
      </c>
      <c r="AP57" s="4">
        <v>0</v>
      </c>
      <c r="AQ57" s="4">
        <v>0</v>
      </c>
      <c r="AR57" s="4">
        <v>0</v>
      </c>
      <c r="AS57" s="4">
        <v>0</v>
      </c>
      <c r="AT57" s="4">
        <v>0</v>
      </c>
      <c r="AU57" s="4">
        <v>0</v>
      </c>
      <c r="AV57" s="4">
        <v>0</v>
      </c>
      <c r="AW57" s="4">
        <v>0</v>
      </c>
      <c r="AX57" s="4">
        <v>0</v>
      </c>
      <c r="AY57" s="4">
        <v>0</v>
      </c>
      <c r="AZ57" s="4">
        <v>0</v>
      </c>
      <c r="BA57" s="4">
        <v>0</v>
      </c>
      <c r="BB57" s="4">
        <v>0</v>
      </c>
      <c r="BC57" s="4">
        <v>0</v>
      </c>
      <c r="BD57" s="4">
        <v>0</v>
      </c>
      <c r="BE57" s="4">
        <v>0</v>
      </c>
      <c r="BF57" s="4">
        <f t="shared" ref="BF57:BF62" si="37">SUM(E57:BE57)</f>
        <v>11</v>
      </c>
      <c r="BG57" s="4">
        <f t="shared" ref="BG57:BG62" si="38">SUM(E57:W57)</f>
        <v>0</v>
      </c>
      <c r="BH57" s="4">
        <f t="shared" ref="BH57:BH62" si="39">SUM(X57:AJ57)</f>
        <v>0</v>
      </c>
      <c r="BI57" s="4">
        <f t="shared" ref="BI57:BI62" si="40">SUM(AK57:BE57)</f>
        <v>11</v>
      </c>
    </row>
    <row r="58" spans="2:61" x14ac:dyDescent="0.25">
      <c r="C58">
        <v>381</v>
      </c>
      <c r="D58" t="s">
        <v>123</v>
      </c>
      <c r="E58" s="4">
        <v>0</v>
      </c>
      <c r="F58" s="4">
        <v>0</v>
      </c>
      <c r="G58" s="4">
        <v>0</v>
      </c>
      <c r="H58" s="4">
        <v>339.5</v>
      </c>
      <c r="I58" s="4">
        <v>0</v>
      </c>
      <c r="J58" s="4">
        <v>0</v>
      </c>
      <c r="K58" s="4">
        <v>0</v>
      </c>
      <c r="L58" s="4">
        <v>0</v>
      </c>
      <c r="M58" s="4">
        <v>0</v>
      </c>
      <c r="N58" s="4">
        <v>0</v>
      </c>
      <c r="O58" s="4">
        <v>1157.5</v>
      </c>
      <c r="P58" s="4">
        <v>0</v>
      </c>
      <c r="Q58" s="4">
        <v>0</v>
      </c>
      <c r="R58" s="4">
        <v>0</v>
      </c>
      <c r="S58" s="4">
        <v>0</v>
      </c>
      <c r="T58" s="4">
        <v>0</v>
      </c>
      <c r="U58" s="4">
        <v>0</v>
      </c>
      <c r="V58" s="4">
        <v>0</v>
      </c>
      <c r="W58" s="4">
        <v>0</v>
      </c>
      <c r="X58" s="4">
        <v>0</v>
      </c>
      <c r="Y58" s="4">
        <v>0</v>
      </c>
      <c r="Z58" s="4">
        <v>0</v>
      </c>
      <c r="AA58" s="4">
        <v>0</v>
      </c>
      <c r="AB58" s="4">
        <v>0</v>
      </c>
      <c r="AC58" s="4">
        <v>0</v>
      </c>
      <c r="AD58" s="4">
        <v>15900</v>
      </c>
      <c r="AE58" s="4">
        <v>0</v>
      </c>
      <c r="AF58" s="4">
        <v>0</v>
      </c>
      <c r="AG58" s="4">
        <v>0</v>
      </c>
      <c r="AH58" s="4">
        <v>0</v>
      </c>
      <c r="AI58" s="4">
        <v>0</v>
      </c>
      <c r="AJ58" s="4">
        <v>0</v>
      </c>
      <c r="AK58" s="4">
        <v>0</v>
      </c>
      <c r="AL58" s="4">
        <v>0</v>
      </c>
      <c r="AM58" s="4">
        <v>0</v>
      </c>
      <c r="AN58" s="4">
        <v>0</v>
      </c>
      <c r="AO58" s="4">
        <v>0</v>
      </c>
      <c r="AP58" s="4">
        <v>0</v>
      </c>
      <c r="AQ58" s="4">
        <v>0</v>
      </c>
      <c r="AR58" s="4">
        <v>0</v>
      </c>
      <c r="AS58" s="4">
        <v>0</v>
      </c>
      <c r="AT58" s="4">
        <v>0</v>
      </c>
      <c r="AU58" s="4">
        <v>0</v>
      </c>
      <c r="AV58" s="4">
        <v>0</v>
      </c>
      <c r="AW58" s="4">
        <v>10490</v>
      </c>
      <c r="AX58" s="4">
        <v>0</v>
      </c>
      <c r="AY58" s="4">
        <v>0</v>
      </c>
      <c r="AZ58" s="4">
        <v>0</v>
      </c>
      <c r="BA58" s="4">
        <v>0</v>
      </c>
      <c r="BB58" s="4">
        <v>0</v>
      </c>
      <c r="BC58" s="4">
        <v>0</v>
      </c>
      <c r="BD58" s="4">
        <v>0</v>
      </c>
      <c r="BE58" s="4">
        <v>0</v>
      </c>
      <c r="BF58" s="4">
        <f t="shared" si="37"/>
        <v>27887</v>
      </c>
      <c r="BG58" s="4">
        <f t="shared" si="38"/>
        <v>1497</v>
      </c>
      <c r="BH58" s="4">
        <f t="shared" si="39"/>
        <v>15900</v>
      </c>
      <c r="BI58" s="4">
        <f t="shared" si="40"/>
        <v>10490</v>
      </c>
    </row>
    <row r="59" spans="2:61" x14ac:dyDescent="0.25">
      <c r="C59">
        <v>384</v>
      </c>
      <c r="D59" t="s">
        <v>124</v>
      </c>
      <c r="E59" s="4">
        <v>0</v>
      </c>
      <c r="F59" s="4">
        <v>0</v>
      </c>
      <c r="G59" s="4">
        <v>0</v>
      </c>
      <c r="H59" s="4">
        <v>0</v>
      </c>
      <c r="I59" s="4">
        <v>135.1</v>
      </c>
      <c r="J59" s="4">
        <v>0</v>
      </c>
      <c r="K59" s="4">
        <v>0</v>
      </c>
      <c r="L59" s="4">
        <v>0</v>
      </c>
      <c r="M59" s="4">
        <v>0</v>
      </c>
      <c r="N59" s="4">
        <v>0</v>
      </c>
      <c r="O59" s="4">
        <v>0</v>
      </c>
      <c r="P59" s="4">
        <v>0</v>
      </c>
      <c r="Q59" s="4">
        <v>0</v>
      </c>
      <c r="R59" s="4">
        <v>0</v>
      </c>
      <c r="S59" s="4">
        <v>0</v>
      </c>
      <c r="T59" s="4">
        <v>0</v>
      </c>
      <c r="U59" s="4">
        <v>0</v>
      </c>
      <c r="V59" s="4">
        <v>0</v>
      </c>
      <c r="W59" s="4">
        <v>0</v>
      </c>
      <c r="X59" s="4">
        <v>0</v>
      </c>
      <c r="Y59" s="4">
        <v>0</v>
      </c>
      <c r="Z59" s="4">
        <v>0</v>
      </c>
      <c r="AA59" s="4">
        <v>0</v>
      </c>
      <c r="AB59" s="4">
        <v>0</v>
      </c>
      <c r="AC59" s="4">
        <v>0</v>
      </c>
      <c r="AD59" s="4">
        <v>0</v>
      </c>
      <c r="AE59" s="4">
        <v>0</v>
      </c>
      <c r="AF59" s="4">
        <v>0</v>
      </c>
      <c r="AG59" s="4">
        <v>0</v>
      </c>
      <c r="AH59" s="4">
        <v>0</v>
      </c>
      <c r="AI59" s="4">
        <v>0</v>
      </c>
      <c r="AJ59" s="4">
        <v>0</v>
      </c>
      <c r="AK59" s="4">
        <v>0</v>
      </c>
      <c r="AL59" s="4">
        <v>0</v>
      </c>
      <c r="AM59" s="4">
        <v>0</v>
      </c>
      <c r="AN59" s="4">
        <v>764.24</v>
      </c>
      <c r="AO59" s="4">
        <v>0</v>
      </c>
      <c r="AP59" s="4">
        <v>0</v>
      </c>
      <c r="AQ59" s="4">
        <v>0</v>
      </c>
      <c r="AR59" s="4">
        <v>0</v>
      </c>
      <c r="AS59" s="4">
        <v>0</v>
      </c>
      <c r="AT59" s="4">
        <v>0</v>
      </c>
      <c r="AU59" s="4">
        <v>0</v>
      </c>
      <c r="AV59" s="4">
        <v>0</v>
      </c>
      <c r="AW59" s="4">
        <v>0</v>
      </c>
      <c r="AX59" s="4">
        <v>0</v>
      </c>
      <c r="AY59" s="4">
        <v>0</v>
      </c>
      <c r="AZ59" s="4">
        <v>0</v>
      </c>
      <c r="BA59" s="4">
        <v>0</v>
      </c>
      <c r="BB59" s="4">
        <v>0</v>
      </c>
      <c r="BC59" s="4">
        <v>0</v>
      </c>
      <c r="BD59" s="4">
        <v>155.19999999999999</v>
      </c>
      <c r="BE59" s="4">
        <v>0</v>
      </c>
      <c r="BF59" s="4">
        <f t="shared" si="37"/>
        <v>1054.54</v>
      </c>
      <c r="BG59" s="4">
        <f t="shared" si="38"/>
        <v>135.1</v>
      </c>
      <c r="BH59" s="4">
        <f t="shared" si="39"/>
        <v>0</v>
      </c>
      <c r="BI59" s="4">
        <f t="shared" si="40"/>
        <v>919.44</v>
      </c>
    </row>
    <row r="60" spans="2:61" x14ac:dyDescent="0.25">
      <c r="C60">
        <v>385</v>
      </c>
      <c r="D60" t="s">
        <v>125</v>
      </c>
      <c r="E60" s="4">
        <v>0</v>
      </c>
      <c r="F60" s="4">
        <v>0</v>
      </c>
      <c r="G60" s="4">
        <v>0</v>
      </c>
      <c r="H60" s="4">
        <v>0</v>
      </c>
      <c r="I60" s="4">
        <v>0</v>
      </c>
      <c r="J60" s="4">
        <v>0</v>
      </c>
      <c r="K60" s="4">
        <v>0</v>
      </c>
      <c r="L60" s="4">
        <v>0</v>
      </c>
      <c r="M60" s="4">
        <v>0</v>
      </c>
      <c r="N60" s="4">
        <v>0</v>
      </c>
      <c r="O60" s="4">
        <v>0</v>
      </c>
      <c r="P60" s="4">
        <v>0</v>
      </c>
      <c r="Q60" s="4">
        <v>0</v>
      </c>
      <c r="R60" s="4">
        <v>0</v>
      </c>
      <c r="S60" s="4">
        <v>0</v>
      </c>
      <c r="T60" s="4">
        <v>0</v>
      </c>
      <c r="U60" s="4">
        <v>0</v>
      </c>
      <c r="V60" s="4">
        <v>0</v>
      </c>
      <c r="W60" s="4">
        <v>0</v>
      </c>
      <c r="X60" s="4">
        <v>0</v>
      </c>
      <c r="Y60" s="4">
        <v>0</v>
      </c>
      <c r="Z60" s="4">
        <v>0</v>
      </c>
      <c r="AA60" s="4">
        <v>0</v>
      </c>
      <c r="AB60" s="4">
        <v>0</v>
      </c>
      <c r="AC60" s="4">
        <v>0</v>
      </c>
      <c r="AD60" s="4">
        <v>0</v>
      </c>
      <c r="AE60" s="4">
        <v>0</v>
      </c>
      <c r="AF60" s="4">
        <v>0</v>
      </c>
      <c r="AG60" s="4">
        <v>0</v>
      </c>
      <c r="AH60" s="4">
        <v>0</v>
      </c>
      <c r="AI60" s="4">
        <v>0</v>
      </c>
      <c r="AJ60" s="4">
        <v>0</v>
      </c>
      <c r="AK60" s="4">
        <v>0</v>
      </c>
      <c r="AL60" s="4">
        <v>0</v>
      </c>
      <c r="AM60" s="4">
        <v>0</v>
      </c>
      <c r="AN60" s="4">
        <v>0</v>
      </c>
      <c r="AO60" s="4">
        <v>0</v>
      </c>
      <c r="AP60" s="4">
        <v>0</v>
      </c>
      <c r="AQ60" s="4">
        <v>0</v>
      </c>
      <c r="AR60" s="4">
        <v>0</v>
      </c>
      <c r="AS60" s="4">
        <v>0</v>
      </c>
      <c r="AT60" s="4">
        <v>0</v>
      </c>
      <c r="AU60" s="4">
        <v>0</v>
      </c>
      <c r="AV60" s="4">
        <v>0</v>
      </c>
      <c r="AW60" s="4">
        <v>0</v>
      </c>
      <c r="AX60" s="4">
        <v>0</v>
      </c>
      <c r="AY60" s="4">
        <v>0</v>
      </c>
      <c r="AZ60" s="4">
        <v>0</v>
      </c>
      <c r="BA60" s="4">
        <v>0</v>
      </c>
      <c r="BB60" s="4">
        <v>0</v>
      </c>
      <c r="BC60" s="4">
        <v>3640</v>
      </c>
      <c r="BD60" s="4">
        <v>0</v>
      </c>
      <c r="BE60" s="4">
        <v>0</v>
      </c>
      <c r="BF60" s="4">
        <f t="shared" si="37"/>
        <v>3640</v>
      </c>
      <c r="BG60" s="4">
        <f t="shared" si="38"/>
        <v>0</v>
      </c>
      <c r="BH60" s="4">
        <f t="shared" si="39"/>
        <v>0</v>
      </c>
      <c r="BI60" s="4">
        <f t="shared" si="40"/>
        <v>3640</v>
      </c>
    </row>
    <row r="61" spans="2:61" x14ac:dyDescent="0.25">
      <c r="C61">
        <v>386</v>
      </c>
      <c r="D61" t="s">
        <v>126</v>
      </c>
      <c r="E61" s="4">
        <v>0</v>
      </c>
      <c r="F61" s="4">
        <v>0</v>
      </c>
      <c r="G61" s="4">
        <v>0</v>
      </c>
      <c r="H61" s="4">
        <v>0</v>
      </c>
      <c r="I61" s="4">
        <v>0</v>
      </c>
      <c r="J61" s="4">
        <v>0</v>
      </c>
      <c r="K61" s="4">
        <v>0</v>
      </c>
      <c r="L61" s="4">
        <v>0</v>
      </c>
      <c r="M61" s="4">
        <v>0</v>
      </c>
      <c r="N61" s="4">
        <v>0</v>
      </c>
      <c r="O61" s="4">
        <v>0</v>
      </c>
      <c r="P61" s="4">
        <v>0</v>
      </c>
      <c r="Q61" s="4">
        <v>0</v>
      </c>
      <c r="R61" s="4">
        <v>0</v>
      </c>
      <c r="S61" s="4">
        <v>0</v>
      </c>
      <c r="T61" s="4">
        <v>0</v>
      </c>
      <c r="U61" s="4">
        <v>0</v>
      </c>
      <c r="V61" s="4">
        <v>0</v>
      </c>
      <c r="W61" s="4">
        <v>0</v>
      </c>
      <c r="X61" s="4">
        <v>0</v>
      </c>
      <c r="Y61" s="4">
        <v>0</v>
      </c>
      <c r="Z61" s="4">
        <v>0</v>
      </c>
      <c r="AA61" s="4">
        <v>0</v>
      </c>
      <c r="AB61" s="4">
        <v>0</v>
      </c>
      <c r="AC61" s="4">
        <v>0</v>
      </c>
      <c r="AD61" s="4">
        <v>3670</v>
      </c>
      <c r="AE61" s="4">
        <v>0</v>
      </c>
      <c r="AF61" s="4">
        <v>0</v>
      </c>
      <c r="AG61" s="4">
        <v>0</v>
      </c>
      <c r="AH61" s="4">
        <v>0</v>
      </c>
      <c r="AI61" s="4">
        <v>0</v>
      </c>
      <c r="AJ61" s="4">
        <v>0</v>
      </c>
      <c r="AK61" s="4">
        <v>0</v>
      </c>
      <c r="AL61" s="4">
        <v>0</v>
      </c>
      <c r="AM61" s="4">
        <v>0</v>
      </c>
      <c r="AN61" s="4">
        <v>0</v>
      </c>
      <c r="AO61" s="4">
        <v>0</v>
      </c>
      <c r="AP61" s="4">
        <v>0</v>
      </c>
      <c r="AQ61" s="4">
        <v>0</v>
      </c>
      <c r="AR61" s="4">
        <v>0</v>
      </c>
      <c r="AS61" s="4">
        <v>0</v>
      </c>
      <c r="AT61" s="4">
        <v>0</v>
      </c>
      <c r="AU61" s="4">
        <v>0</v>
      </c>
      <c r="AV61" s="4">
        <v>0</v>
      </c>
      <c r="AW61" s="4">
        <v>0</v>
      </c>
      <c r="AX61" s="4">
        <v>0</v>
      </c>
      <c r="AY61" s="4">
        <v>0</v>
      </c>
      <c r="AZ61" s="4">
        <v>0</v>
      </c>
      <c r="BA61" s="4">
        <v>0</v>
      </c>
      <c r="BB61" s="4">
        <v>0</v>
      </c>
      <c r="BC61" s="4">
        <v>0</v>
      </c>
      <c r="BD61" s="4">
        <v>0</v>
      </c>
      <c r="BE61" s="4">
        <v>0</v>
      </c>
      <c r="BF61" s="4">
        <f t="shared" si="37"/>
        <v>3670</v>
      </c>
      <c r="BG61" s="4">
        <f t="shared" si="38"/>
        <v>0</v>
      </c>
      <c r="BH61" s="4">
        <f t="shared" si="39"/>
        <v>3670</v>
      </c>
      <c r="BI61" s="4">
        <f t="shared" si="40"/>
        <v>0</v>
      </c>
    </row>
    <row r="62" spans="2:61" x14ac:dyDescent="0.25">
      <c r="C62">
        <v>389</v>
      </c>
      <c r="D62" t="s">
        <v>290</v>
      </c>
      <c r="E62" s="4">
        <v>0</v>
      </c>
      <c r="F62" s="4">
        <v>0</v>
      </c>
      <c r="G62" s="4">
        <v>0</v>
      </c>
      <c r="H62" s="4">
        <v>0</v>
      </c>
      <c r="I62" s="4">
        <v>470000</v>
      </c>
      <c r="J62" s="4">
        <v>0</v>
      </c>
      <c r="K62" s="4">
        <v>100000</v>
      </c>
      <c r="L62" s="4">
        <v>0</v>
      </c>
      <c r="M62" s="4">
        <v>0</v>
      </c>
      <c r="N62" s="4">
        <v>0</v>
      </c>
      <c r="O62" s="4">
        <v>0</v>
      </c>
      <c r="P62" s="4">
        <v>0</v>
      </c>
      <c r="Q62" s="4">
        <v>0</v>
      </c>
      <c r="R62" s="4">
        <v>0</v>
      </c>
      <c r="S62" s="4">
        <v>23651.4</v>
      </c>
      <c r="T62" s="4">
        <v>0</v>
      </c>
      <c r="U62" s="4">
        <v>0</v>
      </c>
      <c r="V62" s="4">
        <v>0</v>
      </c>
      <c r="W62" s="4">
        <v>787113.6</v>
      </c>
      <c r="X62" s="4">
        <v>21795.38</v>
      </c>
      <c r="Y62" s="4">
        <v>0</v>
      </c>
      <c r="Z62" s="4">
        <v>51438.41</v>
      </c>
      <c r="AA62" s="4">
        <v>0</v>
      </c>
      <c r="AB62" s="4">
        <v>0</v>
      </c>
      <c r="AC62" s="4">
        <v>0</v>
      </c>
      <c r="AD62" s="4">
        <v>0</v>
      </c>
      <c r="AE62" s="4">
        <v>0</v>
      </c>
      <c r="AF62" s="4">
        <v>0</v>
      </c>
      <c r="AG62" s="4">
        <v>200000</v>
      </c>
      <c r="AH62" s="4">
        <v>650000</v>
      </c>
      <c r="AI62" s="4">
        <v>40000</v>
      </c>
      <c r="AJ62" s="4">
        <v>0</v>
      </c>
      <c r="AK62" s="4">
        <v>401659.89</v>
      </c>
      <c r="AL62" s="4">
        <v>493741.35</v>
      </c>
      <c r="AM62" s="4">
        <v>100000</v>
      </c>
      <c r="AN62" s="4">
        <v>2106.63</v>
      </c>
      <c r="AO62" s="4">
        <v>800000</v>
      </c>
      <c r="AP62" s="4">
        <v>0</v>
      </c>
      <c r="AQ62" s="4">
        <v>0</v>
      </c>
      <c r="AR62" s="4">
        <v>270000</v>
      </c>
      <c r="AS62" s="4">
        <v>275000</v>
      </c>
      <c r="AT62" s="4">
        <v>0</v>
      </c>
      <c r="AU62" s="4">
        <v>0</v>
      </c>
      <c r="AV62" s="4">
        <v>100000</v>
      </c>
      <c r="AW62" s="4">
        <v>248757.85</v>
      </c>
      <c r="AX62" s="4">
        <v>0</v>
      </c>
      <c r="AY62" s="4">
        <v>0</v>
      </c>
      <c r="AZ62" s="4">
        <v>200000</v>
      </c>
      <c r="BA62" s="4">
        <v>0</v>
      </c>
      <c r="BB62" s="4">
        <v>58973.21</v>
      </c>
      <c r="BC62" s="4">
        <v>0</v>
      </c>
      <c r="BD62" s="4">
        <v>0</v>
      </c>
      <c r="BE62" s="4">
        <v>60000</v>
      </c>
      <c r="BF62" s="4">
        <f t="shared" si="37"/>
        <v>5354237.72</v>
      </c>
      <c r="BG62" s="4">
        <f t="shared" si="38"/>
        <v>1380765</v>
      </c>
      <c r="BH62" s="4">
        <f t="shared" si="39"/>
        <v>963233.79</v>
      </c>
      <c r="BI62" s="4">
        <f t="shared" si="40"/>
        <v>3010238.93</v>
      </c>
    </row>
    <row r="63" spans="2:61" x14ac:dyDescent="0.25">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row>
    <row r="64" spans="2:61" x14ac:dyDescent="0.25">
      <c r="B64" s="76">
        <v>39</v>
      </c>
      <c r="C64" s="76"/>
      <c r="D64" s="76" t="s">
        <v>128</v>
      </c>
      <c r="E64" s="77">
        <f>E65+E66+E67+E68+E69+E70+E71+E72</f>
        <v>0</v>
      </c>
      <c r="F64" s="77">
        <f t="shared" ref="F64:BI64" si="41">F65+F66+F67+F68+F69+F70+F71+F72</f>
        <v>23767.65</v>
      </c>
      <c r="G64" s="77">
        <f t="shared" si="41"/>
        <v>7417.7</v>
      </c>
      <c r="H64" s="77">
        <f t="shared" si="41"/>
        <v>38216.6</v>
      </c>
      <c r="I64" s="77">
        <f t="shared" si="41"/>
        <v>317300</v>
      </c>
      <c r="J64" s="77">
        <f t="shared" si="41"/>
        <v>71777</v>
      </c>
      <c r="K64" s="77">
        <f t="shared" si="41"/>
        <v>196076.65</v>
      </c>
      <c r="L64" s="77">
        <f t="shared" si="41"/>
        <v>5163108.45</v>
      </c>
      <c r="M64" s="77">
        <f t="shared" si="41"/>
        <v>93218.260000000009</v>
      </c>
      <c r="N64" s="77">
        <f t="shared" si="41"/>
        <v>0</v>
      </c>
      <c r="O64" s="77">
        <f t="shared" si="41"/>
        <v>62019</v>
      </c>
      <c r="P64" s="77">
        <f t="shared" si="41"/>
        <v>33302</v>
      </c>
      <c r="Q64" s="77">
        <f t="shared" si="41"/>
        <v>0</v>
      </c>
      <c r="R64" s="77">
        <f t="shared" si="41"/>
        <v>44727</v>
      </c>
      <c r="S64" s="77">
        <f t="shared" si="41"/>
        <v>0</v>
      </c>
      <c r="T64" s="77">
        <f t="shared" si="41"/>
        <v>10105.5</v>
      </c>
      <c r="U64" s="77">
        <f t="shared" si="41"/>
        <v>0</v>
      </c>
      <c r="V64" s="77">
        <f t="shared" si="41"/>
        <v>56708.3</v>
      </c>
      <c r="W64" s="77">
        <f t="shared" si="41"/>
        <v>260895.8</v>
      </c>
      <c r="X64" s="77">
        <f t="shared" si="41"/>
        <v>0</v>
      </c>
      <c r="Y64" s="77">
        <f t="shared" si="41"/>
        <v>0</v>
      </c>
      <c r="Z64" s="77">
        <f t="shared" si="41"/>
        <v>84000</v>
      </c>
      <c r="AA64" s="77">
        <f t="shared" si="41"/>
        <v>15100</v>
      </c>
      <c r="AB64" s="77">
        <f t="shared" si="41"/>
        <v>0</v>
      </c>
      <c r="AC64" s="77">
        <f t="shared" si="41"/>
        <v>0</v>
      </c>
      <c r="AD64" s="77">
        <f t="shared" si="41"/>
        <v>58010.8</v>
      </c>
      <c r="AE64" s="77">
        <f t="shared" si="41"/>
        <v>77935.649999999994</v>
      </c>
      <c r="AF64" s="77">
        <f t="shared" si="41"/>
        <v>173761</v>
      </c>
      <c r="AG64" s="77">
        <f t="shared" si="41"/>
        <v>6365.35</v>
      </c>
      <c r="AH64" s="77">
        <f t="shared" si="41"/>
        <v>23800</v>
      </c>
      <c r="AI64" s="77">
        <f t="shared" si="41"/>
        <v>0</v>
      </c>
      <c r="AJ64" s="77">
        <f t="shared" si="41"/>
        <v>692.85</v>
      </c>
      <c r="AK64" s="77">
        <f t="shared" si="41"/>
        <v>93000</v>
      </c>
      <c r="AL64" s="77">
        <f t="shared" si="41"/>
        <v>59347.1</v>
      </c>
      <c r="AM64" s="77">
        <f t="shared" si="41"/>
        <v>3190</v>
      </c>
      <c r="AN64" s="77">
        <f t="shared" si="41"/>
        <v>240</v>
      </c>
      <c r="AO64" s="77">
        <f t="shared" si="41"/>
        <v>36096.800000000003</v>
      </c>
      <c r="AP64" s="77">
        <f t="shared" si="41"/>
        <v>89387.85</v>
      </c>
      <c r="AQ64" s="77">
        <f t="shared" si="41"/>
        <v>0</v>
      </c>
      <c r="AR64" s="77">
        <f t="shared" si="41"/>
        <v>0</v>
      </c>
      <c r="AS64" s="77">
        <f t="shared" si="41"/>
        <v>128820.04000000001</v>
      </c>
      <c r="AT64" s="77">
        <f t="shared" si="41"/>
        <v>0</v>
      </c>
      <c r="AU64" s="77">
        <f t="shared" si="41"/>
        <v>0</v>
      </c>
      <c r="AV64" s="77">
        <f t="shared" si="41"/>
        <v>81719.25</v>
      </c>
      <c r="AW64" s="77">
        <f t="shared" si="41"/>
        <v>0</v>
      </c>
      <c r="AX64" s="77">
        <f t="shared" si="41"/>
        <v>7276.95</v>
      </c>
      <c r="AY64" s="77">
        <f t="shared" si="41"/>
        <v>0</v>
      </c>
      <c r="AZ64" s="77">
        <f t="shared" si="41"/>
        <v>96691.1</v>
      </c>
      <c r="BA64" s="77">
        <f t="shared" si="41"/>
        <v>0</v>
      </c>
      <c r="BB64" s="77">
        <f t="shared" si="41"/>
        <v>153317.13</v>
      </c>
      <c r="BC64" s="77">
        <f t="shared" si="41"/>
        <v>2514.1</v>
      </c>
      <c r="BD64" s="77">
        <f t="shared" si="41"/>
        <v>0</v>
      </c>
      <c r="BE64" s="77">
        <f t="shared" si="41"/>
        <v>15500</v>
      </c>
      <c r="BF64" s="77">
        <f t="shared" si="41"/>
        <v>7585405.8799999999</v>
      </c>
      <c r="BG64" s="77">
        <f t="shared" si="41"/>
        <v>6378639.9100000001</v>
      </c>
      <c r="BH64" s="77">
        <f t="shared" si="41"/>
        <v>439665.64999999997</v>
      </c>
      <c r="BI64" s="77">
        <f t="shared" si="41"/>
        <v>767100.32000000007</v>
      </c>
    </row>
    <row r="65" spans="1:61" x14ac:dyDescent="0.25">
      <c r="C65">
        <v>390</v>
      </c>
      <c r="D65" t="s">
        <v>129</v>
      </c>
      <c r="E65" s="4">
        <v>0</v>
      </c>
      <c r="F65" s="4">
        <v>200</v>
      </c>
      <c r="G65" s="4">
        <v>0</v>
      </c>
      <c r="H65" s="4">
        <v>0</v>
      </c>
      <c r="I65" s="4">
        <v>0</v>
      </c>
      <c r="J65" s="4">
        <v>0</v>
      </c>
      <c r="K65" s="4">
        <v>0</v>
      </c>
      <c r="L65" s="4">
        <v>40000</v>
      </c>
      <c r="M65" s="4">
        <v>1200</v>
      </c>
      <c r="N65" s="4">
        <v>0</v>
      </c>
      <c r="O65" s="4">
        <v>0</v>
      </c>
      <c r="P65" s="4">
        <v>0</v>
      </c>
      <c r="Q65" s="4">
        <v>0</v>
      </c>
      <c r="R65" s="4">
        <v>0</v>
      </c>
      <c r="S65" s="4">
        <v>0</v>
      </c>
      <c r="T65" s="4">
        <v>10105.5</v>
      </c>
      <c r="U65" s="4">
        <v>0</v>
      </c>
      <c r="V65" s="4">
        <v>0</v>
      </c>
      <c r="W65" s="4">
        <v>13000</v>
      </c>
      <c r="X65" s="4">
        <v>0</v>
      </c>
      <c r="Y65" s="4">
        <v>0</v>
      </c>
      <c r="Z65" s="4">
        <v>0</v>
      </c>
      <c r="AA65" s="4">
        <v>0</v>
      </c>
      <c r="AB65" s="4">
        <v>0</v>
      </c>
      <c r="AC65" s="4">
        <v>0</v>
      </c>
      <c r="AD65" s="4">
        <v>1150</v>
      </c>
      <c r="AE65" s="4">
        <v>0</v>
      </c>
      <c r="AF65" s="4">
        <v>0</v>
      </c>
      <c r="AG65" s="4">
        <v>4614.8</v>
      </c>
      <c r="AH65" s="4">
        <v>0</v>
      </c>
      <c r="AI65" s="4">
        <v>0</v>
      </c>
      <c r="AJ65" s="4">
        <v>0</v>
      </c>
      <c r="AK65" s="4">
        <v>0</v>
      </c>
      <c r="AL65" s="4">
        <v>0</v>
      </c>
      <c r="AM65" s="4">
        <v>0</v>
      </c>
      <c r="AN65" s="4">
        <v>0</v>
      </c>
      <c r="AO65" s="4">
        <v>0</v>
      </c>
      <c r="AP65" s="4">
        <v>1500</v>
      </c>
      <c r="AQ65" s="4">
        <v>0</v>
      </c>
      <c r="AR65" s="4">
        <v>0</v>
      </c>
      <c r="AS65" s="4">
        <v>0</v>
      </c>
      <c r="AT65" s="4">
        <v>0</v>
      </c>
      <c r="AU65" s="4">
        <v>0</v>
      </c>
      <c r="AV65" s="4">
        <v>0</v>
      </c>
      <c r="AW65" s="4">
        <v>0</v>
      </c>
      <c r="AX65" s="4">
        <v>0</v>
      </c>
      <c r="AY65" s="4">
        <v>0</v>
      </c>
      <c r="AZ65" s="4">
        <v>0</v>
      </c>
      <c r="BA65" s="4">
        <v>0</v>
      </c>
      <c r="BB65" s="4">
        <v>0</v>
      </c>
      <c r="BC65" s="4">
        <v>0</v>
      </c>
      <c r="BD65" s="4">
        <v>0</v>
      </c>
      <c r="BE65" s="4">
        <v>0</v>
      </c>
      <c r="BF65" s="4">
        <f t="shared" ref="BF65:BF72" si="42">SUM(E65:BE65)</f>
        <v>71770.3</v>
      </c>
      <c r="BG65" s="4">
        <f t="shared" ref="BG65:BG72" si="43">SUM(E65:W65)</f>
        <v>64505.5</v>
      </c>
      <c r="BH65" s="4">
        <f t="shared" ref="BH65:BH72" si="44">SUM(X65:AJ65)</f>
        <v>5764.8</v>
      </c>
      <c r="BI65" s="4">
        <f t="shared" ref="BI65:BI72" si="45">SUM(AK65:BE65)</f>
        <v>1500</v>
      </c>
    </row>
    <row r="66" spans="1:61" x14ac:dyDescent="0.25">
      <c r="C66">
        <v>391</v>
      </c>
      <c r="D66" t="s">
        <v>130</v>
      </c>
      <c r="E66" s="4">
        <v>0</v>
      </c>
      <c r="F66" s="4">
        <v>2645.2</v>
      </c>
      <c r="G66" s="4">
        <v>4400</v>
      </c>
      <c r="H66" s="4">
        <v>37860.6</v>
      </c>
      <c r="I66" s="4">
        <v>8500</v>
      </c>
      <c r="J66" s="4">
        <v>71777</v>
      </c>
      <c r="K66" s="4">
        <v>129750</v>
      </c>
      <c r="L66" s="4">
        <v>994584.25</v>
      </c>
      <c r="M66" s="4">
        <v>58141</v>
      </c>
      <c r="N66" s="4">
        <v>0</v>
      </c>
      <c r="O66" s="4">
        <v>0</v>
      </c>
      <c r="P66" s="4">
        <v>33302</v>
      </c>
      <c r="Q66" s="4">
        <v>0</v>
      </c>
      <c r="R66" s="4">
        <v>44727</v>
      </c>
      <c r="S66" s="4">
        <v>0</v>
      </c>
      <c r="T66" s="4">
        <v>0</v>
      </c>
      <c r="U66" s="4">
        <v>0</v>
      </c>
      <c r="V66" s="4">
        <v>56708.3</v>
      </c>
      <c r="W66" s="4">
        <v>90400</v>
      </c>
      <c r="X66" s="4">
        <v>0</v>
      </c>
      <c r="Y66" s="4">
        <v>0</v>
      </c>
      <c r="Z66" s="4">
        <v>0</v>
      </c>
      <c r="AA66" s="4">
        <v>15100</v>
      </c>
      <c r="AB66" s="4">
        <v>0</v>
      </c>
      <c r="AC66" s="4">
        <v>0</v>
      </c>
      <c r="AD66" s="4">
        <v>56860.800000000003</v>
      </c>
      <c r="AE66" s="4">
        <v>77935.649999999994</v>
      </c>
      <c r="AF66" s="4">
        <v>69667.45</v>
      </c>
      <c r="AG66" s="4">
        <v>1750.55</v>
      </c>
      <c r="AH66" s="4">
        <v>23800</v>
      </c>
      <c r="AI66" s="4">
        <v>0</v>
      </c>
      <c r="AJ66" s="4">
        <v>0</v>
      </c>
      <c r="AK66" s="4">
        <v>93000</v>
      </c>
      <c r="AL66" s="4">
        <v>0</v>
      </c>
      <c r="AM66" s="4">
        <v>3190</v>
      </c>
      <c r="AN66" s="4">
        <v>240</v>
      </c>
      <c r="AO66" s="4">
        <v>36096.800000000003</v>
      </c>
      <c r="AP66" s="4">
        <v>59424.800000000003</v>
      </c>
      <c r="AQ66" s="4">
        <v>0</v>
      </c>
      <c r="AR66" s="4">
        <v>0</v>
      </c>
      <c r="AS66" s="4">
        <v>49191.05</v>
      </c>
      <c r="AT66" s="4">
        <v>0</v>
      </c>
      <c r="AU66" s="4">
        <v>0</v>
      </c>
      <c r="AV66" s="4">
        <v>81719.25</v>
      </c>
      <c r="AW66" s="4">
        <v>0</v>
      </c>
      <c r="AX66" s="4">
        <v>0</v>
      </c>
      <c r="AY66" s="4">
        <v>0</v>
      </c>
      <c r="AZ66" s="4">
        <v>95691.1</v>
      </c>
      <c r="BA66" s="4">
        <v>0</v>
      </c>
      <c r="BB66" s="4">
        <v>153317.13</v>
      </c>
      <c r="BC66" s="4">
        <v>0</v>
      </c>
      <c r="BD66" s="4">
        <v>0</v>
      </c>
      <c r="BE66" s="4">
        <v>15500</v>
      </c>
      <c r="BF66" s="4">
        <f t="shared" si="42"/>
        <v>2365279.9300000002</v>
      </c>
      <c r="BG66" s="4">
        <f t="shared" si="43"/>
        <v>1532795.35</v>
      </c>
      <c r="BH66" s="4">
        <f t="shared" si="44"/>
        <v>245114.45</v>
      </c>
      <c r="BI66" s="4">
        <f t="shared" si="45"/>
        <v>587370.13</v>
      </c>
    </row>
    <row r="67" spans="1:61" x14ac:dyDescent="0.25">
      <c r="C67">
        <v>392</v>
      </c>
      <c r="D67" t="s">
        <v>131</v>
      </c>
      <c r="E67" s="4">
        <v>0</v>
      </c>
      <c r="F67" s="4">
        <v>0</v>
      </c>
      <c r="G67" s="4">
        <v>0</v>
      </c>
      <c r="H67" s="4">
        <v>0</v>
      </c>
      <c r="I67" s="4">
        <v>0</v>
      </c>
      <c r="J67" s="4">
        <v>0</v>
      </c>
      <c r="K67" s="4">
        <v>0</v>
      </c>
      <c r="L67" s="4">
        <v>110000</v>
      </c>
      <c r="M67" s="4">
        <v>0</v>
      </c>
      <c r="N67" s="4">
        <v>0</v>
      </c>
      <c r="O67" s="4">
        <v>0</v>
      </c>
      <c r="P67" s="4">
        <v>0</v>
      </c>
      <c r="Q67" s="4">
        <v>0</v>
      </c>
      <c r="R67" s="4">
        <v>0</v>
      </c>
      <c r="S67" s="4">
        <v>0</v>
      </c>
      <c r="T67" s="4">
        <v>0</v>
      </c>
      <c r="U67" s="4">
        <v>0</v>
      </c>
      <c r="V67" s="4">
        <v>0</v>
      </c>
      <c r="W67" s="4">
        <v>0</v>
      </c>
      <c r="X67" s="4">
        <v>0</v>
      </c>
      <c r="Y67" s="4">
        <v>0</v>
      </c>
      <c r="Z67" s="4">
        <v>84000</v>
      </c>
      <c r="AA67" s="4">
        <v>0</v>
      </c>
      <c r="AB67" s="4">
        <v>0</v>
      </c>
      <c r="AC67" s="4">
        <v>0</v>
      </c>
      <c r="AD67" s="4">
        <v>0</v>
      </c>
      <c r="AE67" s="4">
        <v>0</v>
      </c>
      <c r="AF67" s="4">
        <v>0</v>
      </c>
      <c r="AG67" s="4">
        <v>0</v>
      </c>
      <c r="AH67" s="4">
        <v>0</v>
      </c>
      <c r="AI67" s="4">
        <v>0</v>
      </c>
      <c r="AJ67" s="4">
        <v>0</v>
      </c>
      <c r="AK67" s="4">
        <v>0</v>
      </c>
      <c r="AL67" s="4">
        <v>0</v>
      </c>
      <c r="AM67" s="4">
        <v>0</v>
      </c>
      <c r="AN67" s="4">
        <v>0</v>
      </c>
      <c r="AO67" s="4">
        <v>0</v>
      </c>
      <c r="AP67" s="4">
        <v>0</v>
      </c>
      <c r="AQ67" s="4">
        <v>0</v>
      </c>
      <c r="AR67" s="4">
        <v>0</v>
      </c>
      <c r="AS67" s="4">
        <v>0</v>
      </c>
      <c r="AT67" s="4">
        <v>0</v>
      </c>
      <c r="AU67" s="4">
        <v>0</v>
      </c>
      <c r="AV67" s="4">
        <v>0</v>
      </c>
      <c r="AW67" s="4">
        <v>0</v>
      </c>
      <c r="AX67" s="4">
        <v>0</v>
      </c>
      <c r="AY67" s="4">
        <v>0</v>
      </c>
      <c r="AZ67" s="4">
        <v>0</v>
      </c>
      <c r="BA67" s="4">
        <v>0</v>
      </c>
      <c r="BB67" s="4">
        <v>0</v>
      </c>
      <c r="BC67" s="4">
        <v>0</v>
      </c>
      <c r="BD67" s="4">
        <v>0</v>
      </c>
      <c r="BE67" s="4">
        <v>0</v>
      </c>
      <c r="BF67" s="4">
        <f t="shared" si="42"/>
        <v>194000</v>
      </c>
      <c r="BG67" s="4">
        <f t="shared" si="43"/>
        <v>110000</v>
      </c>
      <c r="BH67" s="4">
        <f t="shared" si="44"/>
        <v>84000</v>
      </c>
      <c r="BI67" s="4">
        <f t="shared" si="45"/>
        <v>0</v>
      </c>
    </row>
    <row r="68" spans="1:61" x14ac:dyDescent="0.25">
      <c r="C68">
        <v>393</v>
      </c>
      <c r="D68" t="s">
        <v>132</v>
      </c>
      <c r="E68" s="4">
        <v>0</v>
      </c>
      <c r="F68" s="4">
        <v>0</v>
      </c>
      <c r="G68" s="4">
        <v>0</v>
      </c>
      <c r="H68" s="4">
        <v>0</v>
      </c>
      <c r="I68" s="4">
        <v>0</v>
      </c>
      <c r="J68" s="4">
        <v>0</v>
      </c>
      <c r="K68" s="4">
        <v>9627.7999999999993</v>
      </c>
      <c r="L68" s="4">
        <v>0</v>
      </c>
      <c r="M68" s="4">
        <v>0</v>
      </c>
      <c r="N68" s="4">
        <v>0</v>
      </c>
      <c r="O68" s="4">
        <v>0</v>
      </c>
      <c r="P68" s="4">
        <v>0</v>
      </c>
      <c r="Q68" s="4">
        <v>0</v>
      </c>
      <c r="R68" s="4">
        <v>0</v>
      </c>
      <c r="S68" s="4">
        <v>0</v>
      </c>
      <c r="T68" s="4">
        <v>0</v>
      </c>
      <c r="U68" s="4">
        <v>0</v>
      </c>
      <c r="V68" s="4">
        <v>0</v>
      </c>
      <c r="W68" s="4">
        <v>6000</v>
      </c>
      <c r="X68" s="4">
        <v>0</v>
      </c>
      <c r="Y68" s="4">
        <v>0</v>
      </c>
      <c r="Z68" s="4">
        <v>0</v>
      </c>
      <c r="AA68" s="4">
        <v>0</v>
      </c>
      <c r="AB68" s="4">
        <v>0</v>
      </c>
      <c r="AC68" s="4">
        <v>0</v>
      </c>
      <c r="AD68" s="4">
        <v>0</v>
      </c>
      <c r="AE68" s="4">
        <v>0</v>
      </c>
      <c r="AF68" s="4">
        <v>0</v>
      </c>
      <c r="AG68" s="4">
        <v>0</v>
      </c>
      <c r="AH68" s="4">
        <v>0</v>
      </c>
      <c r="AI68" s="4">
        <v>0</v>
      </c>
      <c r="AJ68" s="4">
        <v>0</v>
      </c>
      <c r="AK68" s="4">
        <v>0</v>
      </c>
      <c r="AL68" s="4">
        <v>0</v>
      </c>
      <c r="AM68" s="4">
        <v>0</v>
      </c>
      <c r="AN68" s="4">
        <v>0</v>
      </c>
      <c r="AO68" s="4">
        <v>0</v>
      </c>
      <c r="AP68" s="4">
        <v>0</v>
      </c>
      <c r="AQ68" s="4">
        <v>0</v>
      </c>
      <c r="AR68" s="4">
        <v>0</v>
      </c>
      <c r="AS68" s="4">
        <v>16481.89</v>
      </c>
      <c r="AT68" s="4">
        <v>0</v>
      </c>
      <c r="AU68" s="4">
        <v>0</v>
      </c>
      <c r="AV68" s="4">
        <v>0</v>
      </c>
      <c r="AW68" s="4">
        <v>0</v>
      </c>
      <c r="AX68" s="4">
        <v>0</v>
      </c>
      <c r="AY68" s="4">
        <v>0</v>
      </c>
      <c r="AZ68" s="4">
        <v>0</v>
      </c>
      <c r="BA68" s="4">
        <v>0</v>
      </c>
      <c r="BB68" s="4">
        <v>0</v>
      </c>
      <c r="BC68" s="4">
        <v>0</v>
      </c>
      <c r="BD68" s="4">
        <v>0</v>
      </c>
      <c r="BE68" s="4">
        <v>0</v>
      </c>
      <c r="BF68" s="4">
        <f t="shared" si="42"/>
        <v>32109.69</v>
      </c>
      <c r="BG68" s="4">
        <f t="shared" si="43"/>
        <v>15627.8</v>
      </c>
      <c r="BH68" s="4">
        <f t="shared" si="44"/>
        <v>0</v>
      </c>
      <c r="BI68" s="4">
        <f t="shared" si="45"/>
        <v>16481.89</v>
      </c>
    </row>
    <row r="69" spans="1:61" x14ac:dyDescent="0.25">
      <c r="C69">
        <v>394</v>
      </c>
      <c r="D69" t="s">
        <v>133</v>
      </c>
      <c r="E69" s="4">
        <v>0</v>
      </c>
      <c r="F69" s="4">
        <v>20922.45</v>
      </c>
      <c r="G69" s="4">
        <v>3017.7</v>
      </c>
      <c r="H69" s="4">
        <v>0</v>
      </c>
      <c r="I69" s="4">
        <v>308800</v>
      </c>
      <c r="J69" s="4">
        <v>0</v>
      </c>
      <c r="K69" s="4">
        <v>56698.85</v>
      </c>
      <c r="L69" s="4">
        <v>554500</v>
      </c>
      <c r="M69" s="4">
        <v>33877.26</v>
      </c>
      <c r="N69" s="4">
        <v>0</v>
      </c>
      <c r="O69" s="4">
        <v>62019</v>
      </c>
      <c r="P69" s="4">
        <v>0</v>
      </c>
      <c r="Q69" s="4">
        <v>0</v>
      </c>
      <c r="R69" s="4">
        <v>0</v>
      </c>
      <c r="S69" s="4">
        <v>0</v>
      </c>
      <c r="T69" s="4">
        <v>0</v>
      </c>
      <c r="U69" s="4">
        <v>0</v>
      </c>
      <c r="V69" s="4">
        <v>0</v>
      </c>
      <c r="W69" s="4">
        <v>146095.79999999999</v>
      </c>
      <c r="X69" s="4">
        <v>0</v>
      </c>
      <c r="Y69" s="4">
        <v>0</v>
      </c>
      <c r="Z69" s="4">
        <v>0</v>
      </c>
      <c r="AA69" s="4">
        <v>0</v>
      </c>
      <c r="AB69" s="4">
        <v>0</v>
      </c>
      <c r="AC69" s="4">
        <v>0</v>
      </c>
      <c r="AD69" s="4">
        <v>0</v>
      </c>
      <c r="AE69" s="4">
        <v>0</v>
      </c>
      <c r="AF69" s="4">
        <v>0</v>
      </c>
      <c r="AG69" s="4">
        <v>0</v>
      </c>
      <c r="AH69" s="4">
        <v>0</v>
      </c>
      <c r="AI69" s="4">
        <v>0</v>
      </c>
      <c r="AJ69" s="4">
        <v>692.85</v>
      </c>
      <c r="AK69" s="4">
        <v>0</v>
      </c>
      <c r="AL69" s="4">
        <v>59347.1</v>
      </c>
      <c r="AM69" s="4">
        <v>0</v>
      </c>
      <c r="AN69" s="4">
        <v>0</v>
      </c>
      <c r="AO69" s="4">
        <v>0</v>
      </c>
      <c r="AP69" s="4">
        <v>28463.05</v>
      </c>
      <c r="AQ69" s="4">
        <v>0</v>
      </c>
      <c r="AR69" s="4">
        <v>0</v>
      </c>
      <c r="AS69" s="4">
        <v>63147.1</v>
      </c>
      <c r="AT69" s="4">
        <v>0</v>
      </c>
      <c r="AU69" s="4">
        <v>0</v>
      </c>
      <c r="AV69" s="4">
        <v>0</v>
      </c>
      <c r="AW69" s="4">
        <v>0</v>
      </c>
      <c r="AX69" s="4">
        <v>7276.95</v>
      </c>
      <c r="AY69" s="4">
        <v>0</v>
      </c>
      <c r="AZ69" s="4">
        <v>0</v>
      </c>
      <c r="BA69" s="4">
        <v>0</v>
      </c>
      <c r="BB69" s="4">
        <v>0</v>
      </c>
      <c r="BC69" s="4">
        <v>2514.1</v>
      </c>
      <c r="BD69" s="4">
        <v>0</v>
      </c>
      <c r="BE69" s="4">
        <v>0</v>
      </c>
      <c r="BF69" s="4">
        <f t="shared" si="42"/>
        <v>1347372.2100000004</v>
      </c>
      <c r="BG69" s="4">
        <f t="shared" si="43"/>
        <v>1185931.06</v>
      </c>
      <c r="BH69" s="4">
        <f t="shared" si="44"/>
        <v>692.85</v>
      </c>
      <c r="BI69" s="4">
        <f t="shared" si="45"/>
        <v>160748.30000000002</v>
      </c>
    </row>
    <row r="70" spans="1:61" x14ac:dyDescent="0.25">
      <c r="C70">
        <v>395</v>
      </c>
      <c r="D70" t="s">
        <v>134</v>
      </c>
      <c r="E70" s="4">
        <v>0</v>
      </c>
      <c r="F70" s="4">
        <v>0</v>
      </c>
      <c r="G70" s="4">
        <v>0</v>
      </c>
      <c r="H70" s="4">
        <v>356</v>
      </c>
      <c r="I70" s="4">
        <v>0</v>
      </c>
      <c r="J70" s="4">
        <v>0</v>
      </c>
      <c r="K70" s="4">
        <v>0</v>
      </c>
      <c r="L70" s="4">
        <v>0</v>
      </c>
      <c r="M70" s="4">
        <v>0</v>
      </c>
      <c r="N70" s="4">
        <v>0</v>
      </c>
      <c r="O70" s="4">
        <v>0</v>
      </c>
      <c r="P70" s="4">
        <v>0</v>
      </c>
      <c r="Q70" s="4">
        <v>0</v>
      </c>
      <c r="R70" s="4">
        <v>0</v>
      </c>
      <c r="S70" s="4">
        <v>0</v>
      </c>
      <c r="T70" s="4">
        <v>0</v>
      </c>
      <c r="U70" s="4">
        <v>0</v>
      </c>
      <c r="V70" s="4">
        <v>0</v>
      </c>
      <c r="W70" s="4">
        <v>0</v>
      </c>
      <c r="X70" s="4">
        <v>0</v>
      </c>
      <c r="Y70" s="4">
        <v>0</v>
      </c>
      <c r="Z70" s="4">
        <v>0</v>
      </c>
      <c r="AA70" s="4">
        <v>0</v>
      </c>
      <c r="AB70" s="4">
        <v>0</v>
      </c>
      <c r="AC70" s="4">
        <v>0</v>
      </c>
      <c r="AD70" s="4">
        <v>0</v>
      </c>
      <c r="AE70" s="4">
        <v>0</v>
      </c>
      <c r="AF70" s="4">
        <v>0</v>
      </c>
      <c r="AG70" s="4">
        <v>0</v>
      </c>
      <c r="AH70" s="4">
        <v>0</v>
      </c>
      <c r="AI70" s="4">
        <v>0</v>
      </c>
      <c r="AJ70" s="4">
        <v>0</v>
      </c>
      <c r="AK70" s="4">
        <v>0</v>
      </c>
      <c r="AL70" s="4">
        <v>0</v>
      </c>
      <c r="AM70" s="4">
        <v>0</v>
      </c>
      <c r="AN70" s="4">
        <v>0</v>
      </c>
      <c r="AO70" s="4">
        <v>0</v>
      </c>
      <c r="AP70" s="4">
        <v>0</v>
      </c>
      <c r="AQ70" s="4">
        <v>0</v>
      </c>
      <c r="AR70" s="4">
        <v>0</v>
      </c>
      <c r="AS70" s="4">
        <v>0</v>
      </c>
      <c r="AT70" s="4">
        <v>0</v>
      </c>
      <c r="AU70" s="4">
        <v>0</v>
      </c>
      <c r="AV70" s="4">
        <v>0</v>
      </c>
      <c r="AW70" s="4">
        <v>0</v>
      </c>
      <c r="AX70" s="4">
        <v>0</v>
      </c>
      <c r="AY70" s="4">
        <v>0</v>
      </c>
      <c r="AZ70" s="4">
        <v>0</v>
      </c>
      <c r="BA70" s="4">
        <v>0</v>
      </c>
      <c r="BB70" s="4">
        <v>0</v>
      </c>
      <c r="BC70" s="4">
        <v>0</v>
      </c>
      <c r="BD70" s="4">
        <v>0</v>
      </c>
      <c r="BE70" s="4">
        <v>0</v>
      </c>
      <c r="BF70" s="4">
        <f t="shared" si="42"/>
        <v>356</v>
      </c>
      <c r="BG70" s="4">
        <f t="shared" si="43"/>
        <v>356</v>
      </c>
      <c r="BH70" s="4">
        <f t="shared" si="44"/>
        <v>0</v>
      </c>
      <c r="BI70" s="4">
        <f t="shared" si="45"/>
        <v>0</v>
      </c>
    </row>
    <row r="71" spans="1:61" x14ac:dyDescent="0.25">
      <c r="C71">
        <v>398</v>
      </c>
      <c r="D71" t="s">
        <v>135</v>
      </c>
      <c r="E71" s="4">
        <v>0</v>
      </c>
      <c r="F71" s="4">
        <v>0</v>
      </c>
      <c r="G71" s="4">
        <v>0</v>
      </c>
      <c r="H71" s="4">
        <v>0</v>
      </c>
      <c r="I71" s="4">
        <v>0</v>
      </c>
      <c r="J71" s="4">
        <v>0</v>
      </c>
      <c r="K71" s="4">
        <v>0</v>
      </c>
      <c r="L71" s="4">
        <v>2367133.34</v>
      </c>
      <c r="M71" s="4">
        <v>0</v>
      </c>
      <c r="N71" s="4">
        <v>0</v>
      </c>
      <c r="O71" s="4">
        <v>0</v>
      </c>
      <c r="P71" s="4">
        <v>0</v>
      </c>
      <c r="Q71" s="4">
        <v>0</v>
      </c>
      <c r="R71" s="4">
        <v>0</v>
      </c>
      <c r="S71" s="4">
        <v>0</v>
      </c>
      <c r="T71" s="4">
        <v>0</v>
      </c>
      <c r="U71" s="4">
        <v>0</v>
      </c>
      <c r="V71" s="4">
        <v>0</v>
      </c>
      <c r="W71" s="4">
        <v>0</v>
      </c>
      <c r="X71" s="4">
        <v>0</v>
      </c>
      <c r="Y71" s="4">
        <v>0</v>
      </c>
      <c r="Z71" s="4">
        <v>0</v>
      </c>
      <c r="AA71" s="4">
        <v>0</v>
      </c>
      <c r="AB71" s="4">
        <v>0</v>
      </c>
      <c r="AC71" s="4">
        <v>0</v>
      </c>
      <c r="AD71" s="4">
        <v>0</v>
      </c>
      <c r="AE71" s="4">
        <v>0</v>
      </c>
      <c r="AF71" s="4">
        <v>104093.55</v>
      </c>
      <c r="AG71" s="4">
        <v>0</v>
      </c>
      <c r="AH71" s="4">
        <v>0</v>
      </c>
      <c r="AI71" s="4">
        <v>0</v>
      </c>
      <c r="AJ71" s="4">
        <v>0</v>
      </c>
      <c r="AK71" s="4">
        <v>0</v>
      </c>
      <c r="AL71" s="4">
        <v>0</v>
      </c>
      <c r="AM71" s="4">
        <v>0</v>
      </c>
      <c r="AN71" s="4">
        <v>0</v>
      </c>
      <c r="AO71" s="4">
        <v>0</v>
      </c>
      <c r="AP71" s="4">
        <v>0</v>
      </c>
      <c r="AQ71" s="4">
        <v>0</v>
      </c>
      <c r="AR71" s="4">
        <v>0</v>
      </c>
      <c r="AS71" s="4">
        <v>0</v>
      </c>
      <c r="AT71" s="4">
        <v>0</v>
      </c>
      <c r="AU71" s="4">
        <v>0</v>
      </c>
      <c r="AV71" s="4">
        <v>0</v>
      </c>
      <c r="AW71" s="4">
        <v>0</v>
      </c>
      <c r="AX71" s="4">
        <v>0</v>
      </c>
      <c r="AY71" s="4">
        <v>0</v>
      </c>
      <c r="AZ71" s="4">
        <v>0</v>
      </c>
      <c r="BA71" s="4">
        <v>0</v>
      </c>
      <c r="BB71" s="4">
        <v>0</v>
      </c>
      <c r="BC71" s="4">
        <v>0</v>
      </c>
      <c r="BD71" s="4">
        <v>0</v>
      </c>
      <c r="BE71" s="4">
        <v>0</v>
      </c>
      <c r="BF71" s="4">
        <f t="shared" si="42"/>
        <v>2471226.8899999997</v>
      </c>
      <c r="BG71" s="4">
        <f t="shared" si="43"/>
        <v>2367133.34</v>
      </c>
      <c r="BH71" s="4">
        <f t="shared" si="44"/>
        <v>104093.55</v>
      </c>
      <c r="BI71" s="4">
        <f t="shared" si="45"/>
        <v>0</v>
      </c>
    </row>
    <row r="72" spans="1:61" x14ac:dyDescent="0.25">
      <c r="C72">
        <v>399</v>
      </c>
      <c r="D72" t="s">
        <v>136</v>
      </c>
      <c r="E72" s="4">
        <v>0</v>
      </c>
      <c r="F72" s="4">
        <v>0</v>
      </c>
      <c r="G72" s="4">
        <v>0</v>
      </c>
      <c r="H72" s="4">
        <v>0</v>
      </c>
      <c r="I72" s="4">
        <v>0</v>
      </c>
      <c r="J72" s="4">
        <v>0</v>
      </c>
      <c r="K72" s="4">
        <v>0</v>
      </c>
      <c r="L72" s="4">
        <v>1096890.8600000001</v>
      </c>
      <c r="M72" s="4">
        <v>0</v>
      </c>
      <c r="N72" s="4">
        <v>0</v>
      </c>
      <c r="O72" s="4">
        <v>0</v>
      </c>
      <c r="P72" s="4">
        <v>0</v>
      </c>
      <c r="Q72" s="4">
        <v>0</v>
      </c>
      <c r="R72" s="4">
        <v>0</v>
      </c>
      <c r="S72" s="4">
        <v>0</v>
      </c>
      <c r="T72" s="4">
        <v>0</v>
      </c>
      <c r="U72" s="4">
        <v>0</v>
      </c>
      <c r="V72" s="4">
        <v>0</v>
      </c>
      <c r="W72" s="4">
        <v>5400</v>
      </c>
      <c r="X72" s="4">
        <v>0</v>
      </c>
      <c r="Y72" s="4">
        <v>0</v>
      </c>
      <c r="Z72" s="4">
        <v>0</v>
      </c>
      <c r="AA72" s="4">
        <v>0</v>
      </c>
      <c r="AB72" s="4">
        <v>0</v>
      </c>
      <c r="AC72" s="4">
        <v>0</v>
      </c>
      <c r="AD72" s="4">
        <v>0</v>
      </c>
      <c r="AE72" s="4">
        <v>0</v>
      </c>
      <c r="AF72" s="4">
        <v>0</v>
      </c>
      <c r="AG72" s="4">
        <v>0</v>
      </c>
      <c r="AH72" s="4">
        <v>0</v>
      </c>
      <c r="AI72" s="4">
        <v>0</v>
      </c>
      <c r="AJ72" s="4">
        <v>0</v>
      </c>
      <c r="AK72" s="4">
        <v>0</v>
      </c>
      <c r="AL72" s="4">
        <v>0</v>
      </c>
      <c r="AM72" s="4">
        <v>0</v>
      </c>
      <c r="AN72" s="4">
        <v>0</v>
      </c>
      <c r="AO72" s="4">
        <v>0</v>
      </c>
      <c r="AP72" s="4">
        <v>0</v>
      </c>
      <c r="AQ72" s="4">
        <v>0</v>
      </c>
      <c r="AR72" s="4">
        <v>0</v>
      </c>
      <c r="AS72" s="4">
        <v>0</v>
      </c>
      <c r="AT72" s="4">
        <v>0</v>
      </c>
      <c r="AU72" s="4">
        <v>0</v>
      </c>
      <c r="AV72" s="4">
        <v>0</v>
      </c>
      <c r="AW72" s="4">
        <v>0</v>
      </c>
      <c r="AX72" s="4">
        <v>0</v>
      </c>
      <c r="AY72" s="4">
        <v>0</v>
      </c>
      <c r="AZ72" s="4">
        <v>1000</v>
      </c>
      <c r="BA72" s="4">
        <v>0</v>
      </c>
      <c r="BB72" s="4">
        <v>0</v>
      </c>
      <c r="BC72" s="4">
        <v>0</v>
      </c>
      <c r="BD72" s="4">
        <v>0</v>
      </c>
      <c r="BE72" s="4">
        <v>0</v>
      </c>
      <c r="BF72" s="4">
        <f t="shared" si="42"/>
        <v>1103290.8600000001</v>
      </c>
      <c r="BG72" s="4">
        <f t="shared" si="43"/>
        <v>1102290.8600000001</v>
      </c>
      <c r="BH72" s="4">
        <f t="shared" si="44"/>
        <v>0</v>
      </c>
      <c r="BI72" s="4">
        <f t="shared" si="45"/>
        <v>1000</v>
      </c>
    </row>
    <row r="73" spans="1:61" x14ac:dyDescent="0.25">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row>
    <row r="74" spans="1:61" x14ac:dyDescent="0.25">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row>
    <row r="75" spans="1:61" ht="21" x14ac:dyDescent="0.35">
      <c r="A75" s="80">
        <v>4</v>
      </c>
      <c r="B75" s="80"/>
      <c r="C75" s="80"/>
      <c r="D75" s="80" t="s">
        <v>137</v>
      </c>
      <c r="E75" s="79">
        <f>E76+E82+E88+E99+E105+E117+E121+E128+E131+E140</f>
        <v>3592856.1599999997</v>
      </c>
      <c r="F75" s="79">
        <f t="shared" ref="F75:BI75" si="46">F76+F82+F88+F99+F105+F117+F121+F128+F131+F140</f>
        <v>1055665.27</v>
      </c>
      <c r="G75" s="79">
        <f t="shared" si="46"/>
        <v>1542170.0899999999</v>
      </c>
      <c r="H75" s="79">
        <f t="shared" si="46"/>
        <v>1977595.9800000004</v>
      </c>
      <c r="I75" s="79">
        <f t="shared" si="46"/>
        <v>15874152.979999999</v>
      </c>
      <c r="J75" s="79">
        <f t="shared" si="46"/>
        <v>13528253.02</v>
      </c>
      <c r="K75" s="79">
        <f t="shared" si="46"/>
        <v>10538476.91</v>
      </c>
      <c r="L75" s="79">
        <f t="shared" si="46"/>
        <v>104352081.14000002</v>
      </c>
      <c r="M75" s="79">
        <f t="shared" si="46"/>
        <v>7769549.8999999994</v>
      </c>
      <c r="N75" s="79">
        <f t="shared" si="46"/>
        <v>526788.52999999991</v>
      </c>
      <c r="O75" s="79">
        <f t="shared" si="46"/>
        <v>27337755.820000004</v>
      </c>
      <c r="P75" s="79">
        <f t="shared" si="46"/>
        <v>1889354.54</v>
      </c>
      <c r="Q75" s="79">
        <f t="shared" si="46"/>
        <v>420828.51999999996</v>
      </c>
      <c r="R75" s="79">
        <f t="shared" si="46"/>
        <v>1547324.57</v>
      </c>
      <c r="S75" s="79">
        <f t="shared" si="46"/>
        <v>1378197.6300000001</v>
      </c>
      <c r="T75" s="79">
        <f t="shared" si="46"/>
        <v>3028687.9799999995</v>
      </c>
      <c r="U75" s="79">
        <f t="shared" si="46"/>
        <v>941821.07</v>
      </c>
      <c r="V75" s="79">
        <f t="shared" si="46"/>
        <v>2214956.15</v>
      </c>
      <c r="W75" s="79">
        <f t="shared" si="46"/>
        <v>12795603.930000002</v>
      </c>
      <c r="X75" s="79">
        <f t="shared" si="46"/>
        <v>1940696.13</v>
      </c>
      <c r="Y75" s="79">
        <f t="shared" si="46"/>
        <v>7518799.2600000007</v>
      </c>
      <c r="Z75" s="79">
        <f t="shared" si="46"/>
        <v>11534604.16</v>
      </c>
      <c r="AA75" s="79">
        <f t="shared" si="46"/>
        <v>656370.62</v>
      </c>
      <c r="AB75" s="79">
        <f t="shared" si="46"/>
        <v>883860.93000000017</v>
      </c>
      <c r="AC75" s="79">
        <f t="shared" si="46"/>
        <v>2592363.3199999998</v>
      </c>
      <c r="AD75" s="79">
        <f t="shared" si="46"/>
        <v>3410325.77</v>
      </c>
      <c r="AE75" s="79">
        <f t="shared" si="46"/>
        <v>2778539.63</v>
      </c>
      <c r="AF75" s="79">
        <f t="shared" si="46"/>
        <v>3466791.29</v>
      </c>
      <c r="AG75" s="79">
        <f t="shared" si="46"/>
        <v>10157491.629999997</v>
      </c>
      <c r="AH75" s="79">
        <f t="shared" si="46"/>
        <v>12700411.98</v>
      </c>
      <c r="AI75" s="79">
        <f t="shared" si="46"/>
        <v>1094727.8800000001</v>
      </c>
      <c r="AJ75" s="79">
        <f t="shared" si="46"/>
        <v>716212.09</v>
      </c>
      <c r="AK75" s="79">
        <f t="shared" si="46"/>
        <v>8693871.5800000001</v>
      </c>
      <c r="AL75" s="79">
        <f t="shared" si="46"/>
        <v>5678645.7199999988</v>
      </c>
      <c r="AM75" s="79">
        <f t="shared" si="46"/>
        <v>5433082.5800000001</v>
      </c>
      <c r="AN75" s="79">
        <f t="shared" si="46"/>
        <v>610998.75000000012</v>
      </c>
      <c r="AO75" s="79">
        <f t="shared" si="46"/>
        <v>9404092.9000000004</v>
      </c>
      <c r="AP75" s="79">
        <f t="shared" si="46"/>
        <v>3880880.6500000004</v>
      </c>
      <c r="AQ75" s="79">
        <f t="shared" si="46"/>
        <v>2321727.92</v>
      </c>
      <c r="AR75" s="79">
        <f t="shared" si="46"/>
        <v>6619219.7200000007</v>
      </c>
      <c r="AS75" s="79">
        <f t="shared" si="46"/>
        <v>3555212.09</v>
      </c>
      <c r="AT75" s="79">
        <f t="shared" si="46"/>
        <v>4450419.29</v>
      </c>
      <c r="AU75" s="79">
        <f t="shared" si="46"/>
        <v>1450602.1800000002</v>
      </c>
      <c r="AV75" s="79">
        <f t="shared" si="46"/>
        <v>10131210.790000001</v>
      </c>
      <c r="AW75" s="79">
        <f t="shared" si="46"/>
        <v>3321892.1799999997</v>
      </c>
      <c r="AX75" s="79">
        <f t="shared" si="46"/>
        <v>653977.89999999991</v>
      </c>
      <c r="AY75" s="79">
        <f t="shared" si="46"/>
        <v>1353067.22</v>
      </c>
      <c r="AZ75" s="79">
        <f t="shared" si="46"/>
        <v>7307683.0099999998</v>
      </c>
      <c r="BA75" s="79">
        <f t="shared" si="46"/>
        <v>1735107.1099999999</v>
      </c>
      <c r="BB75" s="79">
        <f t="shared" si="46"/>
        <v>5861021.2999999998</v>
      </c>
      <c r="BC75" s="79">
        <f t="shared" si="46"/>
        <v>754241</v>
      </c>
      <c r="BD75" s="79">
        <f t="shared" si="46"/>
        <v>40168822.840000004</v>
      </c>
      <c r="BE75" s="79">
        <f t="shared" si="46"/>
        <v>2536564.2199999997</v>
      </c>
      <c r="BF75" s="79">
        <f t="shared" si="46"/>
        <v>397685655.8300001</v>
      </c>
      <c r="BG75" s="79">
        <f t="shared" si="46"/>
        <v>212312120.19000006</v>
      </c>
      <c r="BH75" s="79">
        <f t="shared" si="46"/>
        <v>59451194.68999999</v>
      </c>
      <c r="BI75" s="79">
        <f t="shared" si="46"/>
        <v>125922340.94999997</v>
      </c>
    </row>
    <row r="76" spans="1:61" x14ac:dyDescent="0.25">
      <c r="A76" s="7"/>
      <c r="B76" s="78">
        <v>40</v>
      </c>
      <c r="C76" s="78"/>
      <c r="D76" s="78" t="s">
        <v>79</v>
      </c>
      <c r="E76" s="73">
        <f>E77+E78+E79+E80</f>
        <v>2484648.4499999997</v>
      </c>
      <c r="F76" s="73">
        <f t="shared" ref="F76:BI76" si="47">F77+F78+F79+F80</f>
        <v>639537.71</v>
      </c>
      <c r="G76" s="73">
        <f t="shared" si="47"/>
        <v>1097662.03</v>
      </c>
      <c r="H76" s="73">
        <f t="shared" si="47"/>
        <v>1055174.8</v>
      </c>
      <c r="I76" s="73">
        <f t="shared" si="47"/>
        <v>9379199.5399999991</v>
      </c>
      <c r="J76" s="73">
        <f t="shared" si="47"/>
        <v>9171089.5600000005</v>
      </c>
      <c r="K76" s="73">
        <f t="shared" si="47"/>
        <v>7224616.4699999997</v>
      </c>
      <c r="L76" s="73">
        <f t="shared" si="47"/>
        <v>41044039.390000001</v>
      </c>
      <c r="M76" s="73">
        <f t="shared" si="47"/>
        <v>3757997.74</v>
      </c>
      <c r="N76" s="73">
        <f t="shared" si="47"/>
        <v>202212.85</v>
      </c>
      <c r="O76" s="73">
        <f t="shared" si="47"/>
        <v>18455732.649999999</v>
      </c>
      <c r="P76" s="73">
        <f t="shared" si="47"/>
        <v>1171886.2100000002</v>
      </c>
      <c r="Q76" s="73">
        <f t="shared" si="47"/>
        <v>264373.92</v>
      </c>
      <c r="R76" s="73">
        <f t="shared" si="47"/>
        <v>1018982.93</v>
      </c>
      <c r="S76" s="73">
        <f t="shared" si="47"/>
        <v>837138.83000000007</v>
      </c>
      <c r="T76" s="73">
        <f t="shared" si="47"/>
        <v>2168384.61</v>
      </c>
      <c r="U76" s="73">
        <f t="shared" si="47"/>
        <v>519812.7</v>
      </c>
      <c r="V76" s="73">
        <f t="shared" si="47"/>
        <v>1266148.5999999999</v>
      </c>
      <c r="W76" s="73">
        <f t="shared" si="47"/>
        <v>8438722.25</v>
      </c>
      <c r="X76" s="73">
        <f t="shared" si="47"/>
        <v>822382.96</v>
      </c>
      <c r="Y76" s="73">
        <f t="shared" si="47"/>
        <v>5457460.7300000004</v>
      </c>
      <c r="Z76" s="73">
        <f t="shared" si="47"/>
        <v>6860732.79</v>
      </c>
      <c r="AA76" s="73">
        <f t="shared" si="47"/>
        <v>248192.22</v>
      </c>
      <c r="AB76" s="73">
        <f t="shared" si="47"/>
        <v>353199.9</v>
      </c>
      <c r="AC76" s="73">
        <f t="shared" si="47"/>
        <v>1416378.8099999998</v>
      </c>
      <c r="AD76" s="73">
        <f t="shared" si="47"/>
        <v>1709159.92</v>
      </c>
      <c r="AE76" s="73">
        <f t="shared" si="47"/>
        <v>1504725.71</v>
      </c>
      <c r="AF76" s="73">
        <f t="shared" si="47"/>
        <v>1487800.9100000001</v>
      </c>
      <c r="AG76" s="73">
        <f t="shared" si="47"/>
        <v>7036822.9799999995</v>
      </c>
      <c r="AH76" s="73">
        <f t="shared" si="47"/>
        <v>7842158.3799999999</v>
      </c>
      <c r="AI76" s="73">
        <f t="shared" si="47"/>
        <v>449366.38</v>
      </c>
      <c r="AJ76" s="73">
        <f t="shared" si="47"/>
        <v>423453.05</v>
      </c>
      <c r="AK76" s="73">
        <f t="shared" si="47"/>
        <v>5885786.6500000004</v>
      </c>
      <c r="AL76" s="73">
        <f t="shared" si="47"/>
        <v>2625429.2000000002</v>
      </c>
      <c r="AM76" s="73">
        <f t="shared" si="47"/>
        <v>2877897.54</v>
      </c>
      <c r="AN76" s="73">
        <f t="shared" si="47"/>
        <v>342747.26</v>
      </c>
      <c r="AO76" s="73">
        <f t="shared" si="47"/>
        <v>7342828.6500000004</v>
      </c>
      <c r="AP76" s="73">
        <f t="shared" si="47"/>
        <v>1918959.77</v>
      </c>
      <c r="AQ76" s="73">
        <f t="shared" si="47"/>
        <v>1738358.07</v>
      </c>
      <c r="AR76" s="73">
        <f t="shared" si="47"/>
        <v>3259670.81</v>
      </c>
      <c r="AS76" s="73">
        <f t="shared" si="47"/>
        <v>2046618.5899999999</v>
      </c>
      <c r="AT76" s="73">
        <f t="shared" si="47"/>
        <v>2536343.5</v>
      </c>
      <c r="AU76" s="73">
        <f t="shared" si="47"/>
        <v>283135.43000000005</v>
      </c>
      <c r="AV76" s="73">
        <f t="shared" si="47"/>
        <v>6800930.7499999991</v>
      </c>
      <c r="AW76" s="73">
        <f t="shared" si="47"/>
        <v>2538690.25</v>
      </c>
      <c r="AX76" s="73">
        <f t="shared" si="47"/>
        <v>369620.93</v>
      </c>
      <c r="AY76" s="73">
        <f t="shared" si="47"/>
        <v>906867.20000000007</v>
      </c>
      <c r="AZ76" s="73">
        <f t="shared" si="47"/>
        <v>5064301.16</v>
      </c>
      <c r="BA76" s="73">
        <f t="shared" si="47"/>
        <v>956302.3</v>
      </c>
      <c r="BB76" s="73">
        <f t="shared" si="47"/>
        <v>3523672.39</v>
      </c>
      <c r="BC76" s="73">
        <f t="shared" si="47"/>
        <v>395093.31</v>
      </c>
      <c r="BD76" s="73">
        <f t="shared" si="47"/>
        <v>21989155.150000002</v>
      </c>
      <c r="BE76" s="73">
        <f t="shared" si="47"/>
        <v>1475042.4700000002</v>
      </c>
      <c r="BF76" s="73">
        <f t="shared" si="47"/>
        <v>220686647.36000004</v>
      </c>
      <c r="BG76" s="73">
        <f t="shared" si="47"/>
        <v>110197361.24000002</v>
      </c>
      <c r="BH76" s="73">
        <f t="shared" si="47"/>
        <v>35611834.739999995</v>
      </c>
      <c r="BI76" s="73">
        <f t="shared" si="47"/>
        <v>74877451.37999998</v>
      </c>
    </row>
    <row r="77" spans="1:61" x14ac:dyDescent="0.25">
      <c r="C77">
        <v>400</v>
      </c>
      <c r="D77" t="s">
        <v>138</v>
      </c>
      <c r="E77" s="4">
        <v>2089448.2</v>
      </c>
      <c r="F77" s="4">
        <v>492282.79</v>
      </c>
      <c r="G77" s="4">
        <v>949917.15</v>
      </c>
      <c r="H77" s="4">
        <v>841221.18</v>
      </c>
      <c r="I77" s="4">
        <v>7675746.3600000003</v>
      </c>
      <c r="J77" s="4">
        <v>7567612.5700000003</v>
      </c>
      <c r="K77" s="4">
        <v>5914223.3300000001</v>
      </c>
      <c r="L77" s="4">
        <v>28291546.280000001</v>
      </c>
      <c r="M77" s="4">
        <v>2993299.47</v>
      </c>
      <c r="N77" s="4">
        <v>178520.05</v>
      </c>
      <c r="O77" s="4">
        <v>14978467.65</v>
      </c>
      <c r="P77" s="4">
        <v>923297.55</v>
      </c>
      <c r="Q77" s="4">
        <v>233632.67</v>
      </c>
      <c r="R77" s="4">
        <v>894841.17</v>
      </c>
      <c r="S77" s="4">
        <v>722684.29</v>
      </c>
      <c r="T77" s="4">
        <v>1853875.05</v>
      </c>
      <c r="U77" s="4">
        <v>414418.45</v>
      </c>
      <c r="V77" s="4">
        <v>976276.95</v>
      </c>
      <c r="W77" s="4">
        <v>6954871.4000000004</v>
      </c>
      <c r="X77" s="4">
        <v>705231.84</v>
      </c>
      <c r="Y77" s="4">
        <v>5167560.4800000004</v>
      </c>
      <c r="Z77" s="4">
        <v>2851513.73</v>
      </c>
      <c r="AA77" s="4">
        <v>201253.2</v>
      </c>
      <c r="AB77" s="4">
        <v>272253.90000000002</v>
      </c>
      <c r="AC77" s="4">
        <v>1175064.6599999999</v>
      </c>
      <c r="AD77" s="4">
        <v>1415436</v>
      </c>
      <c r="AE77" s="4">
        <v>1180186.76</v>
      </c>
      <c r="AF77" s="4">
        <v>1212954.99</v>
      </c>
      <c r="AG77" s="4">
        <v>4742424.3499999996</v>
      </c>
      <c r="AH77" s="4">
        <v>6279646.9500000002</v>
      </c>
      <c r="AI77" s="4">
        <v>351906.95</v>
      </c>
      <c r="AJ77" s="4">
        <v>243024.85</v>
      </c>
      <c r="AK77" s="4">
        <v>4750955.45</v>
      </c>
      <c r="AL77" s="4">
        <v>2118419.7999999998</v>
      </c>
      <c r="AM77" s="4">
        <v>2412689.29</v>
      </c>
      <c r="AN77" s="4">
        <v>281720.31</v>
      </c>
      <c r="AO77" s="4">
        <v>3131674.65</v>
      </c>
      <c r="AP77" s="4">
        <v>1357873.47</v>
      </c>
      <c r="AQ77" s="4">
        <v>1539191.74</v>
      </c>
      <c r="AR77" s="4">
        <v>2468752.63</v>
      </c>
      <c r="AS77" s="4">
        <v>1710364.38</v>
      </c>
      <c r="AT77" s="4">
        <v>2113393.6</v>
      </c>
      <c r="AU77" s="4">
        <v>104808.02</v>
      </c>
      <c r="AV77" s="4">
        <v>5179504.8499999996</v>
      </c>
      <c r="AW77" s="4">
        <v>2050363.3</v>
      </c>
      <c r="AX77" s="4">
        <v>313398.7</v>
      </c>
      <c r="AY77" s="4">
        <v>714266.27</v>
      </c>
      <c r="AZ77" s="4">
        <v>4221312.49</v>
      </c>
      <c r="BA77" s="4">
        <v>761215.9</v>
      </c>
      <c r="BB77" s="4">
        <v>2495255.44</v>
      </c>
      <c r="BC77" s="4">
        <v>327291.61</v>
      </c>
      <c r="BD77" s="4">
        <v>16446907.85</v>
      </c>
      <c r="BE77" s="4">
        <v>1229515.01</v>
      </c>
      <c r="BF77" s="4">
        <f t="shared" ref="BF77:BF80" si="48">SUM(E77:BE77)</f>
        <v>166473515.98000005</v>
      </c>
      <c r="BG77" s="4">
        <f t="shared" ref="BG77:BG80" si="49">SUM(E77:W77)</f>
        <v>84946182.560000017</v>
      </c>
      <c r="BH77" s="4">
        <f t="shared" ref="BH77:BH80" si="50">SUM(X77:AJ77)</f>
        <v>25798458.66</v>
      </c>
      <c r="BI77" s="4">
        <f t="shared" ref="BI77:BI80" si="51">SUM(AK77:BE77)</f>
        <v>55728874.75999999</v>
      </c>
    </row>
    <row r="78" spans="1:61" x14ac:dyDescent="0.25">
      <c r="C78">
        <v>401</v>
      </c>
      <c r="D78" t="s">
        <v>139</v>
      </c>
      <c r="E78" s="4">
        <v>99854.85</v>
      </c>
      <c r="F78" s="4">
        <v>3715.57</v>
      </c>
      <c r="G78" s="4">
        <v>31467.08</v>
      </c>
      <c r="H78" s="4">
        <v>40843.800000000003</v>
      </c>
      <c r="I78" s="4">
        <v>307672.43</v>
      </c>
      <c r="J78" s="4">
        <v>443475.74</v>
      </c>
      <c r="K78" s="4">
        <v>609166.68999999994</v>
      </c>
      <c r="L78" s="4">
        <v>7757076.1799999997</v>
      </c>
      <c r="M78" s="4">
        <v>296224.62</v>
      </c>
      <c r="N78" s="4">
        <v>5310.2</v>
      </c>
      <c r="O78" s="4">
        <v>1231334.8999999999</v>
      </c>
      <c r="P78" s="4">
        <v>24811.05</v>
      </c>
      <c r="Q78" s="4">
        <v>307.39999999999998</v>
      </c>
      <c r="R78" s="4">
        <v>10607</v>
      </c>
      <c r="S78" s="4">
        <v>8931.7900000000009</v>
      </c>
      <c r="T78" s="4">
        <v>41352.97</v>
      </c>
      <c r="U78" s="4">
        <v>8919.2000000000007</v>
      </c>
      <c r="V78" s="4">
        <v>132540.15</v>
      </c>
      <c r="W78" s="4">
        <v>406055.6</v>
      </c>
      <c r="X78" s="4">
        <v>-1889.38</v>
      </c>
      <c r="Y78" s="4">
        <v>16408.3</v>
      </c>
      <c r="Z78" s="4">
        <v>3132885.03</v>
      </c>
      <c r="AA78" s="4">
        <v>0</v>
      </c>
      <c r="AB78" s="4">
        <v>7463.25</v>
      </c>
      <c r="AC78" s="4">
        <v>81437.100000000006</v>
      </c>
      <c r="AD78" s="4">
        <v>58675.06</v>
      </c>
      <c r="AE78" s="4">
        <v>24369.73</v>
      </c>
      <c r="AF78" s="4">
        <v>31256.28</v>
      </c>
      <c r="AG78" s="4">
        <v>1530576.78</v>
      </c>
      <c r="AH78" s="4">
        <v>669347.07999999996</v>
      </c>
      <c r="AI78" s="4">
        <v>21715.599999999999</v>
      </c>
      <c r="AJ78" s="4">
        <v>3667</v>
      </c>
      <c r="AK78" s="4">
        <v>373929.65</v>
      </c>
      <c r="AL78" s="4">
        <v>48279.35</v>
      </c>
      <c r="AM78" s="4">
        <v>65945.75</v>
      </c>
      <c r="AN78" s="4">
        <v>10368.65</v>
      </c>
      <c r="AO78" s="4">
        <v>3851675.5</v>
      </c>
      <c r="AP78" s="4">
        <v>293639.55</v>
      </c>
      <c r="AQ78" s="4">
        <v>10345.280000000001</v>
      </c>
      <c r="AR78" s="4">
        <v>93326.42</v>
      </c>
      <c r="AS78" s="4">
        <v>14983.78</v>
      </c>
      <c r="AT78" s="4">
        <v>61337.4</v>
      </c>
      <c r="AU78" s="4">
        <v>130686.46</v>
      </c>
      <c r="AV78" s="4">
        <v>715760.85</v>
      </c>
      <c r="AW78" s="4">
        <v>135833.45000000001</v>
      </c>
      <c r="AX78" s="4">
        <v>6096.07</v>
      </c>
      <c r="AY78" s="4">
        <v>37440.879999999997</v>
      </c>
      <c r="AZ78" s="4">
        <v>310800.92</v>
      </c>
      <c r="BA78" s="4">
        <v>14945.6</v>
      </c>
      <c r="BB78" s="4">
        <v>516787.33</v>
      </c>
      <c r="BC78" s="4">
        <v>1415.15</v>
      </c>
      <c r="BD78" s="4">
        <v>2530547.2000000002</v>
      </c>
      <c r="BE78" s="4">
        <v>33491.089999999997</v>
      </c>
      <c r="BF78" s="4">
        <f t="shared" si="48"/>
        <v>26293215.379999999</v>
      </c>
      <c r="BG78" s="4">
        <f t="shared" si="49"/>
        <v>11459667.219999999</v>
      </c>
      <c r="BH78" s="4">
        <f t="shared" si="50"/>
        <v>5575911.8299999991</v>
      </c>
      <c r="BI78" s="4">
        <f t="shared" si="51"/>
        <v>9257636.3300000019</v>
      </c>
    </row>
    <row r="79" spans="1:61" x14ac:dyDescent="0.25">
      <c r="C79">
        <v>402</v>
      </c>
      <c r="D79" t="s">
        <v>140</v>
      </c>
      <c r="E79" s="4">
        <v>281123.40000000002</v>
      </c>
      <c r="F79" s="4">
        <v>138262.35</v>
      </c>
      <c r="G79" s="4">
        <v>110576.6</v>
      </c>
      <c r="H79" s="4">
        <v>170449.82</v>
      </c>
      <c r="I79" s="4">
        <v>1335684.75</v>
      </c>
      <c r="J79" s="4">
        <v>1139394.45</v>
      </c>
      <c r="K79" s="4">
        <v>683222</v>
      </c>
      <c r="L79" s="4">
        <v>4912126.33</v>
      </c>
      <c r="M79" s="4">
        <v>462554.85</v>
      </c>
      <c r="N79" s="4">
        <v>16427</v>
      </c>
      <c r="O79" s="4">
        <v>2194295.7000000002</v>
      </c>
      <c r="P79" s="4">
        <v>220168.56</v>
      </c>
      <c r="Q79" s="4">
        <v>25681.25</v>
      </c>
      <c r="R79" s="4">
        <v>96107.61</v>
      </c>
      <c r="S79" s="4">
        <v>94120.95</v>
      </c>
      <c r="T79" s="4">
        <v>270036.59000000003</v>
      </c>
      <c r="U79" s="4">
        <v>84421.05</v>
      </c>
      <c r="V79" s="4">
        <v>151282.5</v>
      </c>
      <c r="W79" s="4">
        <v>1036483.25</v>
      </c>
      <c r="X79" s="4">
        <v>95719.5</v>
      </c>
      <c r="Y79" s="4">
        <v>259447.3</v>
      </c>
      <c r="Z79" s="4">
        <v>865026.73</v>
      </c>
      <c r="AA79" s="4">
        <v>39114.620000000003</v>
      </c>
      <c r="AB79" s="4">
        <v>70081.95</v>
      </c>
      <c r="AC79" s="4">
        <v>150596.65</v>
      </c>
      <c r="AD79" s="4">
        <v>218894.91</v>
      </c>
      <c r="AE79" s="4">
        <v>266902.92</v>
      </c>
      <c r="AF79" s="4">
        <v>234894.04</v>
      </c>
      <c r="AG79" s="4">
        <v>739422.05</v>
      </c>
      <c r="AH79" s="4">
        <v>808001.55</v>
      </c>
      <c r="AI79" s="4">
        <v>66988.38</v>
      </c>
      <c r="AJ79" s="4">
        <v>134573.5</v>
      </c>
      <c r="AK79" s="4">
        <v>751901.55</v>
      </c>
      <c r="AL79" s="4">
        <v>409757.2</v>
      </c>
      <c r="AM79" s="4">
        <v>377571.85</v>
      </c>
      <c r="AN79" s="4">
        <v>45781.25</v>
      </c>
      <c r="AO79" s="4">
        <v>357193.1</v>
      </c>
      <c r="AP79" s="4">
        <v>255046.75</v>
      </c>
      <c r="AQ79" s="4">
        <v>181486.25</v>
      </c>
      <c r="AR79" s="4">
        <v>585174.31000000006</v>
      </c>
      <c r="AS79" s="4">
        <v>313806.43</v>
      </c>
      <c r="AT79" s="4">
        <v>354657.5</v>
      </c>
      <c r="AU79" s="4">
        <v>43040.55</v>
      </c>
      <c r="AV79" s="4">
        <v>892136.85</v>
      </c>
      <c r="AW79" s="4">
        <v>347850.9</v>
      </c>
      <c r="AX79" s="4">
        <v>49210.86</v>
      </c>
      <c r="AY79" s="4">
        <v>150463.70000000001</v>
      </c>
      <c r="AZ79" s="4">
        <v>509536.15</v>
      </c>
      <c r="BA79" s="4">
        <v>165610.9</v>
      </c>
      <c r="BB79" s="4">
        <v>442670.12</v>
      </c>
      <c r="BC79" s="4">
        <v>64155.35</v>
      </c>
      <c r="BD79" s="4">
        <v>2959789.75</v>
      </c>
      <c r="BE79" s="4">
        <v>205660.37</v>
      </c>
      <c r="BF79" s="4">
        <f t="shared" si="48"/>
        <v>26834584.800000001</v>
      </c>
      <c r="BG79" s="4">
        <f t="shared" si="49"/>
        <v>13422419.01</v>
      </c>
      <c r="BH79" s="4">
        <f t="shared" si="50"/>
        <v>3949664.0999999996</v>
      </c>
      <c r="BI79" s="4">
        <f t="shared" si="51"/>
        <v>9462501.6899999995</v>
      </c>
    </row>
    <row r="80" spans="1:61" x14ac:dyDescent="0.25">
      <c r="C80">
        <v>403</v>
      </c>
      <c r="D80" t="s">
        <v>141</v>
      </c>
      <c r="E80" s="4">
        <v>14222</v>
      </c>
      <c r="F80" s="4">
        <v>5277</v>
      </c>
      <c r="G80" s="4">
        <v>5701.2</v>
      </c>
      <c r="H80" s="4">
        <v>2660</v>
      </c>
      <c r="I80" s="4">
        <v>60096</v>
      </c>
      <c r="J80" s="4">
        <v>20606.8</v>
      </c>
      <c r="K80" s="4">
        <v>18004.45</v>
      </c>
      <c r="L80" s="4">
        <v>83290.600000000006</v>
      </c>
      <c r="M80" s="4">
        <v>5918.8</v>
      </c>
      <c r="N80" s="4">
        <v>1955.6</v>
      </c>
      <c r="O80" s="4">
        <v>51634.400000000001</v>
      </c>
      <c r="P80" s="4">
        <v>3609.05</v>
      </c>
      <c r="Q80" s="4">
        <v>4752.6000000000004</v>
      </c>
      <c r="R80" s="4">
        <v>17427.150000000001</v>
      </c>
      <c r="S80" s="4">
        <v>11401.8</v>
      </c>
      <c r="T80" s="4">
        <v>3120</v>
      </c>
      <c r="U80" s="4">
        <v>12054</v>
      </c>
      <c r="V80" s="4">
        <v>6049</v>
      </c>
      <c r="W80" s="4">
        <v>41312</v>
      </c>
      <c r="X80" s="4">
        <v>23321</v>
      </c>
      <c r="Y80" s="4">
        <v>14044.65</v>
      </c>
      <c r="Z80" s="4">
        <v>11307.3</v>
      </c>
      <c r="AA80" s="4">
        <v>7824.4</v>
      </c>
      <c r="AB80" s="4">
        <v>3400.8</v>
      </c>
      <c r="AC80" s="4">
        <v>9280.4</v>
      </c>
      <c r="AD80" s="4">
        <v>16153.95</v>
      </c>
      <c r="AE80" s="4">
        <v>33266.300000000003</v>
      </c>
      <c r="AF80" s="4">
        <v>8695.6</v>
      </c>
      <c r="AG80" s="4">
        <v>24399.8</v>
      </c>
      <c r="AH80" s="4">
        <v>85162.8</v>
      </c>
      <c r="AI80" s="4">
        <v>8755.4500000000007</v>
      </c>
      <c r="AJ80" s="4">
        <v>42187.7</v>
      </c>
      <c r="AK80" s="4">
        <v>9000</v>
      </c>
      <c r="AL80" s="4">
        <v>48972.85</v>
      </c>
      <c r="AM80" s="4">
        <v>21690.65</v>
      </c>
      <c r="AN80" s="4">
        <v>4877.05</v>
      </c>
      <c r="AO80" s="4">
        <v>2285.4</v>
      </c>
      <c r="AP80" s="4">
        <v>12400</v>
      </c>
      <c r="AQ80" s="4">
        <v>7334.8</v>
      </c>
      <c r="AR80" s="4">
        <v>112417.45</v>
      </c>
      <c r="AS80" s="4">
        <v>7464</v>
      </c>
      <c r="AT80" s="4">
        <v>6955</v>
      </c>
      <c r="AU80" s="4">
        <v>4600.3999999999996</v>
      </c>
      <c r="AV80" s="4">
        <v>13528.2</v>
      </c>
      <c r="AW80" s="4">
        <v>4642.6000000000004</v>
      </c>
      <c r="AX80" s="4">
        <v>915.3</v>
      </c>
      <c r="AY80" s="4">
        <v>4696.3500000000004</v>
      </c>
      <c r="AZ80" s="4">
        <v>22651.599999999999</v>
      </c>
      <c r="BA80" s="4">
        <v>14529.9</v>
      </c>
      <c r="BB80" s="4">
        <v>68959.5</v>
      </c>
      <c r="BC80" s="4">
        <v>2231.1999999999998</v>
      </c>
      <c r="BD80" s="4">
        <v>51910.35</v>
      </c>
      <c r="BE80" s="4">
        <v>6376</v>
      </c>
      <c r="BF80" s="4">
        <f t="shared" si="48"/>
        <v>1085331.2</v>
      </c>
      <c r="BG80" s="4">
        <f t="shared" si="49"/>
        <v>369092.44999999995</v>
      </c>
      <c r="BH80" s="4">
        <f t="shared" si="50"/>
        <v>287800.15000000002</v>
      </c>
      <c r="BI80" s="4">
        <f t="shared" si="51"/>
        <v>428438.60000000003</v>
      </c>
    </row>
    <row r="81" spans="2:61" x14ac:dyDescent="0.25">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row>
    <row r="82" spans="2:61" x14ac:dyDescent="0.25">
      <c r="B82" s="78">
        <v>41</v>
      </c>
      <c r="C82" s="78"/>
      <c r="D82" s="78" t="s">
        <v>142</v>
      </c>
      <c r="E82" s="73">
        <f>E83+E84+E85+E86</f>
        <v>0</v>
      </c>
      <c r="F82" s="73">
        <f t="shared" ref="F82:BI82" si="52">F83+F84+F85+F86</f>
        <v>11160.5</v>
      </c>
      <c r="G82" s="73">
        <f t="shared" si="52"/>
        <v>0</v>
      </c>
      <c r="H82" s="73">
        <f t="shared" si="52"/>
        <v>0</v>
      </c>
      <c r="I82" s="73">
        <f t="shared" si="52"/>
        <v>477</v>
      </c>
      <c r="J82" s="73">
        <f t="shared" si="52"/>
        <v>0</v>
      </c>
      <c r="K82" s="73">
        <f t="shared" si="52"/>
        <v>0</v>
      </c>
      <c r="L82" s="73">
        <f t="shared" si="52"/>
        <v>0</v>
      </c>
      <c r="M82" s="73">
        <f t="shared" si="52"/>
        <v>51953.3</v>
      </c>
      <c r="N82" s="73">
        <f t="shared" si="52"/>
        <v>0</v>
      </c>
      <c r="O82" s="73">
        <f t="shared" si="52"/>
        <v>144053.6</v>
      </c>
      <c r="P82" s="73">
        <f t="shared" si="52"/>
        <v>40735</v>
      </c>
      <c r="Q82" s="73">
        <f t="shared" si="52"/>
        <v>0</v>
      </c>
      <c r="R82" s="73">
        <f t="shared" si="52"/>
        <v>0</v>
      </c>
      <c r="S82" s="73">
        <f t="shared" si="52"/>
        <v>0</v>
      </c>
      <c r="T82" s="73">
        <f t="shared" si="52"/>
        <v>0</v>
      </c>
      <c r="U82" s="73">
        <f t="shared" si="52"/>
        <v>0</v>
      </c>
      <c r="V82" s="73">
        <f t="shared" si="52"/>
        <v>0</v>
      </c>
      <c r="W82" s="73">
        <f t="shared" si="52"/>
        <v>7233</v>
      </c>
      <c r="X82" s="73">
        <f t="shared" si="52"/>
        <v>331.9</v>
      </c>
      <c r="Y82" s="73">
        <f t="shared" si="52"/>
        <v>0</v>
      </c>
      <c r="Z82" s="73">
        <f t="shared" si="52"/>
        <v>335607.85</v>
      </c>
      <c r="AA82" s="73">
        <f t="shared" si="52"/>
        <v>0</v>
      </c>
      <c r="AB82" s="73">
        <f t="shared" si="52"/>
        <v>292</v>
      </c>
      <c r="AC82" s="73">
        <f t="shared" si="52"/>
        <v>720</v>
      </c>
      <c r="AD82" s="73">
        <f t="shared" si="52"/>
        <v>0</v>
      </c>
      <c r="AE82" s="73">
        <f t="shared" si="52"/>
        <v>1226</v>
      </c>
      <c r="AF82" s="73">
        <f t="shared" si="52"/>
        <v>16727</v>
      </c>
      <c r="AG82" s="73">
        <f t="shared" si="52"/>
        <v>7223.7</v>
      </c>
      <c r="AH82" s="73">
        <f t="shared" si="52"/>
        <v>0</v>
      </c>
      <c r="AI82" s="73">
        <f t="shared" si="52"/>
        <v>28546.25</v>
      </c>
      <c r="AJ82" s="73">
        <f t="shared" si="52"/>
        <v>6800</v>
      </c>
      <c r="AK82" s="73">
        <f t="shared" si="52"/>
        <v>87476.13</v>
      </c>
      <c r="AL82" s="73">
        <f t="shared" si="52"/>
        <v>0</v>
      </c>
      <c r="AM82" s="73">
        <f t="shared" si="52"/>
        <v>0</v>
      </c>
      <c r="AN82" s="73">
        <f t="shared" si="52"/>
        <v>0</v>
      </c>
      <c r="AO82" s="73">
        <f t="shared" si="52"/>
        <v>0</v>
      </c>
      <c r="AP82" s="73">
        <f t="shared" si="52"/>
        <v>0</v>
      </c>
      <c r="AQ82" s="73">
        <f t="shared" si="52"/>
        <v>0</v>
      </c>
      <c r="AR82" s="73">
        <f t="shared" si="52"/>
        <v>19897.400000000001</v>
      </c>
      <c r="AS82" s="73">
        <f t="shared" si="52"/>
        <v>0</v>
      </c>
      <c r="AT82" s="73">
        <f t="shared" si="52"/>
        <v>14222.2</v>
      </c>
      <c r="AU82" s="73">
        <f t="shared" si="52"/>
        <v>0</v>
      </c>
      <c r="AV82" s="73">
        <f t="shared" si="52"/>
        <v>6500</v>
      </c>
      <c r="AW82" s="73">
        <f t="shared" si="52"/>
        <v>0</v>
      </c>
      <c r="AX82" s="73">
        <f t="shared" si="52"/>
        <v>8070</v>
      </c>
      <c r="AY82" s="73">
        <f t="shared" si="52"/>
        <v>0</v>
      </c>
      <c r="AZ82" s="73">
        <f t="shared" si="52"/>
        <v>5731.2</v>
      </c>
      <c r="BA82" s="73">
        <f t="shared" si="52"/>
        <v>0</v>
      </c>
      <c r="BB82" s="73">
        <f t="shared" si="52"/>
        <v>40771.4</v>
      </c>
      <c r="BC82" s="73">
        <f t="shared" si="52"/>
        <v>0</v>
      </c>
      <c r="BD82" s="73">
        <f t="shared" si="52"/>
        <v>283220</v>
      </c>
      <c r="BE82" s="73">
        <f t="shared" si="52"/>
        <v>0</v>
      </c>
      <c r="BF82" s="73">
        <f t="shared" si="52"/>
        <v>1118975.43</v>
      </c>
      <c r="BG82" s="73">
        <f t="shared" si="52"/>
        <v>255612.40000000002</v>
      </c>
      <c r="BH82" s="73">
        <f t="shared" si="52"/>
        <v>397474.7</v>
      </c>
      <c r="BI82" s="73">
        <f t="shared" si="52"/>
        <v>465888.32999999996</v>
      </c>
    </row>
    <row r="83" spans="2:61" x14ac:dyDescent="0.25">
      <c r="C83">
        <v>410</v>
      </c>
      <c r="D83" t="s">
        <v>143</v>
      </c>
      <c r="E83" s="4">
        <v>0</v>
      </c>
      <c r="F83" s="4">
        <v>0</v>
      </c>
      <c r="G83" s="4">
        <v>0</v>
      </c>
      <c r="H83" s="4">
        <v>0</v>
      </c>
      <c r="I83" s="4">
        <v>0</v>
      </c>
      <c r="J83" s="4">
        <v>0</v>
      </c>
      <c r="K83" s="4">
        <v>0</v>
      </c>
      <c r="L83" s="4">
        <v>0</v>
      </c>
      <c r="M83" s="4">
        <v>0</v>
      </c>
      <c r="N83" s="4">
        <v>0</v>
      </c>
      <c r="O83" s="4">
        <v>0</v>
      </c>
      <c r="P83" s="4">
        <v>0</v>
      </c>
      <c r="Q83" s="4">
        <v>0</v>
      </c>
      <c r="R83" s="4">
        <v>0</v>
      </c>
      <c r="S83" s="4">
        <v>0</v>
      </c>
      <c r="T83" s="4">
        <v>0</v>
      </c>
      <c r="U83" s="4">
        <v>0</v>
      </c>
      <c r="V83" s="4">
        <v>0</v>
      </c>
      <c r="W83" s="4">
        <v>0</v>
      </c>
      <c r="X83" s="4">
        <v>0</v>
      </c>
      <c r="Y83" s="4">
        <v>0</v>
      </c>
      <c r="Z83" s="4">
        <v>0</v>
      </c>
      <c r="AA83" s="4">
        <v>0</v>
      </c>
      <c r="AB83" s="4">
        <v>0</v>
      </c>
      <c r="AC83" s="4">
        <v>0</v>
      </c>
      <c r="AD83" s="4">
        <v>0</v>
      </c>
      <c r="AE83" s="4">
        <v>0</v>
      </c>
      <c r="AF83" s="4">
        <v>0</v>
      </c>
      <c r="AG83" s="4">
        <v>0</v>
      </c>
      <c r="AH83" s="4">
        <v>0</v>
      </c>
      <c r="AI83" s="4">
        <v>0</v>
      </c>
      <c r="AJ83" s="4">
        <v>0</v>
      </c>
      <c r="AK83" s="4">
        <v>0</v>
      </c>
      <c r="AL83" s="4">
        <v>0</v>
      </c>
      <c r="AM83" s="4">
        <v>0</v>
      </c>
      <c r="AN83" s="4">
        <v>0</v>
      </c>
      <c r="AO83" s="4">
        <v>0</v>
      </c>
      <c r="AP83" s="4">
        <v>0</v>
      </c>
      <c r="AQ83" s="4">
        <v>0</v>
      </c>
      <c r="AR83" s="4">
        <v>0</v>
      </c>
      <c r="AS83" s="4">
        <v>0</v>
      </c>
      <c r="AT83" s="4">
        <v>0</v>
      </c>
      <c r="AU83" s="4">
        <v>0</v>
      </c>
      <c r="AV83" s="4">
        <v>0</v>
      </c>
      <c r="AW83" s="4">
        <v>0</v>
      </c>
      <c r="AX83" s="4">
        <v>0</v>
      </c>
      <c r="AY83" s="4">
        <v>0</v>
      </c>
      <c r="AZ83" s="4">
        <v>0</v>
      </c>
      <c r="BA83" s="4">
        <v>0</v>
      </c>
      <c r="BB83" s="4">
        <v>0</v>
      </c>
      <c r="BC83" s="4">
        <v>0</v>
      </c>
      <c r="BD83" s="4">
        <v>0</v>
      </c>
      <c r="BE83" s="4">
        <v>0</v>
      </c>
      <c r="BF83" s="4">
        <f t="shared" ref="BF83:BF86" si="53">SUM(E83:BE83)</f>
        <v>0</v>
      </c>
      <c r="BG83" s="4">
        <f t="shared" ref="BG83:BG86" si="54">SUM(E83:W83)</f>
        <v>0</v>
      </c>
      <c r="BH83" s="4">
        <f t="shared" ref="BH83:BH86" si="55">SUM(X83:AJ83)</f>
        <v>0</v>
      </c>
      <c r="BI83" s="4">
        <f t="shared" ref="BI83:BI86" si="56">SUM(AK83:BE83)</f>
        <v>0</v>
      </c>
    </row>
    <row r="84" spans="2:61" x14ac:dyDescent="0.25">
      <c r="C84">
        <v>411</v>
      </c>
      <c r="D84" t="s">
        <v>144</v>
      </c>
      <c r="E84" s="4">
        <v>0</v>
      </c>
      <c r="F84" s="4">
        <v>0</v>
      </c>
      <c r="G84" s="4">
        <v>0</v>
      </c>
      <c r="H84" s="4">
        <v>0</v>
      </c>
      <c r="I84" s="4">
        <v>0</v>
      </c>
      <c r="J84" s="4">
        <v>0</v>
      </c>
      <c r="K84" s="4">
        <v>0</v>
      </c>
      <c r="L84" s="4">
        <v>0</v>
      </c>
      <c r="M84" s="4">
        <v>0</v>
      </c>
      <c r="N84" s="4">
        <v>0</v>
      </c>
      <c r="O84" s="4">
        <v>0</v>
      </c>
      <c r="P84" s="4">
        <v>0</v>
      </c>
      <c r="Q84" s="4">
        <v>0</v>
      </c>
      <c r="R84" s="4">
        <v>0</v>
      </c>
      <c r="S84" s="4">
        <v>0</v>
      </c>
      <c r="T84" s="4">
        <v>0</v>
      </c>
      <c r="U84" s="4">
        <v>0</v>
      </c>
      <c r="V84" s="4">
        <v>0</v>
      </c>
      <c r="W84" s="4">
        <v>0</v>
      </c>
      <c r="X84" s="4">
        <v>0</v>
      </c>
      <c r="Y84" s="4">
        <v>0</v>
      </c>
      <c r="Z84" s="4">
        <v>0</v>
      </c>
      <c r="AA84" s="4">
        <v>0</v>
      </c>
      <c r="AB84" s="4">
        <v>0</v>
      </c>
      <c r="AC84" s="4">
        <v>0</v>
      </c>
      <c r="AD84" s="4">
        <v>0</v>
      </c>
      <c r="AE84" s="4">
        <v>0</v>
      </c>
      <c r="AF84" s="4">
        <v>0</v>
      </c>
      <c r="AG84" s="4">
        <v>0</v>
      </c>
      <c r="AH84" s="4">
        <v>0</v>
      </c>
      <c r="AI84" s="4">
        <v>0</v>
      </c>
      <c r="AJ84" s="4">
        <v>0</v>
      </c>
      <c r="AK84" s="4">
        <v>0</v>
      </c>
      <c r="AL84" s="4">
        <v>0</v>
      </c>
      <c r="AM84" s="4">
        <v>0</v>
      </c>
      <c r="AN84" s="4">
        <v>0</v>
      </c>
      <c r="AO84" s="4">
        <v>0</v>
      </c>
      <c r="AP84" s="4">
        <v>0</v>
      </c>
      <c r="AQ84" s="4">
        <v>0</v>
      </c>
      <c r="AR84" s="4">
        <v>0</v>
      </c>
      <c r="AS84" s="4">
        <v>0</v>
      </c>
      <c r="AT84" s="4">
        <v>0</v>
      </c>
      <c r="AU84" s="4">
        <v>0</v>
      </c>
      <c r="AV84" s="4">
        <v>0</v>
      </c>
      <c r="AW84" s="4">
        <v>0</v>
      </c>
      <c r="AX84" s="4">
        <v>0</v>
      </c>
      <c r="AY84" s="4">
        <v>0</v>
      </c>
      <c r="AZ84" s="4">
        <v>0</v>
      </c>
      <c r="BA84" s="4">
        <v>0</v>
      </c>
      <c r="BB84" s="4">
        <v>0</v>
      </c>
      <c r="BC84" s="4">
        <v>0</v>
      </c>
      <c r="BD84" s="4">
        <v>0</v>
      </c>
      <c r="BE84" s="4">
        <v>0</v>
      </c>
      <c r="BF84" s="4">
        <f t="shared" si="53"/>
        <v>0</v>
      </c>
      <c r="BG84" s="4">
        <f t="shared" si="54"/>
        <v>0</v>
      </c>
      <c r="BH84" s="4">
        <f t="shared" si="55"/>
        <v>0</v>
      </c>
      <c r="BI84" s="4">
        <f t="shared" si="56"/>
        <v>0</v>
      </c>
    </row>
    <row r="85" spans="2:61" x14ac:dyDescent="0.25">
      <c r="C85">
        <v>412</v>
      </c>
      <c r="D85" t="s">
        <v>145</v>
      </c>
      <c r="E85" s="4">
        <v>0</v>
      </c>
      <c r="F85" s="4">
        <v>11160.5</v>
      </c>
      <c r="G85" s="4">
        <v>0</v>
      </c>
      <c r="H85" s="4">
        <v>0</v>
      </c>
      <c r="I85" s="4">
        <v>477</v>
      </c>
      <c r="J85" s="4">
        <v>0</v>
      </c>
      <c r="K85" s="4">
        <v>0</v>
      </c>
      <c r="L85" s="4">
        <v>0</v>
      </c>
      <c r="M85" s="4">
        <v>51953.3</v>
      </c>
      <c r="N85" s="4">
        <v>0</v>
      </c>
      <c r="O85" s="4">
        <v>144053.6</v>
      </c>
      <c r="P85" s="4">
        <v>40735</v>
      </c>
      <c r="Q85" s="4">
        <v>0</v>
      </c>
      <c r="R85" s="4">
        <v>0</v>
      </c>
      <c r="S85" s="4">
        <v>0</v>
      </c>
      <c r="T85" s="4">
        <v>0</v>
      </c>
      <c r="U85" s="4">
        <v>0</v>
      </c>
      <c r="V85" s="4">
        <v>0</v>
      </c>
      <c r="W85" s="4">
        <v>7233</v>
      </c>
      <c r="X85" s="4">
        <v>331.9</v>
      </c>
      <c r="Y85" s="4">
        <v>0</v>
      </c>
      <c r="Z85" s="4">
        <v>335607.85</v>
      </c>
      <c r="AA85" s="4">
        <v>0</v>
      </c>
      <c r="AB85" s="4">
        <v>292</v>
      </c>
      <c r="AC85" s="4">
        <v>720</v>
      </c>
      <c r="AD85" s="4">
        <v>0</v>
      </c>
      <c r="AE85" s="4">
        <v>1226</v>
      </c>
      <c r="AF85" s="4">
        <v>16727</v>
      </c>
      <c r="AG85" s="4">
        <v>7223.7</v>
      </c>
      <c r="AH85" s="4">
        <v>0</v>
      </c>
      <c r="AI85" s="4">
        <v>28546.25</v>
      </c>
      <c r="AJ85" s="4">
        <v>6800</v>
      </c>
      <c r="AK85" s="4">
        <v>87476.13</v>
      </c>
      <c r="AL85" s="4">
        <v>0</v>
      </c>
      <c r="AM85" s="4">
        <v>0</v>
      </c>
      <c r="AN85" s="4">
        <v>0</v>
      </c>
      <c r="AO85" s="4">
        <v>0</v>
      </c>
      <c r="AP85" s="4">
        <v>0</v>
      </c>
      <c r="AQ85" s="4">
        <v>0</v>
      </c>
      <c r="AR85" s="4">
        <v>19897.400000000001</v>
      </c>
      <c r="AS85" s="4">
        <v>0</v>
      </c>
      <c r="AT85" s="4">
        <v>14222.2</v>
      </c>
      <c r="AU85" s="4">
        <v>0</v>
      </c>
      <c r="AV85" s="4">
        <v>6500</v>
      </c>
      <c r="AW85" s="4">
        <v>0</v>
      </c>
      <c r="AX85" s="4">
        <v>8070</v>
      </c>
      <c r="AY85" s="4">
        <v>0</v>
      </c>
      <c r="AZ85" s="4">
        <v>5731.2</v>
      </c>
      <c r="BA85" s="4">
        <v>0</v>
      </c>
      <c r="BB85" s="4">
        <v>40771.4</v>
      </c>
      <c r="BC85" s="4">
        <v>0</v>
      </c>
      <c r="BD85" s="4">
        <v>283220</v>
      </c>
      <c r="BE85" s="4">
        <v>0</v>
      </c>
      <c r="BF85" s="4">
        <f t="shared" si="53"/>
        <v>1118975.43</v>
      </c>
      <c r="BG85" s="4">
        <f t="shared" si="54"/>
        <v>255612.40000000002</v>
      </c>
      <c r="BH85" s="4">
        <f t="shared" si="55"/>
        <v>397474.7</v>
      </c>
      <c r="BI85" s="4">
        <f t="shared" si="56"/>
        <v>465888.32999999996</v>
      </c>
    </row>
    <row r="86" spans="2:61" x14ac:dyDescent="0.25">
      <c r="C86">
        <v>413</v>
      </c>
      <c r="D86" t="s">
        <v>146</v>
      </c>
      <c r="E86" s="4">
        <v>0</v>
      </c>
      <c r="F86" s="4">
        <v>0</v>
      </c>
      <c r="G86" s="4">
        <v>0</v>
      </c>
      <c r="H86" s="4">
        <v>0</v>
      </c>
      <c r="I86" s="4">
        <v>0</v>
      </c>
      <c r="J86" s="4">
        <v>0</v>
      </c>
      <c r="K86" s="4">
        <v>0</v>
      </c>
      <c r="L86" s="4">
        <v>0</v>
      </c>
      <c r="M86" s="4">
        <v>0</v>
      </c>
      <c r="N86" s="4">
        <v>0</v>
      </c>
      <c r="O86" s="4">
        <v>0</v>
      </c>
      <c r="P86" s="4">
        <v>0</v>
      </c>
      <c r="Q86" s="4">
        <v>0</v>
      </c>
      <c r="R86" s="4">
        <v>0</v>
      </c>
      <c r="S86" s="4">
        <v>0</v>
      </c>
      <c r="T86" s="4">
        <v>0</v>
      </c>
      <c r="U86" s="4">
        <v>0</v>
      </c>
      <c r="V86" s="4">
        <v>0</v>
      </c>
      <c r="W86" s="4">
        <v>0</v>
      </c>
      <c r="X86" s="4">
        <v>0</v>
      </c>
      <c r="Y86" s="4">
        <v>0</v>
      </c>
      <c r="Z86" s="4">
        <v>0</v>
      </c>
      <c r="AA86" s="4">
        <v>0</v>
      </c>
      <c r="AB86" s="4">
        <v>0</v>
      </c>
      <c r="AC86" s="4">
        <v>0</v>
      </c>
      <c r="AD86" s="4">
        <v>0</v>
      </c>
      <c r="AE86" s="4">
        <v>0</v>
      </c>
      <c r="AF86" s="4">
        <v>0</v>
      </c>
      <c r="AG86" s="4">
        <v>0</v>
      </c>
      <c r="AH86" s="4">
        <v>0</v>
      </c>
      <c r="AI86" s="4">
        <v>0</v>
      </c>
      <c r="AJ86" s="4">
        <v>0</v>
      </c>
      <c r="AK86" s="4">
        <v>0</v>
      </c>
      <c r="AL86" s="4">
        <v>0</v>
      </c>
      <c r="AM86" s="4">
        <v>0</v>
      </c>
      <c r="AN86" s="4">
        <v>0</v>
      </c>
      <c r="AO86" s="4">
        <v>0</v>
      </c>
      <c r="AP86" s="4">
        <v>0</v>
      </c>
      <c r="AQ86" s="4">
        <v>0</v>
      </c>
      <c r="AR86" s="4">
        <v>0</v>
      </c>
      <c r="AS86" s="4">
        <v>0</v>
      </c>
      <c r="AT86" s="4">
        <v>0</v>
      </c>
      <c r="AU86" s="4">
        <v>0</v>
      </c>
      <c r="AV86" s="4">
        <v>0</v>
      </c>
      <c r="AW86" s="4">
        <v>0</v>
      </c>
      <c r="AX86" s="4">
        <v>0</v>
      </c>
      <c r="AY86" s="4">
        <v>0</v>
      </c>
      <c r="AZ86" s="4">
        <v>0</v>
      </c>
      <c r="BA86" s="4">
        <v>0</v>
      </c>
      <c r="BB86" s="4">
        <v>0</v>
      </c>
      <c r="BC86" s="4">
        <v>0</v>
      </c>
      <c r="BD86" s="4">
        <v>0</v>
      </c>
      <c r="BE86" s="4">
        <v>0</v>
      </c>
      <c r="BF86" s="4">
        <f t="shared" si="53"/>
        <v>0</v>
      </c>
      <c r="BG86" s="4">
        <f t="shared" si="54"/>
        <v>0</v>
      </c>
      <c r="BH86" s="4">
        <f t="shared" si="55"/>
        <v>0</v>
      </c>
      <c r="BI86" s="4">
        <f t="shared" si="56"/>
        <v>0</v>
      </c>
    </row>
    <row r="87" spans="2:61" x14ac:dyDescent="0.25">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row>
    <row r="88" spans="2:61" x14ac:dyDescent="0.25">
      <c r="B88" s="78">
        <v>42</v>
      </c>
      <c r="C88" s="78"/>
      <c r="D88" s="78" t="s">
        <v>147</v>
      </c>
      <c r="E88" s="73">
        <f>E89+E90+E91+E92+E93+E94+E95+E96+E97</f>
        <v>619770.70000000007</v>
      </c>
      <c r="F88" s="73">
        <f t="shared" ref="F88:BI88" si="57">F89+F90+F91+F92+F93+F94+F95+F96+F97</f>
        <v>190344.80000000002</v>
      </c>
      <c r="G88" s="73">
        <f t="shared" si="57"/>
        <v>183024.4</v>
      </c>
      <c r="H88" s="73">
        <f t="shared" si="57"/>
        <v>559020.21000000008</v>
      </c>
      <c r="I88" s="73">
        <f t="shared" si="57"/>
        <v>3365331.39</v>
      </c>
      <c r="J88" s="73">
        <f t="shared" si="57"/>
        <v>2610446.2399999998</v>
      </c>
      <c r="K88" s="73">
        <f t="shared" si="57"/>
        <v>1798390.2700000003</v>
      </c>
      <c r="L88" s="73">
        <f t="shared" si="57"/>
        <v>29676947.590000004</v>
      </c>
      <c r="M88" s="73">
        <f t="shared" si="57"/>
        <v>2305636.65</v>
      </c>
      <c r="N88" s="73">
        <f t="shared" si="57"/>
        <v>46184.95</v>
      </c>
      <c r="O88" s="73">
        <f t="shared" si="57"/>
        <v>4792452.95</v>
      </c>
      <c r="P88" s="73">
        <f t="shared" si="57"/>
        <v>221498.49000000002</v>
      </c>
      <c r="Q88" s="73">
        <f t="shared" si="57"/>
        <v>86856.3</v>
      </c>
      <c r="R88" s="73">
        <f t="shared" si="57"/>
        <v>227438.34999999998</v>
      </c>
      <c r="S88" s="73">
        <f t="shared" si="57"/>
        <v>264959</v>
      </c>
      <c r="T88" s="73">
        <f t="shared" si="57"/>
        <v>741893.94</v>
      </c>
      <c r="U88" s="73">
        <f t="shared" si="57"/>
        <v>187856.95</v>
      </c>
      <c r="V88" s="73">
        <f t="shared" si="57"/>
        <v>316411.02</v>
      </c>
      <c r="W88" s="73">
        <f t="shared" si="57"/>
        <v>1691912.0500000003</v>
      </c>
      <c r="X88" s="73">
        <f t="shared" si="57"/>
        <v>379487.89</v>
      </c>
      <c r="Y88" s="73">
        <f t="shared" si="57"/>
        <v>1159934.45</v>
      </c>
      <c r="Z88" s="73">
        <f t="shared" si="57"/>
        <v>1751995.5</v>
      </c>
      <c r="AA88" s="73">
        <f t="shared" si="57"/>
        <v>100231.45</v>
      </c>
      <c r="AB88" s="73">
        <f t="shared" si="57"/>
        <v>164470.85000000003</v>
      </c>
      <c r="AC88" s="73">
        <f t="shared" si="57"/>
        <v>559713.1</v>
      </c>
      <c r="AD88" s="73">
        <f t="shared" si="57"/>
        <v>729894.18</v>
      </c>
      <c r="AE88" s="73">
        <f t="shared" si="57"/>
        <v>550379.23</v>
      </c>
      <c r="AF88" s="73">
        <f t="shared" si="57"/>
        <v>694749.9</v>
      </c>
      <c r="AG88" s="73">
        <f t="shared" si="57"/>
        <v>1575063.1199999999</v>
      </c>
      <c r="AH88" s="73">
        <f t="shared" si="57"/>
        <v>3144008.74</v>
      </c>
      <c r="AI88" s="73">
        <f t="shared" si="57"/>
        <v>263436.25</v>
      </c>
      <c r="AJ88" s="73">
        <f t="shared" si="57"/>
        <v>135981.9</v>
      </c>
      <c r="AK88" s="73">
        <f t="shared" si="57"/>
        <v>1213362.48</v>
      </c>
      <c r="AL88" s="73">
        <f t="shared" si="57"/>
        <v>943599.3</v>
      </c>
      <c r="AM88" s="73">
        <f t="shared" si="57"/>
        <v>613280.4</v>
      </c>
      <c r="AN88" s="73">
        <f t="shared" si="57"/>
        <v>154219.88999999998</v>
      </c>
      <c r="AO88" s="73">
        <f t="shared" si="57"/>
        <v>1398045.47</v>
      </c>
      <c r="AP88" s="73">
        <f t="shared" si="57"/>
        <v>839622.3</v>
      </c>
      <c r="AQ88" s="73">
        <f t="shared" si="57"/>
        <v>364929.60000000003</v>
      </c>
      <c r="AR88" s="73">
        <f t="shared" si="57"/>
        <v>929028.03</v>
      </c>
      <c r="AS88" s="73">
        <f t="shared" si="57"/>
        <v>557444.78</v>
      </c>
      <c r="AT88" s="73">
        <f t="shared" si="57"/>
        <v>803264.20000000007</v>
      </c>
      <c r="AU88" s="73">
        <f t="shared" si="57"/>
        <v>244727.72</v>
      </c>
      <c r="AV88" s="73">
        <f t="shared" si="57"/>
        <v>1285249.9500000002</v>
      </c>
      <c r="AW88" s="73">
        <f t="shared" si="57"/>
        <v>479307.31</v>
      </c>
      <c r="AX88" s="73">
        <f t="shared" si="57"/>
        <v>172259.86000000002</v>
      </c>
      <c r="AY88" s="73">
        <f t="shared" si="57"/>
        <v>242095.06</v>
      </c>
      <c r="AZ88" s="73">
        <f t="shared" si="57"/>
        <v>933039.1</v>
      </c>
      <c r="BA88" s="73">
        <f t="shared" si="57"/>
        <v>321002.39999999997</v>
      </c>
      <c r="BB88" s="73">
        <f t="shared" si="57"/>
        <v>1057711.6499999999</v>
      </c>
      <c r="BC88" s="73">
        <f t="shared" si="57"/>
        <v>139001.25</v>
      </c>
      <c r="BD88" s="73">
        <f t="shared" si="57"/>
        <v>5767512.2999999989</v>
      </c>
      <c r="BE88" s="73">
        <f t="shared" si="57"/>
        <v>398744.61</v>
      </c>
      <c r="BF88" s="73">
        <f t="shared" si="57"/>
        <v>79953170.469999999</v>
      </c>
      <c r="BG88" s="73">
        <f t="shared" si="57"/>
        <v>49886376.25</v>
      </c>
      <c r="BH88" s="73">
        <f t="shared" si="57"/>
        <v>11209346.559999999</v>
      </c>
      <c r="BI88" s="73">
        <f t="shared" si="57"/>
        <v>18857447.66</v>
      </c>
    </row>
    <row r="89" spans="2:61" x14ac:dyDescent="0.25">
      <c r="C89">
        <v>420</v>
      </c>
      <c r="D89" t="s">
        <v>148</v>
      </c>
      <c r="E89" s="4">
        <v>38676.550000000003</v>
      </c>
      <c r="F89" s="4">
        <v>7974</v>
      </c>
      <c r="G89" s="4">
        <v>21411.65</v>
      </c>
      <c r="H89" s="4">
        <v>15906.7</v>
      </c>
      <c r="I89" s="4">
        <v>168023.6</v>
      </c>
      <c r="J89" s="4">
        <v>153375.04999999999</v>
      </c>
      <c r="K89" s="4">
        <v>134587.9</v>
      </c>
      <c r="L89" s="4">
        <v>518672.2</v>
      </c>
      <c r="M89" s="4">
        <v>56970.6</v>
      </c>
      <c r="N89" s="4">
        <v>1069.3499999999999</v>
      </c>
      <c r="O89" s="4">
        <v>286571.90000000002</v>
      </c>
      <c r="P89" s="4">
        <v>17123.849999999999</v>
      </c>
      <c r="Q89" s="4">
        <v>3105.05</v>
      </c>
      <c r="R89" s="4">
        <v>15759.1</v>
      </c>
      <c r="S89" s="4">
        <v>11216.95</v>
      </c>
      <c r="T89" s="4">
        <v>39853.9</v>
      </c>
      <c r="U89" s="4">
        <v>11136.3</v>
      </c>
      <c r="V89" s="4">
        <v>16629.5</v>
      </c>
      <c r="W89" s="4">
        <v>110548.65</v>
      </c>
      <c r="X89" s="4">
        <v>7990.95</v>
      </c>
      <c r="Y89" s="4">
        <v>51921.9</v>
      </c>
      <c r="Z89" s="4">
        <v>63659.95</v>
      </c>
      <c r="AA89" s="4">
        <v>2888.2</v>
      </c>
      <c r="AB89" s="4">
        <v>4576.8500000000004</v>
      </c>
      <c r="AC89" s="4">
        <v>16773.650000000001</v>
      </c>
      <c r="AD89" s="4">
        <v>41697.9</v>
      </c>
      <c r="AE89" s="4">
        <v>23915.9</v>
      </c>
      <c r="AF89" s="4">
        <v>12279.85</v>
      </c>
      <c r="AG89" s="4">
        <v>92982.75</v>
      </c>
      <c r="AH89" s="4">
        <v>114429.25</v>
      </c>
      <c r="AI89" s="4">
        <v>5716.8</v>
      </c>
      <c r="AJ89" s="4">
        <v>2950.1</v>
      </c>
      <c r="AK89" s="4">
        <v>76035.7</v>
      </c>
      <c r="AL89" s="4">
        <v>26983.95</v>
      </c>
      <c r="AM89" s="4">
        <v>27515.65</v>
      </c>
      <c r="AN89" s="4">
        <v>3185.05</v>
      </c>
      <c r="AO89" s="4">
        <v>32067.55</v>
      </c>
      <c r="AP89" s="4">
        <v>14280</v>
      </c>
      <c r="AQ89" s="4">
        <v>18672.7</v>
      </c>
      <c r="AR89" s="4">
        <v>36370.35</v>
      </c>
      <c r="AS89" s="4">
        <v>29433.95</v>
      </c>
      <c r="AT89" s="4">
        <v>37826.35</v>
      </c>
      <c r="AU89" s="4">
        <v>9529.85</v>
      </c>
      <c r="AV89" s="4">
        <v>0</v>
      </c>
      <c r="AW89" s="4">
        <v>21114.05</v>
      </c>
      <c r="AX89" s="4">
        <v>4756.7</v>
      </c>
      <c r="AY89" s="4">
        <v>7908.75</v>
      </c>
      <c r="AZ89" s="4">
        <v>53882.05</v>
      </c>
      <c r="BA89" s="4">
        <v>7701.45</v>
      </c>
      <c r="BB89" s="4">
        <v>26677.200000000001</v>
      </c>
      <c r="BC89" s="4">
        <v>5956.95</v>
      </c>
      <c r="BD89" s="4">
        <v>216126.95</v>
      </c>
      <c r="BE89" s="4">
        <v>12725.75</v>
      </c>
      <c r="BF89" s="4">
        <f t="shared" ref="BF89:BF97" si="58">SUM(E89:BE89)</f>
        <v>2739147.8000000007</v>
      </c>
      <c r="BG89" s="4">
        <f t="shared" ref="BG89:BG97" si="59">SUM(E89:W89)</f>
        <v>1628612.8</v>
      </c>
      <c r="BH89" s="4">
        <f t="shared" ref="BH89:BH97" si="60">SUM(X89:AJ89)</f>
        <v>441784.05</v>
      </c>
      <c r="BI89" s="4">
        <f t="shared" ref="BI89:BI97" si="61">SUM(AK89:BE89)</f>
        <v>668750.94999999995</v>
      </c>
    </row>
    <row r="90" spans="2:61" x14ac:dyDescent="0.25">
      <c r="C90">
        <v>421</v>
      </c>
      <c r="D90" t="s">
        <v>149</v>
      </c>
      <c r="E90" s="4">
        <v>18730.75</v>
      </c>
      <c r="F90" s="4">
        <v>3256</v>
      </c>
      <c r="G90" s="4">
        <v>2814.75</v>
      </c>
      <c r="H90" s="4">
        <v>14392.76</v>
      </c>
      <c r="I90" s="4">
        <v>96510.7</v>
      </c>
      <c r="J90" s="4">
        <v>45208.17</v>
      </c>
      <c r="K90" s="4">
        <v>31943.95</v>
      </c>
      <c r="L90" s="4">
        <v>957610.48</v>
      </c>
      <c r="M90" s="4">
        <v>19827.95</v>
      </c>
      <c r="N90" s="4">
        <v>1020</v>
      </c>
      <c r="O90" s="4">
        <v>199534.15</v>
      </c>
      <c r="P90" s="4">
        <v>24418.85</v>
      </c>
      <c r="Q90" s="4">
        <v>5278.8</v>
      </c>
      <c r="R90" s="4">
        <v>8175.7</v>
      </c>
      <c r="S90" s="4">
        <v>27641.95</v>
      </c>
      <c r="T90" s="4">
        <v>7522.2</v>
      </c>
      <c r="U90" s="4">
        <v>3441.9</v>
      </c>
      <c r="V90" s="4">
        <v>8627.5499999999993</v>
      </c>
      <c r="W90" s="4">
        <v>57272.45</v>
      </c>
      <c r="X90" s="4">
        <v>3326.5</v>
      </c>
      <c r="Y90" s="4">
        <v>20956.400000000001</v>
      </c>
      <c r="Z90" s="4">
        <v>11934.05</v>
      </c>
      <c r="AA90" s="4">
        <v>0</v>
      </c>
      <c r="AB90" s="4">
        <v>2221.75</v>
      </c>
      <c r="AC90" s="4">
        <v>740.5</v>
      </c>
      <c r="AD90" s="4">
        <v>43437.43</v>
      </c>
      <c r="AE90" s="4">
        <v>9444.75</v>
      </c>
      <c r="AF90" s="4">
        <v>4497.6499999999996</v>
      </c>
      <c r="AG90" s="4">
        <v>20712.150000000001</v>
      </c>
      <c r="AH90" s="4">
        <v>19892.75</v>
      </c>
      <c r="AI90" s="4">
        <v>2277</v>
      </c>
      <c r="AJ90" s="4">
        <v>2704.75</v>
      </c>
      <c r="AK90" s="4">
        <v>24567.93</v>
      </c>
      <c r="AL90" s="4">
        <v>11671.5</v>
      </c>
      <c r="AM90" s="4">
        <v>16255.9</v>
      </c>
      <c r="AN90" s="4">
        <v>851.25</v>
      </c>
      <c r="AO90" s="4">
        <v>56281.86</v>
      </c>
      <c r="AP90" s="4">
        <v>11307.9</v>
      </c>
      <c r="AQ90" s="4">
        <v>5992.75</v>
      </c>
      <c r="AR90" s="4">
        <v>33990.400000000001</v>
      </c>
      <c r="AS90" s="4">
        <v>5518.05</v>
      </c>
      <c r="AT90" s="4">
        <v>20210.5</v>
      </c>
      <c r="AU90" s="4">
        <v>5332.25</v>
      </c>
      <c r="AV90" s="4">
        <v>32404.35</v>
      </c>
      <c r="AW90" s="4">
        <v>13396.21</v>
      </c>
      <c r="AX90" s="4">
        <v>2740.75</v>
      </c>
      <c r="AY90" s="4">
        <v>1058.55</v>
      </c>
      <c r="AZ90" s="4">
        <v>30118.2</v>
      </c>
      <c r="BA90" s="4">
        <v>4923</v>
      </c>
      <c r="BB90" s="4">
        <v>15670.86</v>
      </c>
      <c r="BC90" s="4">
        <v>235.75</v>
      </c>
      <c r="BD90" s="4">
        <v>459225</v>
      </c>
      <c r="BE90" s="4">
        <v>8598.75</v>
      </c>
      <c r="BF90" s="4">
        <f t="shared" si="58"/>
        <v>2435726.4499999993</v>
      </c>
      <c r="BG90" s="4">
        <f t="shared" si="59"/>
        <v>1533229.0599999998</v>
      </c>
      <c r="BH90" s="4">
        <f t="shared" si="60"/>
        <v>142145.68</v>
      </c>
      <c r="BI90" s="4">
        <f t="shared" si="61"/>
        <v>760351.71</v>
      </c>
    </row>
    <row r="91" spans="2:61" x14ac:dyDescent="0.25">
      <c r="C91">
        <v>422</v>
      </c>
      <c r="D91" t="s">
        <v>150</v>
      </c>
      <c r="E91" s="4">
        <v>0</v>
      </c>
      <c r="F91" s="4">
        <v>0</v>
      </c>
      <c r="G91" s="4">
        <v>0</v>
      </c>
      <c r="H91" s="4">
        <v>0</v>
      </c>
      <c r="I91" s="4">
        <v>0</v>
      </c>
      <c r="J91" s="4">
        <v>0</v>
      </c>
      <c r="K91" s="4">
        <v>0</v>
      </c>
      <c r="L91" s="4">
        <v>0</v>
      </c>
      <c r="M91" s="4">
        <v>0</v>
      </c>
      <c r="N91" s="4">
        <v>0</v>
      </c>
      <c r="O91" s="4">
        <v>0</v>
      </c>
      <c r="P91" s="4">
        <v>0</v>
      </c>
      <c r="Q91" s="4">
        <v>0</v>
      </c>
      <c r="R91" s="4">
        <v>0</v>
      </c>
      <c r="S91" s="4">
        <v>0</v>
      </c>
      <c r="T91" s="4">
        <v>0</v>
      </c>
      <c r="U91" s="4">
        <v>0</v>
      </c>
      <c r="V91" s="4">
        <v>0</v>
      </c>
      <c r="W91" s="4">
        <v>0</v>
      </c>
      <c r="X91" s="4">
        <v>0</v>
      </c>
      <c r="Y91" s="4">
        <v>0</v>
      </c>
      <c r="Z91" s="4">
        <v>0</v>
      </c>
      <c r="AA91" s="4">
        <v>0</v>
      </c>
      <c r="AB91" s="4">
        <v>0</v>
      </c>
      <c r="AC91" s="4">
        <v>0</v>
      </c>
      <c r="AD91" s="4">
        <v>0</v>
      </c>
      <c r="AE91" s="4">
        <v>0</v>
      </c>
      <c r="AF91" s="4">
        <v>0</v>
      </c>
      <c r="AG91" s="4">
        <v>0</v>
      </c>
      <c r="AH91" s="4">
        <v>0</v>
      </c>
      <c r="AI91" s="4">
        <v>0</v>
      </c>
      <c r="AJ91" s="4">
        <v>0</v>
      </c>
      <c r="AK91" s="4">
        <v>0</v>
      </c>
      <c r="AL91" s="4">
        <v>0</v>
      </c>
      <c r="AM91" s="4">
        <v>0</v>
      </c>
      <c r="AN91" s="4">
        <v>0</v>
      </c>
      <c r="AO91" s="4">
        <v>0</v>
      </c>
      <c r="AP91" s="4">
        <v>0</v>
      </c>
      <c r="AQ91" s="4">
        <v>0</v>
      </c>
      <c r="AR91" s="4">
        <v>0</v>
      </c>
      <c r="AS91" s="4">
        <v>0</v>
      </c>
      <c r="AT91" s="4">
        <v>0</v>
      </c>
      <c r="AU91" s="4">
        <v>0</v>
      </c>
      <c r="AV91" s="4">
        <v>0</v>
      </c>
      <c r="AW91" s="4">
        <v>0</v>
      </c>
      <c r="AX91" s="4">
        <v>0</v>
      </c>
      <c r="AY91" s="4">
        <v>0</v>
      </c>
      <c r="AZ91" s="4">
        <v>0</v>
      </c>
      <c r="BA91" s="4">
        <v>0</v>
      </c>
      <c r="BB91" s="4">
        <v>0</v>
      </c>
      <c r="BC91" s="4">
        <v>0</v>
      </c>
      <c r="BD91" s="4">
        <v>0</v>
      </c>
      <c r="BE91" s="4">
        <v>0</v>
      </c>
      <c r="BF91" s="4">
        <f t="shared" si="58"/>
        <v>0</v>
      </c>
      <c r="BG91" s="4">
        <f t="shared" si="59"/>
        <v>0</v>
      </c>
      <c r="BH91" s="4">
        <f t="shared" si="60"/>
        <v>0</v>
      </c>
      <c r="BI91" s="4">
        <f t="shared" si="61"/>
        <v>0</v>
      </c>
    </row>
    <row r="92" spans="2:61" x14ac:dyDescent="0.25">
      <c r="C92">
        <v>423</v>
      </c>
      <c r="D92" t="s">
        <v>151</v>
      </c>
      <c r="E92" s="4">
        <v>2720</v>
      </c>
      <c r="F92" s="4">
        <v>0</v>
      </c>
      <c r="G92" s="4">
        <v>0</v>
      </c>
      <c r="H92" s="4">
        <v>0</v>
      </c>
      <c r="I92" s="4">
        <v>5910</v>
      </c>
      <c r="J92" s="4">
        <v>0</v>
      </c>
      <c r="K92" s="4">
        <v>0</v>
      </c>
      <c r="L92" s="4">
        <v>40787</v>
      </c>
      <c r="M92" s="4">
        <v>468.3</v>
      </c>
      <c r="N92" s="4">
        <v>0</v>
      </c>
      <c r="O92" s="4">
        <v>0</v>
      </c>
      <c r="P92" s="4">
        <v>0</v>
      </c>
      <c r="Q92" s="4">
        <v>1423.4</v>
      </c>
      <c r="R92" s="4">
        <v>0</v>
      </c>
      <c r="S92" s="4">
        <v>0</v>
      </c>
      <c r="T92" s="4">
        <v>0</v>
      </c>
      <c r="U92" s="4">
        <v>0</v>
      </c>
      <c r="V92" s="4">
        <v>8200</v>
      </c>
      <c r="W92" s="4">
        <v>6000</v>
      </c>
      <c r="X92" s="4">
        <v>34349.85</v>
      </c>
      <c r="Y92" s="4">
        <v>0</v>
      </c>
      <c r="Z92" s="4">
        <v>263640.7</v>
      </c>
      <c r="AA92" s="4">
        <v>0</v>
      </c>
      <c r="AB92" s="4">
        <v>0</v>
      </c>
      <c r="AC92" s="4">
        <v>0</v>
      </c>
      <c r="AD92" s="4">
        <v>0</v>
      </c>
      <c r="AE92" s="4">
        <v>0</v>
      </c>
      <c r="AF92" s="4">
        <v>0</v>
      </c>
      <c r="AG92" s="4">
        <v>2778</v>
      </c>
      <c r="AH92" s="4">
        <v>104218.75</v>
      </c>
      <c r="AI92" s="4">
        <v>0</v>
      </c>
      <c r="AJ92" s="4">
        <v>0</v>
      </c>
      <c r="AK92" s="4">
        <v>0</v>
      </c>
      <c r="AL92" s="4">
        <v>0</v>
      </c>
      <c r="AM92" s="4">
        <v>7852.75</v>
      </c>
      <c r="AN92" s="4">
        <v>0</v>
      </c>
      <c r="AO92" s="4">
        <v>0</v>
      </c>
      <c r="AP92" s="4">
        <v>0</v>
      </c>
      <c r="AQ92" s="4">
        <v>0</v>
      </c>
      <c r="AR92" s="4">
        <v>3168</v>
      </c>
      <c r="AS92" s="4">
        <v>36125</v>
      </c>
      <c r="AT92" s="4">
        <v>0</v>
      </c>
      <c r="AU92" s="4">
        <v>0</v>
      </c>
      <c r="AV92" s="4">
        <v>0</v>
      </c>
      <c r="AW92" s="4">
        <v>0</v>
      </c>
      <c r="AX92" s="4">
        <v>0</v>
      </c>
      <c r="AY92" s="4">
        <v>0</v>
      </c>
      <c r="AZ92" s="4">
        <v>0</v>
      </c>
      <c r="BA92" s="4">
        <v>6634.55</v>
      </c>
      <c r="BB92" s="4">
        <v>12354</v>
      </c>
      <c r="BC92" s="4">
        <v>0</v>
      </c>
      <c r="BD92" s="4">
        <v>91000</v>
      </c>
      <c r="BE92" s="4">
        <v>0</v>
      </c>
      <c r="BF92" s="4">
        <f t="shared" si="58"/>
        <v>627630.30000000005</v>
      </c>
      <c r="BG92" s="4">
        <f t="shared" si="59"/>
        <v>65508.700000000004</v>
      </c>
      <c r="BH92" s="4">
        <f t="shared" si="60"/>
        <v>404987.3</v>
      </c>
      <c r="BI92" s="4">
        <f t="shared" si="61"/>
        <v>157134.29999999999</v>
      </c>
    </row>
    <row r="93" spans="2:61" x14ac:dyDescent="0.25">
      <c r="C93">
        <v>424</v>
      </c>
      <c r="D93" t="s">
        <v>152</v>
      </c>
      <c r="E93" s="4">
        <v>517639.85</v>
      </c>
      <c r="F93" s="4">
        <v>174972.75</v>
      </c>
      <c r="G93" s="4">
        <v>145067.95000000001</v>
      </c>
      <c r="H93" s="4">
        <v>476978.2</v>
      </c>
      <c r="I93" s="4">
        <v>2978470.04</v>
      </c>
      <c r="J93" s="4">
        <v>2350535.54</v>
      </c>
      <c r="K93" s="4">
        <v>1365163.1</v>
      </c>
      <c r="L93" s="4">
        <v>27242466.510000002</v>
      </c>
      <c r="M93" s="4">
        <v>2115461.5499999998</v>
      </c>
      <c r="N93" s="4">
        <v>44095.6</v>
      </c>
      <c r="O93" s="4">
        <v>3980923.7</v>
      </c>
      <c r="P93" s="4">
        <v>131188.5</v>
      </c>
      <c r="Q93" s="4">
        <v>42860.800000000003</v>
      </c>
      <c r="R93" s="4">
        <v>151212.65</v>
      </c>
      <c r="S93" s="4">
        <v>230700.5</v>
      </c>
      <c r="T93" s="4">
        <v>607031.11</v>
      </c>
      <c r="U93" s="4">
        <v>144552.35</v>
      </c>
      <c r="V93" s="4">
        <v>210017.5</v>
      </c>
      <c r="W93" s="4">
        <v>1407716</v>
      </c>
      <c r="X93" s="4">
        <v>240896.9</v>
      </c>
      <c r="Y93" s="4">
        <v>983865.6</v>
      </c>
      <c r="Z93" s="4">
        <v>1282724.2</v>
      </c>
      <c r="AA93" s="4">
        <v>60830.2</v>
      </c>
      <c r="AB93" s="4">
        <v>95897.75</v>
      </c>
      <c r="AC93" s="4">
        <v>371760.7</v>
      </c>
      <c r="AD93" s="4">
        <v>467595.15</v>
      </c>
      <c r="AE93" s="4">
        <v>431020.35</v>
      </c>
      <c r="AF93" s="4">
        <v>374661</v>
      </c>
      <c r="AG93" s="4">
        <v>1159999.6000000001</v>
      </c>
      <c r="AH93" s="4">
        <v>2579517.1</v>
      </c>
      <c r="AI93" s="4">
        <v>181362.35</v>
      </c>
      <c r="AJ93" s="4">
        <v>110555.4</v>
      </c>
      <c r="AK93" s="4">
        <v>921566.95</v>
      </c>
      <c r="AL93" s="4">
        <v>584759</v>
      </c>
      <c r="AM93" s="4">
        <v>547919.05000000005</v>
      </c>
      <c r="AN93" s="4">
        <v>67999.95</v>
      </c>
      <c r="AO93" s="4">
        <v>1251399.01</v>
      </c>
      <c r="AP93" s="4">
        <v>564658.1</v>
      </c>
      <c r="AQ93" s="4">
        <v>295028.7</v>
      </c>
      <c r="AR93" s="4">
        <v>777001.9</v>
      </c>
      <c r="AS93" s="4">
        <v>249461.39</v>
      </c>
      <c r="AT93" s="4">
        <v>724604.3</v>
      </c>
      <c r="AU93" s="4">
        <v>150945.62</v>
      </c>
      <c r="AV93" s="4">
        <v>1204781.47</v>
      </c>
      <c r="AW93" s="4">
        <v>359812.85</v>
      </c>
      <c r="AX93" s="4">
        <v>95597.55</v>
      </c>
      <c r="AY93" s="4">
        <v>223940.01</v>
      </c>
      <c r="AZ93" s="4">
        <v>767937.6</v>
      </c>
      <c r="BA93" s="4">
        <v>280658.5</v>
      </c>
      <c r="BB93" s="4">
        <v>887790.34</v>
      </c>
      <c r="BC93" s="4">
        <v>93277.15</v>
      </c>
      <c r="BD93" s="4">
        <v>4606290.3099999996</v>
      </c>
      <c r="BE93" s="4">
        <v>252789.8</v>
      </c>
      <c r="BF93" s="4">
        <f t="shared" si="58"/>
        <v>67565960.049999997</v>
      </c>
      <c r="BG93" s="4">
        <f t="shared" si="59"/>
        <v>44317054.199999996</v>
      </c>
      <c r="BH93" s="4">
        <f t="shared" si="60"/>
        <v>8340686.3000000007</v>
      </c>
      <c r="BI93" s="4">
        <f t="shared" si="61"/>
        <v>14908219.550000001</v>
      </c>
    </row>
    <row r="94" spans="2:61" x14ac:dyDescent="0.25">
      <c r="C94">
        <v>425</v>
      </c>
      <c r="D94" t="s">
        <v>153</v>
      </c>
      <c r="E94" s="4">
        <v>10532.15</v>
      </c>
      <c r="F94" s="4">
        <v>2848.35</v>
      </c>
      <c r="G94" s="4">
        <v>102</v>
      </c>
      <c r="H94" s="4">
        <v>900</v>
      </c>
      <c r="I94" s="4">
        <v>40516.6</v>
      </c>
      <c r="J94" s="4">
        <v>30963.88</v>
      </c>
      <c r="K94" s="4">
        <v>17918</v>
      </c>
      <c r="L94" s="4">
        <v>253407.35</v>
      </c>
      <c r="M94" s="4">
        <v>29564.05</v>
      </c>
      <c r="N94" s="4">
        <v>0</v>
      </c>
      <c r="O94" s="4">
        <v>71216.66</v>
      </c>
      <c r="P94" s="4">
        <v>19337.34</v>
      </c>
      <c r="Q94" s="4">
        <v>689.95</v>
      </c>
      <c r="R94" s="4">
        <v>2253.25</v>
      </c>
      <c r="S94" s="4">
        <v>715.5</v>
      </c>
      <c r="T94" s="4">
        <v>79.5</v>
      </c>
      <c r="U94" s="4">
        <v>2100.75</v>
      </c>
      <c r="V94" s="4">
        <v>19490.07</v>
      </c>
      <c r="W94" s="4">
        <v>39143.35</v>
      </c>
      <c r="X94" s="4">
        <v>82103.64</v>
      </c>
      <c r="Y94" s="4">
        <v>26605.45</v>
      </c>
      <c r="Z94" s="4">
        <v>25961.85</v>
      </c>
      <c r="AA94" s="4">
        <v>0</v>
      </c>
      <c r="AB94" s="4">
        <v>51729.1</v>
      </c>
      <c r="AC94" s="4">
        <v>150959.65</v>
      </c>
      <c r="AD94" s="4">
        <v>135575.42000000001</v>
      </c>
      <c r="AE94" s="4">
        <v>67117.38</v>
      </c>
      <c r="AF94" s="4">
        <v>271510.34999999998</v>
      </c>
      <c r="AG94" s="4">
        <v>273732.96999999997</v>
      </c>
      <c r="AH94" s="4">
        <v>236328.65</v>
      </c>
      <c r="AI94" s="4">
        <v>32177</v>
      </c>
      <c r="AJ94" s="4">
        <v>1380</v>
      </c>
      <c r="AK94" s="4">
        <v>158601.9</v>
      </c>
      <c r="AL94" s="4">
        <v>285503.05</v>
      </c>
      <c r="AM94" s="4">
        <v>479.6</v>
      </c>
      <c r="AN94" s="4">
        <v>77491.59</v>
      </c>
      <c r="AO94" s="4">
        <v>3300</v>
      </c>
      <c r="AP94" s="4">
        <v>210457.75</v>
      </c>
      <c r="AQ94" s="4">
        <v>6546</v>
      </c>
      <c r="AR94" s="4">
        <v>8752.85</v>
      </c>
      <c r="AS94" s="4">
        <v>228527.18</v>
      </c>
      <c r="AT94" s="4">
        <v>8563.0499999999993</v>
      </c>
      <c r="AU94" s="4">
        <v>71958</v>
      </c>
      <c r="AV94" s="4">
        <v>16530.580000000002</v>
      </c>
      <c r="AW94" s="4">
        <v>84267.05</v>
      </c>
      <c r="AX94" s="4">
        <v>65833.100000000006</v>
      </c>
      <c r="AY94" s="4">
        <v>1877</v>
      </c>
      <c r="AZ94" s="4">
        <v>9668.15</v>
      </c>
      <c r="BA94" s="4">
        <v>2893.6</v>
      </c>
      <c r="BB94" s="4">
        <v>7210.6</v>
      </c>
      <c r="BC94" s="4">
        <v>39188.15</v>
      </c>
      <c r="BD94" s="4">
        <v>129171.85</v>
      </c>
      <c r="BE94" s="4">
        <v>105430.51</v>
      </c>
      <c r="BF94" s="4">
        <f t="shared" si="58"/>
        <v>3419211.77</v>
      </c>
      <c r="BG94" s="4">
        <f t="shared" si="59"/>
        <v>541778.75000000012</v>
      </c>
      <c r="BH94" s="4">
        <f t="shared" si="60"/>
        <v>1355181.46</v>
      </c>
      <c r="BI94" s="4">
        <f t="shared" si="61"/>
        <v>1522251.5600000003</v>
      </c>
    </row>
    <row r="95" spans="2:61" x14ac:dyDescent="0.25">
      <c r="C95">
        <v>426</v>
      </c>
      <c r="D95" t="s">
        <v>154</v>
      </c>
      <c r="E95" s="4">
        <v>31271.4</v>
      </c>
      <c r="F95" s="4">
        <v>1293.7</v>
      </c>
      <c r="G95" s="4">
        <v>13528.05</v>
      </c>
      <c r="H95" s="4">
        <v>50842.55</v>
      </c>
      <c r="I95" s="4">
        <v>75340.45</v>
      </c>
      <c r="J95" s="4">
        <v>30363.599999999999</v>
      </c>
      <c r="K95" s="4">
        <v>247135.32</v>
      </c>
      <c r="L95" s="4">
        <v>511864.7</v>
      </c>
      <c r="M95" s="4">
        <v>83344.2</v>
      </c>
      <c r="N95" s="4">
        <v>0</v>
      </c>
      <c r="O95" s="4">
        <v>243849.54</v>
      </c>
      <c r="P95" s="4">
        <v>29229.95</v>
      </c>
      <c r="Q95" s="4">
        <v>33498.300000000003</v>
      </c>
      <c r="R95" s="4">
        <v>50037.65</v>
      </c>
      <c r="S95" s="4">
        <v>-5315.9</v>
      </c>
      <c r="T95" s="4">
        <v>87207.23</v>
      </c>
      <c r="U95" s="4">
        <v>26106.15</v>
      </c>
      <c r="V95" s="4">
        <v>52846.400000000001</v>
      </c>
      <c r="W95" s="4">
        <v>71231.600000000006</v>
      </c>
      <c r="X95" s="4">
        <v>9620.0499999999993</v>
      </c>
      <c r="Y95" s="4">
        <v>75557.8</v>
      </c>
      <c r="Z95" s="4">
        <v>16638</v>
      </c>
      <c r="AA95" s="4">
        <v>31060.85</v>
      </c>
      <c r="AB95" s="4">
        <v>9482.7000000000007</v>
      </c>
      <c r="AC95" s="4">
        <v>19478.599999999999</v>
      </c>
      <c r="AD95" s="4">
        <v>41588.28</v>
      </c>
      <c r="AE95" s="4">
        <v>18880.849999999999</v>
      </c>
      <c r="AF95" s="4">
        <v>31801.05</v>
      </c>
      <c r="AG95" s="4">
        <v>24857.65</v>
      </c>
      <c r="AH95" s="4">
        <v>81287.240000000005</v>
      </c>
      <c r="AI95" s="4">
        <v>41903.1</v>
      </c>
      <c r="AJ95" s="4">
        <v>11360.7</v>
      </c>
      <c r="AK95" s="4">
        <v>32590</v>
      </c>
      <c r="AL95" s="4">
        <v>34681.800000000003</v>
      </c>
      <c r="AM95" s="4">
        <v>13257.45</v>
      </c>
      <c r="AN95" s="4">
        <v>4692.05</v>
      </c>
      <c r="AO95" s="4">
        <v>48002.25</v>
      </c>
      <c r="AP95" s="4">
        <v>38918.550000000003</v>
      </c>
      <c r="AQ95" s="4">
        <v>38689.449999999997</v>
      </c>
      <c r="AR95" s="4">
        <v>69389.53</v>
      </c>
      <c r="AS95" s="4">
        <v>8379.2099999999991</v>
      </c>
      <c r="AT95" s="4">
        <v>12060</v>
      </c>
      <c r="AU95" s="4">
        <v>6962</v>
      </c>
      <c r="AV95" s="4">
        <v>23185.75</v>
      </c>
      <c r="AW95" s="4">
        <v>717.15</v>
      </c>
      <c r="AX95" s="4">
        <v>3331.76</v>
      </c>
      <c r="AY95" s="4">
        <v>7310.75</v>
      </c>
      <c r="AZ95" s="4">
        <v>70833.100000000006</v>
      </c>
      <c r="BA95" s="4">
        <v>18191.3</v>
      </c>
      <c r="BB95" s="4">
        <v>107608.65</v>
      </c>
      <c r="BC95" s="4">
        <v>343.25</v>
      </c>
      <c r="BD95" s="4">
        <v>149845.09</v>
      </c>
      <c r="BE95" s="4">
        <v>18542.8</v>
      </c>
      <c r="BF95" s="4">
        <f t="shared" si="58"/>
        <v>2754723.649999999</v>
      </c>
      <c r="BG95" s="4">
        <f t="shared" si="59"/>
        <v>1633674.89</v>
      </c>
      <c r="BH95" s="4">
        <f t="shared" si="60"/>
        <v>413516.87</v>
      </c>
      <c r="BI95" s="4">
        <f t="shared" si="61"/>
        <v>707531.89</v>
      </c>
    </row>
    <row r="96" spans="2:61" x14ac:dyDescent="0.25">
      <c r="C96">
        <v>427</v>
      </c>
      <c r="D96" t="s">
        <v>155</v>
      </c>
      <c r="E96" s="4">
        <v>200</v>
      </c>
      <c r="F96" s="4">
        <v>0</v>
      </c>
      <c r="G96" s="4">
        <v>100</v>
      </c>
      <c r="H96" s="4">
        <v>0</v>
      </c>
      <c r="I96" s="4">
        <v>560</v>
      </c>
      <c r="J96" s="4">
        <v>0</v>
      </c>
      <c r="K96" s="4">
        <v>1642</v>
      </c>
      <c r="L96" s="4">
        <v>152139.35</v>
      </c>
      <c r="M96" s="4">
        <v>0</v>
      </c>
      <c r="N96" s="4">
        <v>0</v>
      </c>
      <c r="O96" s="4">
        <v>9886.35</v>
      </c>
      <c r="P96" s="4">
        <v>200</v>
      </c>
      <c r="Q96" s="4">
        <v>0</v>
      </c>
      <c r="R96" s="4">
        <v>0</v>
      </c>
      <c r="S96" s="4">
        <v>0</v>
      </c>
      <c r="T96" s="4">
        <v>0</v>
      </c>
      <c r="U96" s="4">
        <v>0</v>
      </c>
      <c r="V96" s="4">
        <v>600</v>
      </c>
      <c r="W96" s="4">
        <v>0</v>
      </c>
      <c r="X96" s="4">
        <v>0</v>
      </c>
      <c r="Y96" s="4">
        <v>1027.3</v>
      </c>
      <c r="Z96" s="4">
        <v>0</v>
      </c>
      <c r="AA96" s="4">
        <v>0</v>
      </c>
      <c r="AB96" s="4">
        <v>60</v>
      </c>
      <c r="AC96" s="4">
        <v>0</v>
      </c>
      <c r="AD96" s="4">
        <v>0</v>
      </c>
      <c r="AE96" s="4">
        <v>0</v>
      </c>
      <c r="AF96" s="4">
        <v>0</v>
      </c>
      <c r="AG96" s="4">
        <v>0</v>
      </c>
      <c r="AH96" s="4">
        <v>8335</v>
      </c>
      <c r="AI96" s="4">
        <v>0</v>
      </c>
      <c r="AJ96" s="4">
        <v>0</v>
      </c>
      <c r="AK96" s="4">
        <v>0</v>
      </c>
      <c r="AL96" s="4">
        <v>0</v>
      </c>
      <c r="AM96" s="4">
        <v>0</v>
      </c>
      <c r="AN96" s="4">
        <v>0</v>
      </c>
      <c r="AO96" s="4">
        <v>0</v>
      </c>
      <c r="AP96" s="4">
        <v>0</v>
      </c>
      <c r="AQ96" s="4">
        <v>0</v>
      </c>
      <c r="AR96" s="4">
        <v>355</v>
      </c>
      <c r="AS96" s="4">
        <v>0</v>
      </c>
      <c r="AT96" s="4">
        <v>0</v>
      </c>
      <c r="AU96" s="4">
        <v>0</v>
      </c>
      <c r="AV96" s="4">
        <v>7074.2</v>
      </c>
      <c r="AW96" s="4">
        <v>0</v>
      </c>
      <c r="AX96" s="4">
        <v>0</v>
      </c>
      <c r="AY96" s="4">
        <v>0</v>
      </c>
      <c r="AZ96" s="4">
        <v>600</v>
      </c>
      <c r="BA96" s="4">
        <v>0</v>
      </c>
      <c r="BB96" s="4">
        <v>400</v>
      </c>
      <c r="BC96" s="4">
        <v>0</v>
      </c>
      <c r="BD96" s="4">
        <v>115853.1</v>
      </c>
      <c r="BE96" s="4">
        <v>657</v>
      </c>
      <c r="BF96" s="4">
        <f t="shared" si="58"/>
        <v>299689.30000000005</v>
      </c>
      <c r="BG96" s="4">
        <f t="shared" si="59"/>
        <v>165327.70000000001</v>
      </c>
      <c r="BH96" s="4">
        <f t="shared" si="60"/>
        <v>9422.2999999999993</v>
      </c>
      <c r="BI96" s="4">
        <f t="shared" si="61"/>
        <v>124939.3</v>
      </c>
    </row>
    <row r="97" spans="2:61" x14ac:dyDescent="0.25">
      <c r="C97">
        <v>429</v>
      </c>
      <c r="D97" t="s">
        <v>156</v>
      </c>
      <c r="E97" s="4">
        <v>0</v>
      </c>
      <c r="F97" s="4">
        <v>0</v>
      </c>
      <c r="G97" s="4">
        <v>0</v>
      </c>
      <c r="H97" s="4">
        <v>0</v>
      </c>
      <c r="I97" s="4">
        <v>0</v>
      </c>
      <c r="J97" s="4">
        <v>0</v>
      </c>
      <c r="K97" s="4">
        <v>0</v>
      </c>
      <c r="L97" s="4">
        <v>0</v>
      </c>
      <c r="M97" s="4">
        <v>0</v>
      </c>
      <c r="N97" s="4">
        <v>0</v>
      </c>
      <c r="O97" s="4">
        <v>470.65</v>
      </c>
      <c r="P97" s="4">
        <v>0</v>
      </c>
      <c r="Q97" s="4">
        <v>0</v>
      </c>
      <c r="R97" s="4">
        <v>0</v>
      </c>
      <c r="S97" s="4">
        <v>0</v>
      </c>
      <c r="T97" s="4">
        <v>200</v>
      </c>
      <c r="U97" s="4">
        <v>519.5</v>
      </c>
      <c r="V97" s="4">
        <v>0</v>
      </c>
      <c r="W97" s="4">
        <v>0</v>
      </c>
      <c r="X97" s="4">
        <v>1200</v>
      </c>
      <c r="Y97" s="4">
        <v>0</v>
      </c>
      <c r="Z97" s="4">
        <v>87436.75</v>
      </c>
      <c r="AA97" s="4">
        <v>5452.2</v>
      </c>
      <c r="AB97" s="4">
        <v>502.7</v>
      </c>
      <c r="AC97" s="4">
        <v>0</v>
      </c>
      <c r="AD97" s="4">
        <v>0</v>
      </c>
      <c r="AE97" s="4">
        <v>0</v>
      </c>
      <c r="AF97" s="4">
        <v>0</v>
      </c>
      <c r="AG97" s="4">
        <v>0</v>
      </c>
      <c r="AH97" s="4">
        <v>0</v>
      </c>
      <c r="AI97" s="4">
        <v>0</v>
      </c>
      <c r="AJ97" s="4">
        <v>7030.95</v>
      </c>
      <c r="AK97" s="4">
        <v>0</v>
      </c>
      <c r="AL97" s="4">
        <v>0</v>
      </c>
      <c r="AM97" s="4">
        <v>0</v>
      </c>
      <c r="AN97" s="4">
        <v>0</v>
      </c>
      <c r="AO97" s="4">
        <v>6994.8</v>
      </c>
      <c r="AP97" s="4">
        <v>0</v>
      </c>
      <c r="AQ97" s="4">
        <v>0</v>
      </c>
      <c r="AR97" s="4">
        <v>0</v>
      </c>
      <c r="AS97" s="4">
        <v>0</v>
      </c>
      <c r="AT97" s="4">
        <v>0</v>
      </c>
      <c r="AU97" s="4">
        <v>0</v>
      </c>
      <c r="AV97" s="4">
        <v>1273.5999999999999</v>
      </c>
      <c r="AW97" s="4">
        <v>0</v>
      </c>
      <c r="AX97" s="4">
        <v>0</v>
      </c>
      <c r="AY97" s="4">
        <v>0</v>
      </c>
      <c r="AZ97" s="4">
        <v>0</v>
      </c>
      <c r="BA97" s="4">
        <v>0</v>
      </c>
      <c r="BB97" s="4">
        <v>0</v>
      </c>
      <c r="BC97" s="4">
        <v>0</v>
      </c>
      <c r="BD97" s="4">
        <v>0</v>
      </c>
      <c r="BE97" s="4">
        <v>0</v>
      </c>
      <c r="BF97" s="4">
        <f t="shared" si="58"/>
        <v>111081.15</v>
      </c>
      <c r="BG97" s="4">
        <f t="shared" si="59"/>
        <v>1190.1500000000001</v>
      </c>
      <c r="BH97" s="4">
        <f t="shared" si="60"/>
        <v>101622.59999999999</v>
      </c>
      <c r="BI97" s="4">
        <f t="shared" si="61"/>
        <v>8268.4</v>
      </c>
    </row>
    <row r="98" spans="2:61" x14ac:dyDescent="0.25">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row>
    <row r="99" spans="2:61" x14ac:dyDescent="0.25">
      <c r="B99" s="78">
        <v>43</v>
      </c>
      <c r="C99" s="78"/>
      <c r="D99" s="78" t="s">
        <v>157</v>
      </c>
      <c r="E99" s="73">
        <f>E100+E101+E102+E103</f>
        <v>0</v>
      </c>
      <c r="F99" s="73">
        <f t="shared" ref="F99:BI99" si="62">F100+F101+F102+F103</f>
        <v>2377.5</v>
      </c>
      <c r="G99" s="73">
        <f t="shared" si="62"/>
        <v>251</v>
      </c>
      <c r="H99" s="73">
        <f t="shared" si="62"/>
        <v>0</v>
      </c>
      <c r="I99" s="73">
        <f t="shared" si="62"/>
        <v>0</v>
      </c>
      <c r="J99" s="73">
        <f t="shared" si="62"/>
        <v>0</v>
      </c>
      <c r="K99" s="73">
        <f t="shared" si="62"/>
        <v>0</v>
      </c>
      <c r="L99" s="73">
        <f t="shared" si="62"/>
        <v>2069049.95</v>
      </c>
      <c r="M99" s="73">
        <f t="shared" si="62"/>
        <v>4456.2</v>
      </c>
      <c r="N99" s="73">
        <f t="shared" si="62"/>
        <v>15761.4</v>
      </c>
      <c r="O99" s="73">
        <f t="shared" si="62"/>
        <v>56613.1</v>
      </c>
      <c r="P99" s="73">
        <f t="shared" si="62"/>
        <v>0</v>
      </c>
      <c r="Q99" s="73">
        <f t="shared" si="62"/>
        <v>0</v>
      </c>
      <c r="R99" s="73">
        <f t="shared" si="62"/>
        <v>0</v>
      </c>
      <c r="S99" s="73">
        <f t="shared" si="62"/>
        <v>0</v>
      </c>
      <c r="T99" s="73">
        <f t="shared" si="62"/>
        <v>3600</v>
      </c>
      <c r="U99" s="73">
        <f t="shared" si="62"/>
        <v>100</v>
      </c>
      <c r="V99" s="73">
        <f t="shared" si="62"/>
        <v>3289.5</v>
      </c>
      <c r="W99" s="73">
        <f t="shared" si="62"/>
        <v>2329</v>
      </c>
      <c r="X99" s="73">
        <f t="shared" si="62"/>
        <v>0</v>
      </c>
      <c r="Y99" s="73">
        <f t="shared" si="62"/>
        <v>250</v>
      </c>
      <c r="Z99" s="73">
        <f t="shared" si="62"/>
        <v>0</v>
      </c>
      <c r="AA99" s="73">
        <f t="shared" si="62"/>
        <v>0</v>
      </c>
      <c r="AB99" s="73">
        <f t="shared" si="62"/>
        <v>12374.41</v>
      </c>
      <c r="AC99" s="73">
        <f t="shared" si="62"/>
        <v>0</v>
      </c>
      <c r="AD99" s="73">
        <f t="shared" si="62"/>
        <v>4893.58</v>
      </c>
      <c r="AE99" s="73">
        <f t="shared" si="62"/>
        <v>1633.75</v>
      </c>
      <c r="AF99" s="73">
        <f t="shared" si="62"/>
        <v>0</v>
      </c>
      <c r="AG99" s="73">
        <f t="shared" si="62"/>
        <v>250</v>
      </c>
      <c r="AH99" s="73">
        <f t="shared" si="62"/>
        <v>36568.25</v>
      </c>
      <c r="AI99" s="73">
        <f t="shared" si="62"/>
        <v>30.3</v>
      </c>
      <c r="AJ99" s="73">
        <f t="shared" si="62"/>
        <v>2622.6</v>
      </c>
      <c r="AK99" s="73">
        <f t="shared" si="62"/>
        <v>0</v>
      </c>
      <c r="AL99" s="73">
        <f t="shared" si="62"/>
        <v>33091.15</v>
      </c>
      <c r="AM99" s="73">
        <f t="shared" si="62"/>
        <v>0</v>
      </c>
      <c r="AN99" s="73">
        <f t="shared" si="62"/>
        <v>0</v>
      </c>
      <c r="AO99" s="73">
        <f t="shared" si="62"/>
        <v>0</v>
      </c>
      <c r="AP99" s="73">
        <f t="shared" si="62"/>
        <v>0</v>
      </c>
      <c r="AQ99" s="73">
        <f t="shared" si="62"/>
        <v>0</v>
      </c>
      <c r="AR99" s="73">
        <f t="shared" si="62"/>
        <v>651</v>
      </c>
      <c r="AS99" s="73">
        <f t="shared" si="62"/>
        <v>12.34</v>
      </c>
      <c r="AT99" s="73">
        <f t="shared" si="62"/>
        <v>0</v>
      </c>
      <c r="AU99" s="73">
        <f t="shared" si="62"/>
        <v>0</v>
      </c>
      <c r="AV99" s="73">
        <f t="shared" si="62"/>
        <v>0</v>
      </c>
      <c r="AW99" s="73">
        <f t="shared" si="62"/>
        <v>1704</v>
      </c>
      <c r="AX99" s="73">
        <f t="shared" si="62"/>
        <v>0</v>
      </c>
      <c r="AY99" s="73">
        <f t="shared" si="62"/>
        <v>0</v>
      </c>
      <c r="AZ99" s="73">
        <f t="shared" si="62"/>
        <v>0</v>
      </c>
      <c r="BA99" s="73">
        <f t="shared" si="62"/>
        <v>0</v>
      </c>
      <c r="BB99" s="73">
        <f t="shared" si="62"/>
        <v>0</v>
      </c>
      <c r="BC99" s="73">
        <f t="shared" si="62"/>
        <v>0</v>
      </c>
      <c r="BD99" s="73">
        <f t="shared" si="62"/>
        <v>0</v>
      </c>
      <c r="BE99" s="73">
        <f t="shared" si="62"/>
        <v>0</v>
      </c>
      <c r="BF99" s="73">
        <f t="shared" si="62"/>
        <v>2251909.0299999998</v>
      </c>
      <c r="BG99" s="73">
        <f t="shared" si="62"/>
        <v>2157827.65</v>
      </c>
      <c r="BH99" s="73">
        <f t="shared" si="62"/>
        <v>58622.890000000007</v>
      </c>
      <c r="BI99" s="73">
        <f t="shared" si="62"/>
        <v>35458.49</v>
      </c>
    </row>
    <row r="100" spans="2:61" x14ac:dyDescent="0.25">
      <c r="C100">
        <v>430</v>
      </c>
      <c r="D100" t="s">
        <v>158</v>
      </c>
      <c r="E100" s="4">
        <v>0</v>
      </c>
      <c r="F100" s="4">
        <v>2377.5</v>
      </c>
      <c r="G100" s="4">
        <v>0</v>
      </c>
      <c r="H100" s="4">
        <v>0</v>
      </c>
      <c r="I100" s="4">
        <v>0</v>
      </c>
      <c r="J100" s="4">
        <v>0</v>
      </c>
      <c r="K100" s="4">
        <v>0</v>
      </c>
      <c r="L100" s="4">
        <v>2069049.95</v>
      </c>
      <c r="M100" s="4">
        <v>4456.2</v>
      </c>
      <c r="N100" s="4">
        <v>0</v>
      </c>
      <c r="O100" s="4">
        <v>0</v>
      </c>
      <c r="P100" s="4">
        <v>0</v>
      </c>
      <c r="Q100" s="4">
        <v>0</v>
      </c>
      <c r="R100" s="4">
        <v>0</v>
      </c>
      <c r="S100" s="4">
        <v>0</v>
      </c>
      <c r="T100" s="4">
        <v>0</v>
      </c>
      <c r="U100" s="4">
        <v>0</v>
      </c>
      <c r="V100" s="4">
        <v>950</v>
      </c>
      <c r="W100" s="4">
        <v>2329</v>
      </c>
      <c r="X100" s="4">
        <v>0</v>
      </c>
      <c r="Y100" s="4">
        <v>250</v>
      </c>
      <c r="Z100" s="4">
        <v>0</v>
      </c>
      <c r="AA100" s="4">
        <v>0</v>
      </c>
      <c r="AB100" s="4">
        <v>98.86</v>
      </c>
      <c r="AC100" s="4">
        <v>0</v>
      </c>
      <c r="AD100" s="4">
        <v>4893.58</v>
      </c>
      <c r="AE100" s="4">
        <v>0</v>
      </c>
      <c r="AF100" s="4">
        <v>0</v>
      </c>
      <c r="AG100" s="4">
        <v>0</v>
      </c>
      <c r="AH100" s="4">
        <v>36568.25</v>
      </c>
      <c r="AI100" s="4">
        <v>30.3</v>
      </c>
      <c r="AJ100" s="4">
        <v>0</v>
      </c>
      <c r="AK100" s="4">
        <v>0</v>
      </c>
      <c r="AL100" s="4">
        <v>33091.15</v>
      </c>
      <c r="AM100" s="4">
        <v>0</v>
      </c>
      <c r="AN100" s="4">
        <v>0</v>
      </c>
      <c r="AO100" s="4">
        <v>0</v>
      </c>
      <c r="AP100" s="4">
        <v>0</v>
      </c>
      <c r="AQ100" s="4">
        <v>0</v>
      </c>
      <c r="AR100" s="4">
        <v>651</v>
      </c>
      <c r="AS100" s="4">
        <v>0</v>
      </c>
      <c r="AT100" s="4">
        <v>0</v>
      </c>
      <c r="AU100" s="4">
        <v>0</v>
      </c>
      <c r="AV100" s="4">
        <v>0</v>
      </c>
      <c r="AW100" s="4">
        <v>0</v>
      </c>
      <c r="AX100" s="4">
        <v>0</v>
      </c>
      <c r="AY100" s="4">
        <v>0</v>
      </c>
      <c r="AZ100" s="4">
        <v>0</v>
      </c>
      <c r="BA100" s="4">
        <v>0</v>
      </c>
      <c r="BB100" s="4">
        <v>0</v>
      </c>
      <c r="BC100" s="4">
        <v>0</v>
      </c>
      <c r="BD100" s="4">
        <v>0</v>
      </c>
      <c r="BE100" s="4">
        <v>0</v>
      </c>
      <c r="BF100" s="4">
        <f t="shared" ref="BF100:BF103" si="63">SUM(E100:BE100)</f>
        <v>2154745.7899999996</v>
      </c>
      <c r="BG100" s="4">
        <f t="shared" ref="BG100:BG103" si="64">SUM(E100:W100)</f>
        <v>2079162.65</v>
      </c>
      <c r="BH100" s="4">
        <f t="shared" ref="BH100:BH103" si="65">SUM(X100:AJ100)</f>
        <v>41840.990000000005</v>
      </c>
      <c r="BI100" s="4">
        <f t="shared" ref="BI100:BI103" si="66">SUM(AK100:BE100)</f>
        <v>33742.15</v>
      </c>
    </row>
    <row r="101" spans="2:61" x14ac:dyDescent="0.25">
      <c r="C101">
        <v>431</v>
      </c>
      <c r="D101" t="s">
        <v>159</v>
      </c>
      <c r="E101" s="4">
        <v>0</v>
      </c>
      <c r="F101" s="4">
        <v>0</v>
      </c>
      <c r="G101" s="4">
        <v>0</v>
      </c>
      <c r="H101" s="4">
        <v>0</v>
      </c>
      <c r="I101" s="4">
        <v>0</v>
      </c>
      <c r="J101" s="4">
        <v>0</v>
      </c>
      <c r="K101" s="4">
        <v>0</v>
      </c>
      <c r="L101" s="4">
        <v>0</v>
      </c>
      <c r="M101" s="4">
        <v>0</v>
      </c>
      <c r="N101" s="4">
        <v>0</v>
      </c>
      <c r="O101" s="4">
        <v>56613.1</v>
      </c>
      <c r="P101" s="4">
        <v>0</v>
      </c>
      <c r="Q101" s="4">
        <v>0</v>
      </c>
      <c r="R101" s="4">
        <v>0</v>
      </c>
      <c r="S101" s="4">
        <v>0</v>
      </c>
      <c r="T101" s="4">
        <v>3600</v>
      </c>
      <c r="U101" s="4">
        <v>0</v>
      </c>
      <c r="V101" s="4">
        <v>0</v>
      </c>
      <c r="W101" s="4">
        <v>0</v>
      </c>
      <c r="X101" s="4">
        <v>0</v>
      </c>
      <c r="Y101" s="4">
        <v>0</v>
      </c>
      <c r="Z101" s="4">
        <v>0</v>
      </c>
      <c r="AA101" s="4">
        <v>0</v>
      </c>
      <c r="AB101" s="4">
        <v>7354.15</v>
      </c>
      <c r="AC101" s="4">
        <v>0</v>
      </c>
      <c r="AD101" s="4">
        <v>0</v>
      </c>
      <c r="AE101" s="4">
        <v>0</v>
      </c>
      <c r="AF101" s="4">
        <v>0</v>
      </c>
      <c r="AG101" s="4">
        <v>0</v>
      </c>
      <c r="AH101" s="4">
        <v>0</v>
      </c>
      <c r="AI101" s="4">
        <v>0</v>
      </c>
      <c r="AJ101" s="4">
        <v>3137.1</v>
      </c>
      <c r="AK101" s="4">
        <v>0</v>
      </c>
      <c r="AL101" s="4">
        <v>0</v>
      </c>
      <c r="AM101" s="4">
        <v>0</v>
      </c>
      <c r="AN101" s="4">
        <v>0</v>
      </c>
      <c r="AO101" s="4">
        <v>0</v>
      </c>
      <c r="AP101" s="4">
        <v>0</v>
      </c>
      <c r="AQ101" s="4">
        <v>0</v>
      </c>
      <c r="AR101" s="4">
        <v>0</v>
      </c>
      <c r="AS101" s="4">
        <v>0</v>
      </c>
      <c r="AT101" s="4">
        <v>0</v>
      </c>
      <c r="AU101" s="4">
        <v>0</v>
      </c>
      <c r="AV101" s="4">
        <v>0</v>
      </c>
      <c r="AW101" s="4">
        <v>0</v>
      </c>
      <c r="AX101" s="4">
        <v>0</v>
      </c>
      <c r="AY101" s="4">
        <v>0</v>
      </c>
      <c r="AZ101" s="4">
        <v>0</v>
      </c>
      <c r="BA101" s="4">
        <v>0</v>
      </c>
      <c r="BB101" s="4">
        <v>0</v>
      </c>
      <c r="BC101" s="4">
        <v>0</v>
      </c>
      <c r="BD101" s="4">
        <v>0</v>
      </c>
      <c r="BE101" s="4">
        <v>0</v>
      </c>
      <c r="BF101" s="4">
        <f t="shared" si="63"/>
        <v>70704.350000000006</v>
      </c>
      <c r="BG101" s="4">
        <f t="shared" si="64"/>
        <v>60213.1</v>
      </c>
      <c r="BH101" s="4">
        <f t="shared" si="65"/>
        <v>10491.25</v>
      </c>
      <c r="BI101" s="4">
        <f t="shared" si="66"/>
        <v>0</v>
      </c>
    </row>
    <row r="102" spans="2:61" x14ac:dyDescent="0.25">
      <c r="C102">
        <v>432</v>
      </c>
      <c r="D102" t="s">
        <v>160</v>
      </c>
      <c r="E102" s="4">
        <v>0</v>
      </c>
      <c r="F102" s="4">
        <v>0</v>
      </c>
      <c r="G102" s="4">
        <v>11</v>
      </c>
      <c r="H102" s="4">
        <v>0</v>
      </c>
      <c r="I102" s="4">
        <v>0</v>
      </c>
      <c r="J102" s="4">
        <v>0</v>
      </c>
      <c r="K102" s="4">
        <v>0</v>
      </c>
      <c r="L102" s="4">
        <v>0</v>
      </c>
      <c r="M102" s="4">
        <v>0</v>
      </c>
      <c r="N102" s="4">
        <v>0</v>
      </c>
      <c r="O102" s="4">
        <v>0</v>
      </c>
      <c r="P102" s="4">
        <v>0</v>
      </c>
      <c r="Q102" s="4">
        <v>0</v>
      </c>
      <c r="R102" s="4">
        <v>0</v>
      </c>
      <c r="S102" s="4">
        <v>0</v>
      </c>
      <c r="T102" s="4">
        <v>0</v>
      </c>
      <c r="U102" s="4">
        <v>0</v>
      </c>
      <c r="V102" s="4">
        <v>-40.5</v>
      </c>
      <c r="W102" s="4">
        <v>0</v>
      </c>
      <c r="X102" s="4">
        <v>0</v>
      </c>
      <c r="Y102" s="4">
        <v>0</v>
      </c>
      <c r="Z102" s="4">
        <v>0</v>
      </c>
      <c r="AA102" s="4">
        <v>0</v>
      </c>
      <c r="AB102" s="4">
        <v>4921.3999999999996</v>
      </c>
      <c r="AC102" s="4">
        <v>0</v>
      </c>
      <c r="AD102" s="4">
        <v>0</v>
      </c>
      <c r="AE102" s="4">
        <v>0</v>
      </c>
      <c r="AF102" s="4">
        <v>0</v>
      </c>
      <c r="AG102" s="4">
        <v>0</v>
      </c>
      <c r="AH102" s="4">
        <v>0</v>
      </c>
      <c r="AI102" s="4">
        <v>0</v>
      </c>
      <c r="AJ102" s="4">
        <v>-614.5</v>
      </c>
      <c r="AK102" s="4">
        <v>0</v>
      </c>
      <c r="AL102" s="4">
        <v>0</v>
      </c>
      <c r="AM102" s="4">
        <v>0</v>
      </c>
      <c r="AN102" s="4">
        <v>0</v>
      </c>
      <c r="AO102" s="4">
        <v>0</v>
      </c>
      <c r="AP102" s="4">
        <v>0</v>
      </c>
      <c r="AQ102" s="4">
        <v>0</v>
      </c>
      <c r="AR102" s="4">
        <v>0</v>
      </c>
      <c r="AS102" s="4">
        <v>0</v>
      </c>
      <c r="AT102" s="4">
        <v>0</v>
      </c>
      <c r="AU102" s="4">
        <v>0</v>
      </c>
      <c r="AV102" s="4">
        <v>0</v>
      </c>
      <c r="AW102" s="4">
        <v>0</v>
      </c>
      <c r="AX102" s="4">
        <v>0</v>
      </c>
      <c r="AY102" s="4">
        <v>0</v>
      </c>
      <c r="AZ102" s="4">
        <v>0</v>
      </c>
      <c r="BA102" s="4">
        <v>0</v>
      </c>
      <c r="BB102" s="4">
        <v>0</v>
      </c>
      <c r="BC102" s="4">
        <v>0</v>
      </c>
      <c r="BD102" s="4">
        <v>0</v>
      </c>
      <c r="BE102" s="4">
        <v>0</v>
      </c>
      <c r="BF102" s="4">
        <f t="shared" si="63"/>
        <v>4277.3999999999996</v>
      </c>
      <c r="BG102" s="4">
        <f t="shared" si="64"/>
        <v>-29.5</v>
      </c>
      <c r="BH102" s="4">
        <f t="shared" si="65"/>
        <v>4306.8999999999996</v>
      </c>
      <c r="BI102" s="4">
        <f t="shared" si="66"/>
        <v>0</v>
      </c>
    </row>
    <row r="103" spans="2:61" x14ac:dyDescent="0.25">
      <c r="C103">
        <v>439</v>
      </c>
      <c r="D103" t="s">
        <v>161</v>
      </c>
      <c r="E103" s="4">
        <v>0</v>
      </c>
      <c r="F103" s="4">
        <v>0</v>
      </c>
      <c r="G103" s="4">
        <v>240</v>
      </c>
      <c r="H103" s="4">
        <v>0</v>
      </c>
      <c r="I103" s="4">
        <v>0</v>
      </c>
      <c r="J103" s="4">
        <v>0</v>
      </c>
      <c r="K103" s="4">
        <v>0</v>
      </c>
      <c r="L103" s="4">
        <v>0</v>
      </c>
      <c r="M103" s="4">
        <v>0</v>
      </c>
      <c r="N103" s="4">
        <v>15761.4</v>
      </c>
      <c r="O103" s="4">
        <v>0</v>
      </c>
      <c r="P103" s="4">
        <v>0</v>
      </c>
      <c r="Q103" s="4">
        <v>0</v>
      </c>
      <c r="R103" s="4">
        <v>0</v>
      </c>
      <c r="S103" s="4">
        <v>0</v>
      </c>
      <c r="T103" s="4">
        <v>0</v>
      </c>
      <c r="U103" s="4">
        <v>100</v>
      </c>
      <c r="V103" s="4">
        <v>2380</v>
      </c>
      <c r="W103" s="4">
        <v>0</v>
      </c>
      <c r="X103" s="4">
        <v>0</v>
      </c>
      <c r="Y103" s="4">
        <v>0</v>
      </c>
      <c r="Z103" s="4">
        <v>0</v>
      </c>
      <c r="AA103" s="4">
        <v>0</v>
      </c>
      <c r="AB103" s="4">
        <v>0</v>
      </c>
      <c r="AC103" s="4">
        <v>0</v>
      </c>
      <c r="AD103" s="4">
        <v>0</v>
      </c>
      <c r="AE103" s="4">
        <v>1633.75</v>
      </c>
      <c r="AF103" s="4">
        <v>0</v>
      </c>
      <c r="AG103" s="4">
        <v>250</v>
      </c>
      <c r="AH103" s="4">
        <v>0</v>
      </c>
      <c r="AI103" s="4">
        <v>0</v>
      </c>
      <c r="AJ103" s="4">
        <v>100</v>
      </c>
      <c r="AK103" s="4">
        <v>0</v>
      </c>
      <c r="AL103" s="4">
        <v>0</v>
      </c>
      <c r="AM103" s="4">
        <v>0</v>
      </c>
      <c r="AN103" s="4">
        <v>0</v>
      </c>
      <c r="AO103" s="4">
        <v>0</v>
      </c>
      <c r="AP103" s="4">
        <v>0</v>
      </c>
      <c r="AQ103" s="4">
        <v>0</v>
      </c>
      <c r="AR103" s="4">
        <v>0</v>
      </c>
      <c r="AS103" s="4">
        <v>12.34</v>
      </c>
      <c r="AT103" s="4">
        <v>0</v>
      </c>
      <c r="AU103" s="4">
        <v>0</v>
      </c>
      <c r="AV103" s="4">
        <v>0</v>
      </c>
      <c r="AW103" s="4">
        <v>1704</v>
      </c>
      <c r="AX103" s="4">
        <v>0</v>
      </c>
      <c r="AY103" s="4">
        <v>0</v>
      </c>
      <c r="AZ103" s="4">
        <v>0</v>
      </c>
      <c r="BA103" s="4">
        <v>0</v>
      </c>
      <c r="BB103" s="4">
        <v>0</v>
      </c>
      <c r="BC103" s="4">
        <v>0</v>
      </c>
      <c r="BD103" s="4">
        <v>0</v>
      </c>
      <c r="BE103" s="4">
        <v>0</v>
      </c>
      <c r="BF103" s="4">
        <f t="shared" si="63"/>
        <v>22181.49</v>
      </c>
      <c r="BG103" s="4">
        <f t="shared" si="64"/>
        <v>18481.400000000001</v>
      </c>
      <c r="BH103" s="4">
        <f t="shared" si="65"/>
        <v>1983.75</v>
      </c>
      <c r="BI103" s="4">
        <f t="shared" si="66"/>
        <v>1716.34</v>
      </c>
    </row>
    <row r="104" spans="2:61" x14ac:dyDescent="0.25">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row>
    <row r="105" spans="2:61" x14ac:dyDescent="0.25">
      <c r="B105" s="78">
        <v>44</v>
      </c>
      <c r="C105" s="78"/>
      <c r="D105" s="78" t="s">
        <v>162</v>
      </c>
      <c r="E105" s="73">
        <f>E106+E107+E108+E109+E110+E111+E112+E113+E114+E115</f>
        <v>102093.45999999999</v>
      </c>
      <c r="F105" s="73">
        <f t="shared" ref="F105:BI105" si="67">F106+F107+F108+F109+F110+F111+F112+F113+F114+F115</f>
        <v>42452.959999999999</v>
      </c>
      <c r="G105" s="73">
        <f t="shared" si="67"/>
        <v>117991.16</v>
      </c>
      <c r="H105" s="73">
        <f t="shared" si="67"/>
        <v>133431.52000000002</v>
      </c>
      <c r="I105" s="73">
        <f t="shared" si="67"/>
        <v>667441.69999999984</v>
      </c>
      <c r="J105" s="73">
        <f t="shared" si="67"/>
        <v>285068.71999999997</v>
      </c>
      <c r="K105" s="73">
        <f t="shared" si="67"/>
        <v>325915.59999999998</v>
      </c>
      <c r="L105" s="73">
        <f t="shared" si="67"/>
        <v>2762813.04</v>
      </c>
      <c r="M105" s="73">
        <f t="shared" si="67"/>
        <v>240416.06</v>
      </c>
      <c r="N105" s="73">
        <f t="shared" si="67"/>
        <v>22171.49</v>
      </c>
      <c r="O105" s="73">
        <f t="shared" si="67"/>
        <v>478776.92</v>
      </c>
      <c r="P105" s="73">
        <f t="shared" si="67"/>
        <v>73893.739999999991</v>
      </c>
      <c r="Q105" s="73">
        <f t="shared" si="67"/>
        <v>41616.6</v>
      </c>
      <c r="R105" s="73">
        <f t="shared" si="67"/>
        <v>33303.440000000002</v>
      </c>
      <c r="S105" s="73">
        <f t="shared" si="67"/>
        <v>20003.25</v>
      </c>
      <c r="T105" s="73">
        <f t="shared" si="67"/>
        <v>65605.98</v>
      </c>
      <c r="U105" s="73">
        <f t="shared" si="67"/>
        <v>41542.32</v>
      </c>
      <c r="V105" s="73">
        <f t="shared" si="67"/>
        <v>68546.63</v>
      </c>
      <c r="W105" s="73">
        <f t="shared" si="67"/>
        <v>398024.64</v>
      </c>
      <c r="X105" s="73">
        <f t="shared" si="67"/>
        <v>193376.98</v>
      </c>
      <c r="Y105" s="73">
        <f t="shared" si="67"/>
        <v>103740.98000000001</v>
      </c>
      <c r="Z105" s="73">
        <f t="shared" si="67"/>
        <v>325008.02</v>
      </c>
      <c r="AA105" s="73">
        <f t="shared" si="67"/>
        <v>29952.5</v>
      </c>
      <c r="AB105" s="73">
        <f t="shared" si="67"/>
        <v>34602.67</v>
      </c>
      <c r="AC105" s="73">
        <f t="shared" si="67"/>
        <v>69237.91</v>
      </c>
      <c r="AD105" s="73">
        <f t="shared" si="67"/>
        <v>212440.36</v>
      </c>
      <c r="AE105" s="73">
        <f t="shared" si="67"/>
        <v>18000.84</v>
      </c>
      <c r="AF105" s="73">
        <f t="shared" si="67"/>
        <v>223353.58000000002</v>
      </c>
      <c r="AG105" s="73">
        <f t="shared" si="67"/>
        <v>271073.18</v>
      </c>
      <c r="AH105" s="73">
        <f t="shared" si="67"/>
        <v>368575.01</v>
      </c>
      <c r="AI105" s="73">
        <f t="shared" si="67"/>
        <v>32106.799999999999</v>
      </c>
      <c r="AJ105" s="73">
        <f t="shared" si="67"/>
        <v>49655.72</v>
      </c>
      <c r="AK105" s="73">
        <f t="shared" si="67"/>
        <v>205255.97</v>
      </c>
      <c r="AL105" s="73">
        <f t="shared" si="67"/>
        <v>672284.12</v>
      </c>
      <c r="AM105" s="73">
        <f t="shared" si="67"/>
        <v>169019.23</v>
      </c>
      <c r="AN105" s="73">
        <f t="shared" si="67"/>
        <v>24353.9</v>
      </c>
      <c r="AO105" s="73">
        <f t="shared" si="67"/>
        <v>243892.87</v>
      </c>
      <c r="AP105" s="73">
        <f t="shared" si="67"/>
        <v>123263.25</v>
      </c>
      <c r="AQ105" s="73">
        <f t="shared" si="67"/>
        <v>53469.05</v>
      </c>
      <c r="AR105" s="73">
        <f t="shared" si="67"/>
        <v>626431.38</v>
      </c>
      <c r="AS105" s="73">
        <f t="shared" si="67"/>
        <v>151096.32000000001</v>
      </c>
      <c r="AT105" s="73">
        <f t="shared" si="67"/>
        <v>210897.55</v>
      </c>
      <c r="AU105" s="73">
        <f t="shared" si="67"/>
        <v>40623.950000000004</v>
      </c>
      <c r="AV105" s="73">
        <f t="shared" si="67"/>
        <v>142242.81999999998</v>
      </c>
      <c r="AW105" s="73">
        <f t="shared" si="67"/>
        <v>76869.51999999999</v>
      </c>
      <c r="AX105" s="73">
        <f t="shared" si="67"/>
        <v>18382.96</v>
      </c>
      <c r="AY105" s="73">
        <f t="shared" si="67"/>
        <v>60303.259999999995</v>
      </c>
      <c r="AZ105" s="73">
        <f t="shared" si="67"/>
        <v>179451.9</v>
      </c>
      <c r="BA105" s="73">
        <f t="shared" si="67"/>
        <v>43375.15</v>
      </c>
      <c r="BB105" s="73">
        <f t="shared" si="67"/>
        <v>256121.12</v>
      </c>
      <c r="BC105" s="73">
        <f t="shared" si="67"/>
        <v>20835.739999999998</v>
      </c>
      <c r="BD105" s="73">
        <f t="shared" si="67"/>
        <v>3278710.64</v>
      </c>
      <c r="BE105" s="73">
        <f t="shared" si="67"/>
        <v>94108.489999999991</v>
      </c>
      <c r="BF105" s="73">
        <f t="shared" si="67"/>
        <v>14543222.970000001</v>
      </c>
      <c r="BG105" s="73">
        <f t="shared" si="67"/>
        <v>5921109.2299999995</v>
      </c>
      <c r="BH105" s="73">
        <f t="shared" si="67"/>
        <v>1931124.55</v>
      </c>
      <c r="BI105" s="73">
        <f t="shared" si="67"/>
        <v>6690989.1899999995</v>
      </c>
    </row>
    <row r="106" spans="2:61" x14ac:dyDescent="0.25">
      <c r="C106">
        <v>440</v>
      </c>
      <c r="D106" t="s">
        <v>163</v>
      </c>
      <c r="E106" s="4">
        <v>17852.91</v>
      </c>
      <c r="F106" s="4">
        <v>14092.86</v>
      </c>
      <c r="G106" s="4">
        <v>7262.16</v>
      </c>
      <c r="H106" s="4">
        <v>7231.52</v>
      </c>
      <c r="I106" s="4">
        <v>147881.9</v>
      </c>
      <c r="J106" s="4">
        <v>110134.57</v>
      </c>
      <c r="K106" s="4">
        <v>92398.8</v>
      </c>
      <c r="L106" s="4">
        <v>839026.92</v>
      </c>
      <c r="M106" s="4">
        <v>42133.760000000002</v>
      </c>
      <c r="N106" s="4">
        <v>571.49</v>
      </c>
      <c r="O106" s="4">
        <v>153813.91</v>
      </c>
      <c r="P106" s="4">
        <v>6893.74</v>
      </c>
      <c r="Q106" s="4">
        <v>3224.6</v>
      </c>
      <c r="R106" s="4">
        <v>25.39</v>
      </c>
      <c r="S106" s="4">
        <v>0</v>
      </c>
      <c r="T106" s="4">
        <v>20393.48</v>
      </c>
      <c r="U106" s="4">
        <v>4934.32</v>
      </c>
      <c r="V106" s="4">
        <v>18651.38</v>
      </c>
      <c r="W106" s="4">
        <v>84414.84</v>
      </c>
      <c r="X106" s="4">
        <v>4036.93</v>
      </c>
      <c r="Y106" s="4">
        <v>39911.230000000003</v>
      </c>
      <c r="Z106" s="4">
        <v>32275.279999999999</v>
      </c>
      <c r="AA106" s="4">
        <v>1441.7</v>
      </c>
      <c r="AB106" s="4">
        <v>4166.67</v>
      </c>
      <c r="AC106" s="4">
        <v>10163.709999999999</v>
      </c>
      <c r="AD106" s="4">
        <v>12975.76</v>
      </c>
      <c r="AE106" s="4">
        <v>8325.84</v>
      </c>
      <c r="AF106" s="4">
        <v>0.03</v>
      </c>
      <c r="AG106" s="4">
        <v>24520.51</v>
      </c>
      <c r="AH106" s="4">
        <v>56099.360000000001</v>
      </c>
      <c r="AI106" s="4">
        <v>5382</v>
      </c>
      <c r="AJ106" s="4">
        <v>3125.72</v>
      </c>
      <c r="AK106" s="4">
        <v>189874.47</v>
      </c>
      <c r="AL106" s="4">
        <v>65144.7</v>
      </c>
      <c r="AM106" s="4">
        <v>36183.730000000003</v>
      </c>
      <c r="AN106" s="4">
        <v>5054.3</v>
      </c>
      <c r="AO106" s="4">
        <v>21296.17</v>
      </c>
      <c r="AP106" s="4">
        <v>26446.03</v>
      </c>
      <c r="AQ106" s="4">
        <v>18597.650000000001</v>
      </c>
      <c r="AR106" s="4">
        <v>38140.639999999999</v>
      </c>
      <c r="AS106" s="4">
        <v>38738.620000000003</v>
      </c>
      <c r="AT106" s="4">
        <v>60576.639999999999</v>
      </c>
      <c r="AU106" s="4">
        <v>6079.05</v>
      </c>
      <c r="AV106" s="4">
        <v>57507.01</v>
      </c>
      <c r="AW106" s="4">
        <v>20126.89</v>
      </c>
      <c r="AX106" s="4">
        <v>4114.5600000000004</v>
      </c>
      <c r="AY106" s="4">
        <v>11981.21</v>
      </c>
      <c r="AZ106" s="4">
        <v>42596.1</v>
      </c>
      <c r="BA106" s="4">
        <v>10597</v>
      </c>
      <c r="BB106" s="4">
        <v>41362.76</v>
      </c>
      <c r="BC106" s="4">
        <v>8877.09</v>
      </c>
      <c r="BD106" s="4">
        <v>337144.49</v>
      </c>
      <c r="BE106" s="4">
        <v>34166.39</v>
      </c>
      <c r="BF106" s="4">
        <f t="shared" ref="BF106:BF115" si="68">SUM(E106:BE106)</f>
        <v>2847968.7899999996</v>
      </c>
      <c r="BG106" s="4">
        <f t="shared" ref="BG106:BG115" si="69">SUM(E106:W106)</f>
        <v>1570938.55</v>
      </c>
      <c r="BH106" s="4">
        <f t="shared" ref="BH106:BH115" si="70">SUM(X106:AJ106)</f>
        <v>202424.73999999996</v>
      </c>
      <c r="BI106" s="4">
        <f t="shared" ref="BI106:BI115" si="71">SUM(AK106:BE106)</f>
        <v>1074605.4999999998</v>
      </c>
    </row>
    <row r="107" spans="2:61" x14ac:dyDescent="0.25">
      <c r="C107">
        <v>441</v>
      </c>
      <c r="D107" t="s">
        <v>164</v>
      </c>
      <c r="E107" s="4">
        <v>0</v>
      </c>
      <c r="F107" s="4">
        <v>0</v>
      </c>
      <c r="G107" s="4">
        <v>0</v>
      </c>
      <c r="H107" s="4">
        <v>0</v>
      </c>
      <c r="I107" s="4">
        <v>0</v>
      </c>
      <c r="J107" s="4">
        <v>0</v>
      </c>
      <c r="K107" s="4">
        <v>0</v>
      </c>
      <c r="L107" s="4">
        <v>0</v>
      </c>
      <c r="M107" s="4">
        <v>161440</v>
      </c>
      <c r="N107" s="4">
        <v>0</v>
      </c>
      <c r="O107" s="4">
        <v>0</v>
      </c>
      <c r="P107" s="4">
        <v>0</v>
      </c>
      <c r="Q107" s="4">
        <v>0</v>
      </c>
      <c r="R107" s="4">
        <v>0</v>
      </c>
      <c r="S107" s="4">
        <v>0</v>
      </c>
      <c r="T107" s="4">
        <v>0</v>
      </c>
      <c r="U107" s="4">
        <v>0</v>
      </c>
      <c r="V107" s="4">
        <v>0</v>
      </c>
      <c r="W107" s="4">
        <v>1850</v>
      </c>
      <c r="X107" s="4">
        <v>130067.05</v>
      </c>
      <c r="Y107" s="4">
        <v>0</v>
      </c>
      <c r="Z107" s="4">
        <v>0</v>
      </c>
      <c r="AA107" s="4">
        <v>0</v>
      </c>
      <c r="AB107" s="4">
        <v>0</v>
      </c>
      <c r="AC107" s="4">
        <v>0</v>
      </c>
      <c r="AD107" s="4">
        <v>67970.5</v>
      </c>
      <c r="AE107" s="4">
        <v>0</v>
      </c>
      <c r="AF107" s="4">
        <v>0</v>
      </c>
      <c r="AG107" s="4">
        <v>77540</v>
      </c>
      <c r="AH107" s="4">
        <v>53268</v>
      </c>
      <c r="AI107" s="4">
        <v>0</v>
      </c>
      <c r="AJ107" s="4">
        <v>4305</v>
      </c>
      <c r="AK107" s="4">
        <v>0</v>
      </c>
      <c r="AL107" s="4">
        <v>0</v>
      </c>
      <c r="AM107" s="4">
        <v>0</v>
      </c>
      <c r="AN107" s="4">
        <v>0</v>
      </c>
      <c r="AO107" s="4">
        <v>0</v>
      </c>
      <c r="AP107" s="4">
        <v>0</v>
      </c>
      <c r="AQ107" s="4">
        <v>0</v>
      </c>
      <c r="AR107" s="4">
        <v>34260</v>
      </c>
      <c r="AS107" s="4">
        <v>0</v>
      </c>
      <c r="AT107" s="4">
        <v>0</v>
      </c>
      <c r="AU107" s="4">
        <v>0</v>
      </c>
      <c r="AV107" s="4">
        <v>0</v>
      </c>
      <c r="AW107" s="4">
        <v>0</v>
      </c>
      <c r="AX107" s="4">
        <v>0</v>
      </c>
      <c r="AY107" s="4">
        <v>4485</v>
      </c>
      <c r="AZ107" s="4">
        <v>0</v>
      </c>
      <c r="BA107" s="4">
        <v>0</v>
      </c>
      <c r="BB107" s="4">
        <v>2337.5</v>
      </c>
      <c r="BC107" s="4">
        <v>0</v>
      </c>
      <c r="BD107" s="4">
        <v>0</v>
      </c>
      <c r="BE107" s="4">
        <v>0</v>
      </c>
      <c r="BF107" s="4">
        <f t="shared" si="68"/>
        <v>537523.05000000005</v>
      </c>
      <c r="BG107" s="4">
        <f t="shared" si="69"/>
        <v>163290</v>
      </c>
      <c r="BH107" s="4">
        <f t="shared" si="70"/>
        <v>333150.55</v>
      </c>
      <c r="BI107" s="4">
        <f t="shared" si="71"/>
        <v>41082.5</v>
      </c>
    </row>
    <row r="108" spans="2:61" x14ac:dyDescent="0.25">
      <c r="C108">
        <v>442</v>
      </c>
      <c r="D108" t="s">
        <v>165</v>
      </c>
      <c r="E108" s="4">
        <v>39</v>
      </c>
      <c r="F108" s="4">
        <v>0</v>
      </c>
      <c r="G108" s="4">
        <v>0</v>
      </c>
      <c r="H108" s="4">
        <v>0</v>
      </c>
      <c r="I108" s="4">
        <v>7367.22</v>
      </c>
      <c r="J108" s="4">
        <v>1524</v>
      </c>
      <c r="K108" s="4">
        <v>0</v>
      </c>
      <c r="L108" s="4">
        <v>35152.5</v>
      </c>
      <c r="M108" s="4">
        <v>0</v>
      </c>
      <c r="N108" s="4">
        <v>0</v>
      </c>
      <c r="O108" s="4">
        <v>3675</v>
      </c>
      <c r="P108" s="4">
        <v>0</v>
      </c>
      <c r="Q108" s="4">
        <v>17</v>
      </c>
      <c r="R108" s="4">
        <v>0</v>
      </c>
      <c r="S108" s="4">
        <v>3.25</v>
      </c>
      <c r="T108" s="4">
        <v>487.5</v>
      </c>
      <c r="U108" s="4">
        <v>0</v>
      </c>
      <c r="V108" s="4">
        <v>3.25</v>
      </c>
      <c r="W108" s="4">
        <v>180</v>
      </c>
      <c r="X108" s="4">
        <v>5</v>
      </c>
      <c r="Y108" s="4">
        <v>0</v>
      </c>
      <c r="Z108" s="4">
        <v>0</v>
      </c>
      <c r="AA108" s="4">
        <v>7.8</v>
      </c>
      <c r="AB108" s="4">
        <v>0</v>
      </c>
      <c r="AC108" s="4">
        <v>0</v>
      </c>
      <c r="AD108" s="4">
        <v>12</v>
      </c>
      <c r="AE108" s="4">
        <v>0</v>
      </c>
      <c r="AF108" s="4">
        <v>0</v>
      </c>
      <c r="AG108" s="4">
        <v>8055</v>
      </c>
      <c r="AH108" s="4">
        <v>0</v>
      </c>
      <c r="AI108" s="4">
        <v>0</v>
      </c>
      <c r="AJ108" s="4">
        <v>0</v>
      </c>
      <c r="AK108" s="4">
        <v>0</v>
      </c>
      <c r="AL108" s="4">
        <v>1181.8699999999999</v>
      </c>
      <c r="AM108" s="4">
        <v>0</v>
      </c>
      <c r="AN108" s="4">
        <v>0</v>
      </c>
      <c r="AO108" s="4">
        <v>0</v>
      </c>
      <c r="AP108" s="4">
        <v>20</v>
      </c>
      <c r="AQ108" s="4">
        <v>0</v>
      </c>
      <c r="AR108" s="4">
        <v>7381.54</v>
      </c>
      <c r="AS108" s="4">
        <v>0</v>
      </c>
      <c r="AT108" s="4">
        <v>380</v>
      </c>
      <c r="AU108" s="4">
        <v>0</v>
      </c>
      <c r="AV108" s="4">
        <v>1592.5</v>
      </c>
      <c r="AW108" s="4">
        <v>2087.2800000000002</v>
      </c>
      <c r="AX108" s="4">
        <v>0</v>
      </c>
      <c r="AY108" s="4">
        <v>0</v>
      </c>
      <c r="AZ108" s="4">
        <v>0</v>
      </c>
      <c r="BA108" s="4">
        <v>0</v>
      </c>
      <c r="BB108" s="4">
        <v>224.51</v>
      </c>
      <c r="BC108" s="4">
        <v>0</v>
      </c>
      <c r="BD108" s="4">
        <v>24069.279999999999</v>
      </c>
      <c r="BE108" s="4">
        <v>20</v>
      </c>
      <c r="BF108" s="4">
        <f t="shared" si="68"/>
        <v>93485.5</v>
      </c>
      <c r="BG108" s="4">
        <f t="shared" si="69"/>
        <v>48448.72</v>
      </c>
      <c r="BH108" s="4">
        <f t="shared" si="70"/>
        <v>8079.8</v>
      </c>
      <c r="BI108" s="4">
        <f t="shared" si="71"/>
        <v>36956.979999999996</v>
      </c>
    </row>
    <row r="109" spans="2:61" x14ac:dyDescent="0.25">
      <c r="C109">
        <v>443</v>
      </c>
      <c r="D109" t="s">
        <v>166</v>
      </c>
      <c r="E109" s="4">
        <v>23061.5</v>
      </c>
      <c r="F109" s="4">
        <v>26770.1</v>
      </c>
      <c r="G109" s="4">
        <v>108449</v>
      </c>
      <c r="H109" s="4">
        <v>75900</v>
      </c>
      <c r="I109" s="4">
        <v>397286.05</v>
      </c>
      <c r="J109" s="4">
        <v>129261.4</v>
      </c>
      <c r="K109" s="4">
        <v>133596.79999999999</v>
      </c>
      <c r="L109" s="4">
        <v>463774.9</v>
      </c>
      <c r="M109" s="4">
        <v>17322.3</v>
      </c>
      <c r="N109" s="4">
        <v>21000</v>
      </c>
      <c r="O109" s="4">
        <v>116419.95</v>
      </c>
      <c r="P109" s="4">
        <v>28680</v>
      </c>
      <c r="Q109" s="4">
        <v>10140</v>
      </c>
      <c r="R109" s="4">
        <v>28680</v>
      </c>
      <c r="S109" s="4">
        <v>19880</v>
      </c>
      <c r="T109" s="4">
        <v>42525</v>
      </c>
      <c r="U109" s="4">
        <v>0</v>
      </c>
      <c r="V109" s="4">
        <v>19270</v>
      </c>
      <c r="W109" s="4">
        <v>120582.25</v>
      </c>
      <c r="X109" s="4">
        <v>10590</v>
      </c>
      <c r="Y109" s="4">
        <v>43940</v>
      </c>
      <c r="Z109" s="4">
        <v>274664.15000000002</v>
      </c>
      <c r="AA109" s="4">
        <v>13934</v>
      </c>
      <c r="AB109" s="4">
        <v>22720</v>
      </c>
      <c r="AC109" s="4">
        <v>16912.099999999999</v>
      </c>
      <c r="AD109" s="4">
        <v>74221.3</v>
      </c>
      <c r="AE109" s="4">
        <v>2060</v>
      </c>
      <c r="AF109" s="4">
        <v>81125</v>
      </c>
      <c r="AG109" s="4">
        <v>88417.3</v>
      </c>
      <c r="AH109" s="4">
        <v>45744.6</v>
      </c>
      <c r="AI109" s="4">
        <v>0</v>
      </c>
      <c r="AJ109" s="4">
        <v>41625</v>
      </c>
      <c r="AK109" s="4">
        <v>0</v>
      </c>
      <c r="AL109" s="4">
        <v>145812.70000000001</v>
      </c>
      <c r="AM109" s="4">
        <v>76660.25</v>
      </c>
      <c r="AN109" s="4">
        <v>8823.25</v>
      </c>
      <c r="AO109" s="4">
        <v>214861.15</v>
      </c>
      <c r="AP109" s="4">
        <v>25952.2</v>
      </c>
      <c r="AQ109" s="4">
        <v>11958</v>
      </c>
      <c r="AR109" s="4">
        <v>397274.5</v>
      </c>
      <c r="AS109" s="4">
        <v>12122.4</v>
      </c>
      <c r="AT109" s="4">
        <v>81650</v>
      </c>
      <c r="AU109" s="4">
        <v>21720</v>
      </c>
      <c r="AV109" s="4">
        <v>0</v>
      </c>
      <c r="AW109" s="4">
        <v>27285.35</v>
      </c>
      <c r="AX109" s="4">
        <v>2395</v>
      </c>
      <c r="AY109" s="4">
        <v>39503.699999999997</v>
      </c>
      <c r="AZ109" s="4">
        <v>70198.3</v>
      </c>
      <c r="BA109" s="4">
        <v>32558.15</v>
      </c>
      <c r="BB109" s="4">
        <v>91929.45</v>
      </c>
      <c r="BC109" s="4">
        <v>3000</v>
      </c>
      <c r="BD109" s="4">
        <v>283381.40000000002</v>
      </c>
      <c r="BE109" s="4">
        <v>43754.6</v>
      </c>
      <c r="BF109" s="4">
        <f t="shared" si="68"/>
        <v>4089393.1</v>
      </c>
      <c r="BG109" s="4">
        <f t="shared" si="69"/>
        <v>1782599.25</v>
      </c>
      <c r="BH109" s="4">
        <f t="shared" si="70"/>
        <v>715953.45000000007</v>
      </c>
      <c r="BI109" s="4">
        <f t="shared" si="71"/>
        <v>1590840.4</v>
      </c>
    </row>
    <row r="110" spans="2:61" x14ac:dyDescent="0.25">
      <c r="C110">
        <v>444</v>
      </c>
      <c r="D110" t="s">
        <v>106</v>
      </c>
      <c r="E110" s="4">
        <v>59653.15</v>
      </c>
      <c r="F110" s="4">
        <v>0</v>
      </c>
      <c r="G110" s="4">
        <v>0</v>
      </c>
      <c r="H110" s="4">
        <v>0</v>
      </c>
      <c r="I110" s="4">
        <v>42885</v>
      </c>
      <c r="J110" s="4">
        <v>10</v>
      </c>
      <c r="K110" s="4">
        <v>0</v>
      </c>
      <c r="L110" s="4">
        <v>0</v>
      </c>
      <c r="M110" s="4">
        <v>10</v>
      </c>
      <c r="N110" s="4">
        <v>0</v>
      </c>
      <c r="O110" s="4">
        <v>17041</v>
      </c>
      <c r="P110" s="4">
        <v>0</v>
      </c>
      <c r="Q110" s="4">
        <v>23255</v>
      </c>
      <c r="R110" s="4">
        <v>0</v>
      </c>
      <c r="S110" s="4">
        <v>0</v>
      </c>
      <c r="T110" s="4">
        <v>0</v>
      </c>
      <c r="U110" s="4">
        <v>5200</v>
      </c>
      <c r="V110" s="4">
        <v>0</v>
      </c>
      <c r="W110" s="4">
        <v>0</v>
      </c>
      <c r="X110" s="4">
        <v>0</v>
      </c>
      <c r="Y110" s="4">
        <v>0</v>
      </c>
      <c r="Z110" s="4">
        <v>0</v>
      </c>
      <c r="AA110" s="4">
        <v>0</v>
      </c>
      <c r="AB110" s="4">
        <v>7716</v>
      </c>
      <c r="AC110" s="4">
        <v>7760</v>
      </c>
      <c r="AD110" s="4">
        <v>5</v>
      </c>
      <c r="AE110" s="4">
        <v>25</v>
      </c>
      <c r="AF110" s="4">
        <v>104093.55</v>
      </c>
      <c r="AG110" s="4">
        <v>0</v>
      </c>
      <c r="AH110" s="4">
        <v>19535</v>
      </c>
      <c r="AI110" s="4">
        <v>0</v>
      </c>
      <c r="AJ110" s="4">
        <v>0</v>
      </c>
      <c r="AK110" s="4">
        <v>0</v>
      </c>
      <c r="AL110" s="4">
        <v>11640</v>
      </c>
      <c r="AM110" s="4">
        <v>0</v>
      </c>
      <c r="AN110" s="4">
        <v>0</v>
      </c>
      <c r="AO110" s="4">
        <v>0</v>
      </c>
      <c r="AP110" s="4">
        <v>0</v>
      </c>
      <c r="AQ110" s="4">
        <v>0</v>
      </c>
      <c r="AR110" s="4">
        <v>0</v>
      </c>
      <c r="AS110" s="4">
        <v>48500</v>
      </c>
      <c r="AT110" s="4">
        <v>0</v>
      </c>
      <c r="AU110" s="4">
        <v>0</v>
      </c>
      <c r="AV110" s="4">
        <v>0</v>
      </c>
      <c r="AW110" s="4">
        <v>15520</v>
      </c>
      <c r="AX110" s="4">
        <v>0</v>
      </c>
      <c r="AY110" s="4">
        <v>0</v>
      </c>
      <c r="AZ110" s="4">
        <v>19325</v>
      </c>
      <c r="BA110" s="4">
        <v>40</v>
      </c>
      <c r="BB110" s="4">
        <v>7895</v>
      </c>
      <c r="BC110" s="4">
        <v>0</v>
      </c>
      <c r="BD110" s="4">
        <v>1012456.2</v>
      </c>
      <c r="BE110" s="4">
        <v>16167.5</v>
      </c>
      <c r="BF110" s="4">
        <f t="shared" si="68"/>
        <v>1418732.4</v>
      </c>
      <c r="BG110" s="4">
        <f t="shared" si="69"/>
        <v>148054.15</v>
      </c>
      <c r="BH110" s="4">
        <f t="shared" si="70"/>
        <v>139134.54999999999</v>
      </c>
      <c r="BI110" s="4">
        <f t="shared" si="71"/>
        <v>1131543.7</v>
      </c>
    </row>
    <row r="111" spans="2:61" x14ac:dyDescent="0.25">
      <c r="C111">
        <v>445</v>
      </c>
      <c r="D111" t="s">
        <v>167</v>
      </c>
      <c r="E111" s="4">
        <v>0</v>
      </c>
      <c r="F111" s="4">
        <v>0</v>
      </c>
      <c r="G111" s="4">
        <v>0</v>
      </c>
      <c r="H111" s="4">
        <v>0</v>
      </c>
      <c r="I111" s="4">
        <v>0</v>
      </c>
      <c r="J111" s="4">
        <v>0</v>
      </c>
      <c r="K111" s="4">
        <v>0</v>
      </c>
      <c r="L111" s="4">
        <v>180579</v>
      </c>
      <c r="M111" s="4">
        <v>0</v>
      </c>
      <c r="N111" s="4">
        <v>0</v>
      </c>
      <c r="O111" s="4">
        <v>0</v>
      </c>
      <c r="P111" s="4">
        <v>0</v>
      </c>
      <c r="Q111" s="4">
        <v>0</v>
      </c>
      <c r="R111" s="4">
        <v>0</v>
      </c>
      <c r="S111" s="4">
        <v>0</v>
      </c>
      <c r="T111" s="4">
        <v>0</v>
      </c>
      <c r="U111" s="4">
        <v>0</v>
      </c>
      <c r="V111" s="4">
        <v>0</v>
      </c>
      <c r="W111" s="4">
        <v>0</v>
      </c>
      <c r="X111" s="4">
        <v>0</v>
      </c>
      <c r="Y111" s="4">
        <v>0</v>
      </c>
      <c r="Z111" s="4">
        <v>0</v>
      </c>
      <c r="AA111" s="4">
        <v>0</v>
      </c>
      <c r="AB111" s="4">
        <v>0</v>
      </c>
      <c r="AC111" s="4">
        <v>0</v>
      </c>
      <c r="AD111" s="4">
        <v>0</v>
      </c>
      <c r="AE111" s="4">
        <v>0</v>
      </c>
      <c r="AF111" s="4">
        <v>0</v>
      </c>
      <c r="AG111" s="4">
        <v>0</v>
      </c>
      <c r="AH111" s="4">
        <v>0</v>
      </c>
      <c r="AI111" s="4">
        <v>0</v>
      </c>
      <c r="AJ111" s="4">
        <v>0</v>
      </c>
      <c r="AK111" s="4">
        <v>0</v>
      </c>
      <c r="AL111" s="4">
        <v>447046.85</v>
      </c>
      <c r="AM111" s="4">
        <v>0</v>
      </c>
      <c r="AN111" s="4">
        <v>25.2</v>
      </c>
      <c r="AO111" s="4">
        <v>0</v>
      </c>
      <c r="AP111" s="4">
        <v>0</v>
      </c>
      <c r="AQ111" s="4">
        <v>0</v>
      </c>
      <c r="AR111" s="4">
        <v>0</v>
      </c>
      <c r="AS111" s="4">
        <v>0</v>
      </c>
      <c r="AT111" s="4">
        <v>0</v>
      </c>
      <c r="AU111" s="4">
        <v>0</v>
      </c>
      <c r="AV111" s="4">
        <v>0</v>
      </c>
      <c r="AW111" s="4">
        <v>0</v>
      </c>
      <c r="AX111" s="4">
        <v>0</v>
      </c>
      <c r="AY111" s="4">
        <v>0</v>
      </c>
      <c r="AZ111" s="4">
        <v>0</v>
      </c>
      <c r="BA111" s="4">
        <v>0</v>
      </c>
      <c r="BB111" s="4">
        <v>0</v>
      </c>
      <c r="BC111" s="4">
        <v>0</v>
      </c>
      <c r="BD111" s="4">
        <v>0</v>
      </c>
      <c r="BE111" s="4">
        <v>0</v>
      </c>
      <c r="BF111" s="4">
        <f t="shared" si="68"/>
        <v>627651.04999999993</v>
      </c>
      <c r="BG111" s="4">
        <f t="shared" si="69"/>
        <v>180579</v>
      </c>
      <c r="BH111" s="4">
        <f t="shared" si="70"/>
        <v>0</v>
      </c>
      <c r="BI111" s="4">
        <f t="shared" si="71"/>
        <v>447072.05</v>
      </c>
    </row>
    <row r="112" spans="2:61" x14ac:dyDescent="0.25">
      <c r="C112">
        <v>446</v>
      </c>
      <c r="D112" t="s">
        <v>168</v>
      </c>
      <c r="E112" s="4">
        <v>0</v>
      </c>
      <c r="F112" s="4">
        <v>0</v>
      </c>
      <c r="G112" s="4">
        <v>0</v>
      </c>
      <c r="H112" s="4">
        <v>0</v>
      </c>
      <c r="I112" s="4">
        <v>0</v>
      </c>
      <c r="J112" s="4">
        <v>0</v>
      </c>
      <c r="K112" s="4">
        <v>0</v>
      </c>
      <c r="L112" s="4">
        <v>0</v>
      </c>
      <c r="M112" s="4">
        <v>0</v>
      </c>
      <c r="N112" s="4">
        <v>0</v>
      </c>
      <c r="O112" s="4">
        <v>0</v>
      </c>
      <c r="P112" s="4">
        <v>0</v>
      </c>
      <c r="Q112" s="4">
        <v>0</v>
      </c>
      <c r="R112" s="4">
        <v>0</v>
      </c>
      <c r="S112" s="4">
        <v>0</v>
      </c>
      <c r="T112" s="4">
        <v>0</v>
      </c>
      <c r="U112" s="4">
        <v>0</v>
      </c>
      <c r="V112" s="4">
        <v>0</v>
      </c>
      <c r="W112" s="4">
        <v>0</v>
      </c>
      <c r="X112" s="4">
        <v>0</v>
      </c>
      <c r="Y112" s="4">
        <v>0</v>
      </c>
      <c r="Z112" s="4">
        <v>0</v>
      </c>
      <c r="AA112" s="4">
        <v>0</v>
      </c>
      <c r="AB112" s="4">
        <v>0</v>
      </c>
      <c r="AC112" s="4">
        <v>0</v>
      </c>
      <c r="AD112" s="4">
        <v>0</v>
      </c>
      <c r="AE112" s="4">
        <v>0</v>
      </c>
      <c r="AF112" s="4">
        <v>0</v>
      </c>
      <c r="AG112" s="4">
        <v>0</v>
      </c>
      <c r="AH112" s="4">
        <v>0</v>
      </c>
      <c r="AI112" s="4">
        <v>0</v>
      </c>
      <c r="AJ112" s="4">
        <v>0</v>
      </c>
      <c r="AK112" s="4">
        <v>0</v>
      </c>
      <c r="AL112" s="4">
        <v>0</v>
      </c>
      <c r="AM112" s="4">
        <v>0</v>
      </c>
      <c r="AN112" s="4">
        <v>0</v>
      </c>
      <c r="AO112" s="4">
        <v>0</v>
      </c>
      <c r="AP112" s="4">
        <v>0</v>
      </c>
      <c r="AQ112" s="4">
        <v>0</v>
      </c>
      <c r="AR112" s="4">
        <v>0</v>
      </c>
      <c r="AS112" s="4">
        <v>0</v>
      </c>
      <c r="AT112" s="4">
        <v>0</v>
      </c>
      <c r="AU112" s="4">
        <v>0</v>
      </c>
      <c r="AV112" s="4">
        <v>0</v>
      </c>
      <c r="AW112" s="4">
        <v>0</v>
      </c>
      <c r="AX112" s="4">
        <v>0</v>
      </c>
      <c r="AY112" s="4">
        <v>0</v>
      </c>
      <c r="AZ112" s="4">
        <v>0</v>
      </c>
      <c r="BA112" s="4">
        <v>0</v>
      </c>
      <c r="BB112" s="4">
        <v>0</v>
      </c>
      <c r="BC112" s="4">
        <v>0</v>
      </c>
      <c r="BD112" s="4">
        <v>0</v>
      </c>
      <c r="BE112" s="4">
        <v>0</v>
      </c>
      <c r="BF112" s="4">
        <f t="shared" si="68"/>
        <v>0</v>
      </c>
      <c r="BG112" s="4">
        <f t="shared" si="69"/>
        <v>0</v>
      </c>
      <c r="BH112" s="4">
        <f t="shared" si="70"/>
        <v>0</v>
      </c>
      <c r="BI112" s="4">
        <f t="shared" si="71"/>
        <v>0</v>
      </c>
    </row>
    <row r="113" spans="2:61" x14ac:dyDescent="0.25">
      <c r="C113">
        <v>447</v>
      </c>
      <c r="D113" t="s">
        <v>169</v>
      </c>
      <c r="E113" s="4">
        <v>1486.9</v>
      </c>
      <c r="F113" s="4">
        <v>1590</v>
      </c>
      <c r="G113" s="4">
        <v>2280</v>
      </c>
      <c r="H113" s="4">
        <v>50300</v>
      </c>
      <c r="I113" s="4">
        <v>72763.199999999997</v>
      </c>
      <c r="J113" s="4">
        <v>43288.75</v>
      </c>
      <c r="K113" s="4">
        <v>99920</v>
      </c>
      <c r="L113" s="4">
        <v>1244279.72</v>
      </c>
      <c r="M113" s="4">
        <v>19510</v>
      </c>
      <c r="N113" s="4">
        <v>600</v>
      </c>
      <c r="O113" s="4">
        <v>183335.75</v>
      </c>
      <c r="P113" s="4">
        <v>38320</v>
      </c>
      <c r="Q113" s="4">
        <v>4980</v>
      </c>
      <c r="R113" s="4">
        <v>4598.05</v>
      </c>
      <c r="S113" s="4">
        <v>120</v>
      </c>
      <c r="T113" s="4">
        <v>2200</v>
      </c>
      <c r="U113" s="4">
        <v>31408</v>
      </c>
      <c r="V113" s="4">
        <v>30622</v>
      </c>
      <c r="W113" s="4">
        <v>190997.55</v>
      </c>
      <c r="X113" s="4">
        <v>48528</v>
      </c>
      <c r="Y113" s="4">
        <v>19889.75</v>
      </c>
      <c r="Z113" s="4">
        <v>18244.349999999999</v>
      </c>
      <c r="AA113" s="4">
        <v>14569</v>
      </c>
      <c r="AB113" s="4">
        <v>0</v>
      </c>
      <c r="AC113" s="4">
        <v>34402.1</v>
      </c>
      <c r="AD113" s="4">
        <v>57255.8</v>
      </c>
      <c r="AE113" s="4">
        <v>7590</v>
      </c>
      <c r="AF113" s="4">
        <v>38135</v>
      </c>
      <c r="AG113" s="4">
        <v>72533</v>
      </c>
      <c r="AH113" s="4">
        <v>193928.05</v>
      </c>
      <c r="AI113" s="4">
        <v>26724.799999999999</v>
      </c>
      <c r="AJ113" s="4">
        <v>600</v>
      </c>
      <c r="AK113" s="4">
        <v>15381.5</v>
      </c>
      <c r="AL113" s="4">
        <v>0</v>
      </c>
      <c r="AM113" s="4">
        <v>56175.25</v>
      </c>
      <c r="AN113" s="4">
        <v>10451.15</v>
      </c>
      <c r="AO113" s="4">
        <v>7735.55</v>
      </c>
      <c r="AP113" s="4">
        <v>70845.02</v>
      </c>
      <c r="AQ113" s="4">
        <v>22913.4</v>
      </c>
      <c r="AR113" s="4">
        <v>149374.70000000001</v>
      </c>
      <c r="AS113" s="4">
        <v>51735.3</v>
      </c>
      <c r="AT113" s="4">
        <v>68828.05</v>
      </c>
      <c r="AU113" s="4">
        <v>12780</v>
      </c>
      <c r="AV113" s="4">
        <v>83108.7</v>
      </c>
      <c r="AW113" s="4">
        <v>11850</v>
      </c>
      <c r="AX113" s="4">
        <v>11873.4</v>
      </c>
      <c r="AY113" s="4">
        <v>4333.3500000000004</v>
      </c>
      <c r="AZ113" s="4">
        <v>47332.5</v>
      </c>
      <c r="BA113" s="4">
        <v>180</v>
      </c>
      <c r="BB113" s="4">
        <v>112371.9</v>
      </c>
      <c r="BC113" s="4">
        <v>8958.65</v>
      </c>
      <c r="BD113" s="4">
        <v>907293.34</v>
      </c>
      <c r="BE113" s="4">
        <v>0</v>
      </c>
      <c r="BF113" s="4">
        <f t="shared" si="68"/>
        <v>4208521.5299999993</v>
      </c>
      <c r="BG113" s="4">
        <f t="shared" si="69"/>
        <v>2022599.92</v>
      </c>
      <c r="BH113" s="4">
        <f t="shared" si="70"/>
        <v>532399.85</v>
      </c>
      <c r="BI113" s="4">
        <f t="shared" si="71"/>
        <v>1653521.76</v>
      </c>
    </row>
    <row r="114" spans="2:61" x14ac:dyDescent="0.25">
      <c r="C114">
        <v>448</v>
      </c>
      <c r="D114" t="s">
        <v>170</v>
      </c>
      <c r="E114" s="4">
        <v>0</v>
      </c>
      <c r="F114" s="4">
        <v>0</v>
      </c>
      <c r="G114" s="4">
        <v>0</v>
      </c>
      <c r="H114" s="4">
        <v>0</v>
      </c>
      <c r="I114" s="4">
        <v>0</v>
      </c>
      <c r="J114" s="4">
        <v>0</v>
      </c>
      <c r="K114" s="4">
        <v>0</v>
      </c>
      <c r="L114" s="4">
        <v>0</v>
      </c>
      <c r="M114" s="4">
        <v>0</v>
      </c>
      <c r="N114" s="4">
        <v>0</v>
      </c>
      <c r="O114" s="4">
        <v>0</v>
      </c>
      <c r="P114" s="4">
        <v>0</v>
      </c>
      <c r="Q114" s="4">
        <v>0</v>
      </c>
      <c r="R114" s="4">
        <v>0</v>
      </c>
      <c r="S114" s="4">
        <v>0</v>
      </c>
      <c r="T114" s="4">
        <v>0</v>
      </c>
      <c r="U114" s="4">
        <v>0</v>
      </c>
      <c r="V114" s="4">
        <v>0</v>
      </c>
      <c r="W114" s="4">
        <v>0</v>
      </c>
      <c r="X114" s="4">
        <v>150</v>
      </c>
      <c r="Y114" s="4">
        <v>0</v>
      </c>
      <c r="Z114" s="4">
        <v>0</v>
      </c>
      <c r="AA114" s="4">
        <v>0</v>
      </c>
      <c r="AB114" s="4">
        <v>0</v>
      </c>
      <c r="AC114" s="4">
        <v>0</v>
      </c>
      <c r="AD114" s="4">
        <v>0</v>
      </c>
      <c r="AE114" s="4">
        <v>0</v>
      </c>
      <c r="AF114" s="4">
        <v>0</v>
      </c>
      <c r="AG114" s="4">
        <v>0</v>
      </c>
      <c r="AH114" s="4">
        <v>0</v>
      </c>
      <c r="AI114" s="4">
        <v>0</v>
      </c>
      <c r="AJ114" s="4">
        <v>0</v>
      </c>
      <c r="AK114" s="4">
        <v>0</v>
      </c>
      <c r="AL114" s="4">
        <v>0</v>
      </c>
      <c r="AM114" s="4">
        <v>0</v>
      </c>
      <c r="AN114" s="4">
        <v>0</v>
      </c>
      <c r="AO114" s="4">
        <v>0</v>
      </c>
      <c r="AP114" s="4">
        <v>0</v>
      </c>
      <c r="AQ114" s="4">
        <v>0</v>
      </c>
      <c r="AR114" s="4">
        <v>0</v>
      </c>
      <c r="AS114" s="4">
        <v>0</v>
      </c>
      <c r="AT114" s="4">
        <v>0</v>
      </c>
      <c r="AU114" s="4">
        <v>0</v>
      </c>
      <c r="AV114" s="4">
        <v>0</v>
      </c>
      <c r="AW114" s="4">
        <v>0</v>
      </c>
      <c r="AX114" s="4">
        <v>0</v>
      </c>
      <c r="AY114" s="4">
        <v>0</v>
      </c>
      <c r="AZ114" s="4">
        <v>0</v>
      </c>
      <c r="BA114" s="4">
        <v>0</v>
      </c>
      <c r="BB114" s="4">
        <v>0</v>
      </c>
      <c r="BC114" s="4">
        <v>0</v>
      </c>
      <c r="BD114" s="4">
        <v>0</v>
      </c>
      <c r="BE114" s="4">
        <v>0</v>
      </c>
      <c r="BF114" s="4">
        <f t="shared" si="68"/>
        <v>150</v>
      </c>
      <c r="BG114" s="4">
        <f t="shared" si="69"/>
        <v>0</v>
      </c>
      <c r="BH114" s="4">
        <f t="shared" si="70"/>
        <v>150</v>
      </c>
      <c r="BI114" s="4">
        <f t="shared" si="71"/>
        <v>0</v>
      </c>
    </row>
    <row r="115" spans="2:61" x14ac:dyDescent="0.25">
      <c r="C115">
        <v>449</v>
      </c>
      <c r="D115" t="s">
        <v>171</v>
      </c>
      <c r="E115" s="4">
        <v>0</v>
      </c>
      <c r="F115" s="4">
        <v>0</v>
      </c>
      <c r="G115" s="4">
        <v>0</v>
      </c>
      <c r="H115" s="4">
        <v>0</v>
      </c>
      <c r="I115" s="4">
        <v>-741.67</v>
      </c>
      <c r="J115" s="4">
        <v>850</v>
      </c>
      <c r="K115" s="4">
        <v>0</v>
      </c>
      <c r="L115" s="4">
        <v>0</v>
      </c>
      <c r="M115" s="4">
        <v>0</v>
      </c>
      <c r="N115" s="4">
        <v>0</v>
      </c>
      <c r="O115" s="4">
        <v>4491.3100000000004</v>
      </c>
      <c r="P115" s="4">
        <v>0</v>
      </c>
      <c r="Q115" s="4">
        <v>0</v>
      </c>
      <c r="R115" s="4">
        <v>0</v>
      </c>
      <c r="S115" s="4">
        <v>0</v>
      </c>
      <c r="T115" s="4">
        <v>0</v>
      </c>
      <c r="U115" s="4">
        <v>0</v>
      </c>
      <c r="V115" s="4">
        <v>0</v>
      </c>
      <c r="W115" s="4">
        <v>0</v>
      </c>
      <c r="X115" s="4">
        <v>0</v>
      </c>
      <c r="Y115" s="4">
        <v>0</v>
      </c>
      <c r="Z115" s="4">
        <v>-175.76</v>
      </c>
      <c r="AA115" s="4">
        <v>0</v>
      </c>
      <c r="AB115" s="4">
        <v>0</v>
      </c>
      <c r="AC115" s="4">
        <v>0</v>
      </c>
      <c r="AD115" s="4">
        <v>0</v>
      </c>
      <c r="AE115" s="4">
        <v>0</v>
      </c>
      <c r="AF115" s="4">
        <v>0</v>
      </c>
      <c r="AG115" s="4">
        <v>7.37</v>
      </c>
      <c r="AH115" s="4">
        <v>0</v>
      </c>
      <c r="AI115" s="4">
        <v>0</v>
      </c>
      <c r="AJ115" s="4">
        <v>0</v>
      </c>
      <c r="AK115" s="4">
        <v>0</v>
      </c>
      <c r="AL115" s="4">
        <v>1458</v>
      </c>
      <c r="AM115" s="4">
        <v>0</v>
      </c>
      <c r="AN115" s="4">
        <v>0</v>
      </c>
      <c r="AO115" s="4">
        <v>0</v>
      </c>
      <c r="AP115" s="4">
        <v>0</v>
      </c>
      <c r="AQ115" s="4">
        <v>0</v>
      </c>
      <c r="AR115" s="4">
        <v>0</v>
      </c>
      <c r="AS115" s="4">
        <v>0</v>
      </c>
      <c r="AT115" s="4">
        <v>-537.14</v>
      </c>
      <c r="AU115" s="4">
        <v>44.9</v>
      </c>
      <c r="AV115" s="4">
        <v>34.61</v>
      </c>
      <c r="AW115" s="4">
        <v>0</v>
      </c>
      <c r="AX115" s="4">
        <v>0</v>
      </c>
      <c r="AY115" s="4">
        <v>0</v>
      </c>
      <c r="AZ115" s="4">
        <v>0</v>
      </c>
      <c r="BA115" s="4">
        <v>0</v>
      </c>
      <c r="BB115" s="4">
        <v>0</v>
      </c>
      <c r="BC115" s="4">
        <v>0</v>
      </c>
      <c r="BD115" s="4">
        <v>714365.93</v>
      </c>
      <c r="BE115" s="4">
        <v>0</v>
      </c>
      <c r="BF115" s="4">
        <f t="shared" si="68"/>
        <v>719797.55</v>
      </c>
      <c r="BG115" s="4">
        <f t="shared" si="69"/>
        <v>4599.6400000000003</v>
      </c>
      <c r="BH115" s="4">
        <f t="shared" si="70"/>
        <v>-168.39</v>
      </c>
      <c r="BI115" s="4">
        <f t="shared" si="71"/>
        <v>715366.3</v>
      </c>
    </row>
    <row r="116" spans="2:61" x14ac:dyDescent="0.25">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row>
    <row r="117" spans="2:61" x14ac:dyDescent="0.25">
      <c r="B117" s="78">
        <v>45</v>
      </c>
      <c r="C117" s="78"/>
      <c r="D117" s="78" t="s">
        <v>174</v>
      </c>
      <c r="E117" s="73">
        <f>E118+E119</f>
        <v>46777.4</v>
      </c>
      <c r="F117" s="73">
        <f t="shared" ref="F117:BI117" si="72">F118+F119</f>
        <v>0</v>
      </c>
      <c r="G117" s="73">
        <f t="shared" si="72"/>
        <v>22529.05</v>
      </c>
      <c r="H117" s="73">
        <f t="shared" si="72"/>
        <v>0</v>
      </c>
      <c r="I117" s="73">
        <f t="shared" si="72"/>
        <v>58900</v>
      </c>
      <c r="J117" s="73">
        <f t="shared" si="72"/>
        <v>8198.85</v>
      </c>
      <c r="K117" s="73">
        <f t="shared" si="72"/>
        <v>130846.1</v>
      </c>
      <c r="L117" s="73">
        <f t="shared" si="72"/>
        <v>34397.550000000003</v>
      </c>
      <c r="M117" s="73">
        <f t="shared" si="72"/>
        <v>55705.49</v>
      </c>
      <c r="N117" s="73">
        <f t="shared" si="72"/>
        <v>0</v>
      </c>
      <c r="O117" s="73">
        <f t="shared" si="72"/>
        <v>25602.42</v>
      </c>
      <c r="P117" s="73">
        <f t="shared" si="72"/>
        <v>0</v>
      </c>
      <c r="Q117" s="73">
        <f t="shared" si="72"/>
        <v>0</v>
      </c>
      <c r="R117" s="73">
        <f t="shared" si="72"/>
        <v>0</v>
      </c>
      <c r="S117" s="73">
        <f t="shared" si="72"/>
        <v>0</v>
      </c>
      <c r="T117" s="73">
        <f t="shared" si="72"/>
        <v>-1908.7</v>
      </c>
      <c r="U117" s="73">
        <f t="shared" si="72"/>
        <v>625.65</v>
      </c>
      <c r="V117" s="73">
        <f t="shared" si="72"/>
        <v>18102.8</v>
      </c>
      <c r="W117" s="73">
        <f t="shared" si="72"/>
        <v>7909.7</v>
      </c>
      <c r="X117" s="73">
        <f t="shared" si="72"/>
        <v>36663.15</v>
      </c>
      <c r="Y117" s="73">
        <f t="shared" si="72"/>
        <v>3099.8</v>
      </c>
      <c r="Z117" s="73">
        <f t="shared" si="72"/>
        <v>4274.6000000000004</v>
      </c>
      <c r="AA117" s="73">
        <f t="shared" si="72"/>
        <v>-200</v>
      </c>
      <c r="AB117" s="73">
        <f t="shared" si="72"/>
        <v>369.8</v>
      </c>
      <c r="AC117" s="73">
        <f t="shared" si="72"/>
        <v>10317</v>
      </c>
      <c r="AD117" s="73">
        <f t="shared" si="72"/>
        <v>0</v>
      </c>
      <c r="AE117" s="73">
        <f t="shared" si="72"/>
        <v>1389.6</v>
      </c>
      <c r="AF117" s="73">
        <f t="shared" si="72"/>
        <v>2606.8000000000002</v>
      </c>
      <c r="AG117" s="73">
        <f t="shared" si="72"/>
        <v>55676.25</v>
      </c>
      <c r="AH117" s="73">
        <f t="shared" si="72"/>
        <v>16678.900000000001</v>
      </c>
      <c r="AI117" s="73">
        <f t="shared" si="72"/>
        <v>1190.3499999999999</v>
      </c>
      <c r="AJ117" s="73">
        <f t="shared" si="72"/>
        <v>3200.42</v>
      </c>
      <c r="AK117" s="73">
        <f t="shared" si="72"/>
        <v>0</v>
      </c>
      <c r="AL117" s="73">
        <f t="shared" si="72"/>
        <v>3862.75</v>
      </c>
      <c r="AM117" s="73">
        <f t="shared" si="72"/>
        <v>134400</v>
      </c>
      <c r="AN117" s="73">
        <f t="shared" si="72"/>
        <v>296.39999999999998</v>
      </c>
      <c r="AO117" s="73">
        <f t="shared" si="72"/>
        <v>0</v>
      </c>
      <c r="AP117" s="73">
        <f t="shared" si="72"/>
        <v>420</v>
      </c>
      <c r="AQ117" s="73">
        <f t="shared" si="72"/>
        <v>0</v>
      </c>
      <c r="AR117" s="73">
        <f t="shared" si="72"/>
        <v>13174</v>
      </c>
      <c r="AS117" s="73">
        <f t="shared" si="72"/>
        <v>83961.47</v>
      </c>
      <c r="AT117" s="73">
        <f t="shared" si="72"/>
        <v>33579.46</v>
      </c>
      <c r="AU117" s="73">
        <f t="shared" si="72"/>
        <v>3785.05</v>
      </c>
      <c r="AV117" s="73">
        <f t="shared" si="72"/>
        <v>5953.7</v>
      </c>
      <c r="AW117" s="73">
        <f t="shared" si="72"/>
        <v>1865.05</v>
      </c>
      <c r="AX117" s="73">
        <f t="shared" si="72"/>
        <v>421.7</v>
      </c>
      <c r="AY117" s="73">
        <f t="shared" si="72"/>
        <v>860.2</v>
      </c>
      <c r="AZ117" s="73">
        <f t="shared" si="72"/>
        <v>4606.45</v>
      </c>
      <c r="BA117" s="73">
        <f t="shared" si="72"/>
        <v>0</v>
      </c>
      <c r="BB117" s="73">
        <f t="shared" si="72"/>
        <v>5894.15</v>
      </c>
      <c r="BC117" s="73">
        <f t="shared" si="72"/>
        <v>0</v>
      </c>
      <c r="BD117" s="73">
        <f t="shared" si="72"/>
        <v>54899.05</v>
      </c>
      <c r="BE117" s="73">
        <f t="shared" si="72"/>
        <v>8868</v>
      </c>
      <c r="BF117" s="73">
        <f t="shared" si="72"/>
        <v>899800.40999999992</v>
      </c>
      <c r="BG117" s="73">
        <f t="shared" si="72"/>
        <v>407686.31000000006</v>
      </c>
      <c r="BH117" s="73">
        <f t="shared" si="72"/>
        <v>135266.66999999998</v>
      </c>
      <c r="BI117" s="73">
        <f t="shared" si="72"/>
        <v>356847.43000000005</v>
      </c>
    </row>
    <row r="118" spans="2:61" x14ac:dyDescent="0.25">
      <c r="C118">
        <v>450</v>
      </c>
      <c r="D118" t="s">
        <v>172</v>
      </c>
      <c r="E118" s="4">
        <v>4212</v>
      </c>
      <c r="F118" s="4">
        <v>0</v>
      </c>
      <c r="G118" s="4">
        <v>6966.4</v>
      </c>
      <c r="H118" s="4">
        <v>0</v>
      </c>
      <c r="I118" s="4">
        <v>8900</v>
      </c>
      <c r="J118" s="4">
        <v>8198.85</v>
      </c>
      <c r="K118" s="4">
        <v>12584.25</v>
      </c>
      <c r="L118" s="4">
        <v>34397.550000000003</v>
      </c>
      <c r="M118" s="4">
        <v>3392.6</v>
      </c>
      <c r="N118" s="4">
        <v>0</v>
      </c>
      <c r="O118" s="4">
        <v>0</v>
      </c>
      <c r="P118" s="4">
        <v>0</v>
      </c>
      <c r="Q118" s="4">
        <v>0</v>
      </c>
      <c r="R118" s="4">
        <v>0</v>
      </c>
      <c r="S118" s="4">
        <v>0</v>
      </c>
      <c r="T118" s="4">
        <v>-1908.7</v>
      </c>
      <c r="U118" s="4">
        <v>625.65</v>
      </c>
      <c r="V118" s="4">
        <v>6254.3</v>
      </c>
      <c r="W118" s="4">
        <v>7909.7</v>
      </c>
      <c r="X118" s="4">
        <v>0</v>
      </c>
      <c r="Y118" s="4">
        <v>3099.8</v>
      </c>
      <c r="Z118" s="4">
        <v>3789.85</v>
      </c>
      <c r="AA118" s="4">
        <v>0</v>
      </c>
      <c r="AB118" s="4">
        <v>369.8</v>
      </c>
      <c r="AC118" s="4">
        <v>1283.9000000000001</v>
      </c>
      <c r="AD118" s="4">
        <v>0</v>
      </c>
      <c r="AE118" s="4">
        <v>1389.6</v>
      </c>
      <c r="AF118" s="4">
        <v>2606.8000000000002</v>
      </c>
      <c r="AG118" s="4">
        <v>4766.55</v>
      </c>
      <c r="AH118" s="4">
        <v>6453.7</v>
      </c>
      <c r="AI118" s="4">
        <v>1190.3499999999999</v>
      </c>
      <c r="AJ118" s="4">
        <v>0</v>
      </c>
      <c r="AK118" s="4">
        <v>0</v>
      </c>
      <c r="AL118" s="4">
        <v>0</v>
      </c>
      <c r="AM118" s="4">
        <v>0</v>
      </c>
      <c r="AN118" s="4">
        <v>296.39999999999998</v>
      </c>
      <c r="AO118" s="4">
        <v>0</v>
      </c>
      <c r="AP118" s="4">
        <v>0</v>
      </c>
      <c r="AQ118" s="4">
        <v>0</v>
      </c>
      <c r="AR118" s="4">
        <v>4174</v>
      </c>
      <c r="AS118" s="4">
        <v>0</v>
      </c>
      <c r="AT118" s="4">
        <v>22543.7</v>
      </c>
      <c r="AU118" s="4">
        <v>3785.05</v>
      </c>
      <c r="AV118" s="4">
        <v>5953.7</v>
      </c>
      <c r="AW118" s="4">
        <v>1865.05</v>
      </c>
      <c r="AX118" s="4">
        <v>0</v>
      </c>
      <c r="AY118" s="4">
        <v>860.2</v>
      </c>
      <c r="AZ118" s="4">
        <v>4186.45</v>
      </c>
      <c r="BA118" s="4">
        <v>0</v>
      </c>
      <c r="BB118" s="4">
        <v>5894.15</v>
      </c>
      <c r="BC118" s="4">
        <v>0</v>
      </c>
      <c r="BD118" s="4">
        <v>54899.05</v>
      </c>
      <c r="BE118" s="4">
        <v>0</v>
      </c>
      <c r="BF118" s="4">
        <f t="shared" ref="BF118:BF119" si="73">SUM(E118:BE118)</f>
        <v>220940.7</v>
      </c>
      <c r="BG118" s="4">
        <f t="shared" ref="BG118:BG119" si="74">SUM(E118:W118)</f>
        <v>91532.6</v>
      </c>
      <c r="BH118" s="4">
        <f t="shared" ref="BH118:BH119" si="75">SUM(X118:AJ118)</f>
        <v>24950.35</v>
      </c>
      <c r="BI118" s="4">
        <f t="shared" ref="BI118:BI119" si="76">SUM(AK118:BE118)</f>
        <v>104457.75</v>
      </c>
    </row>
    <row r="119" spans="2:61" x14ac:dyDescent="0.25">
      <c r="C119">
        <v>451</v>
      </c>
      <c r="D119" t="s">
        <v>173</v>
      </c>
      <c r="E119" s="4">
        <v>42565.4</v>
      </c>
      <c r="F119" s="4">
        <v>0</v>
      </c>
      <c r="G119" s="4">
        <v>15562.65</v>
      </c>
      <c r="H119" s="4">
        <v>0</v>
      </c>
      <c r="I119" s="4">
        <v>50000</v>
      </c>
      <c r="J119" s="4">
        <v>0</v>
      </c>
      <c r="K119" s="4">
        <v>118261.85</v>
      </c>
      <c r="L119" s="4">
        <v>0</v>
      </c>
      <c r="M119" s="4">
        <v>52312.89</v>
      </c>
      <c r="N119" s="4">
        <v>0</v>
      </c>
      <c r="O119" s="4">
        <v>25602.42</v>
      </c>
      <c r="P119" s="4">
        <v>0</v>
      </c>
      <c r="Q119" s="4">
        <v>0</v>
      </c>
      <c r="R119" s="4">
        <v>0</v>
      </c>
      <c r="S119" s="4">
        <v>0</v>
      </c>
      <c r="T119" s="4">
        <v>0</v>
      </c>
      <c r="U119" s="4">
        <v>0</v>
      </c>
      <c r="V119" s="4">
        <v>11848.5</v>
      </c>
      <c r="W119" s="4">
        <v>0</v>
      </c>
      <c r="X119" s="4">
        <v>36663.15</v>
      </c>
      <c r="Y119" s="4">
        <v>0</v>
      </c>
      <c r="Z119" s="4">
        <v>484.75</v>
      </c>
      <c r="AA119" s="4">
        <v>-200</v>
      </c>
      <c r="AB119" s="4">
        <v>0</v>
      </c>
      <c r="AC119" s="4">
        <v>9033.1</v>
      </c>
      <c r="AD119" s="4">
        <v>0</v>
      </c>
      <c r="AE119" s="4">
        <v>0</v>
      </c>
      <c r="AF119" s="4">
        <v>0</v>
      </c>
      <c r="AG119" s="4">
        <v>50909.7</v>
      </c>
      <c r="AH119" s="4">
        <v>10225.200000000001</v>
      </c>
      <c r="AI119" s="4">
        <v>0</v>
      </c>
      <c r="AJ119" s="4">
        <v>3200.42</v>
      </c>
      <c r="AK119" s="4">
        <v>0</v>
      </c>
      <c r="AL119" s="4">
        <v>3862.75</v>
      </c>
      <c r="AM119" s="4">
        <v>134400</v>
      </c>
      <c r="AN119" s="4">
        <v>0</v>
      </c>
      <c r="AO119" s="4">
        <v>0</v>
      </c>
      <c r="AP119" s="4">
        <v>420</v>
      </c>
      <c r="AQ119" s="4">
        <v>0</v>
      </c>
      <c r="AR119" s="4">
        <v>9000</v>
      </c>
      <c r="AS119" s="4">
        <v>83961.47</v>
      </c>
      <c r="AT119" s="4">
        <v>11035.76</v>
      </c>
      <c r="AU119" s="4">
        <v>0</v>
      </c>
      <c r="AV119" s="4">
        <v>0</v>
      </c>
      <c r="AW119" s="4">
        <v>0</v>
      </c>
      <c r="AX119" s="4">
        <v>421.7</v>
      </c>
      <c r="AY119" s="4">
        <v>0</v>
      </c>
      <c r="AZ119" s="4">
        <v>420</v>
      </c>
      <c r="BA119" s="4">
        <v>0</v>
      </c>
      <c r="BB119" s="4">
        <v>0</v>
      </c>
      <c r="BC119" s="4">
        <v>0</v>
      </c>
      <c r="BD119" s="4">
        <v>0</v>
      </c>
      <c r="BE119" s="4">
        <v>8868</v>
      </c>
      <c r="BF119" s="4">
        <f t="shared" si="73"/>
        <v>678859.71</v>
      </c>
      <c r="BG119" s="4">
        <f t="shared" si="74"/>
        <v>316153.71000000002</v>
      </c>
      <c r="BH119" s="4">
        <f t="shared" si="75"/>
        <v>110316.31999999999</v>
      </c>
      <c r="BI119" s="4">
        <f t="shared" si="76"/>
        <v>252389.68000000002</v>
      </c>
    </row>
    <row r="120" spans="2:61" x14ac:dyDescent="0.25">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row>
    <row r="121" spans="2:61" x14ac:dyDescent="0.25">
      <c r="B121" s="78">
        <v>46</v>
      </c>
      <c r="C121" s="78"/>
      <c r="D121" s="78" t="s">
        <v>175</v>
      </c>
      <c r="E121" s="73">
        <f>E122+E123+E124+E125+E126</f>
        <v>339566.15</v>
      </c>
      <c r="F121" s="73">
        <f t="shared" ref="F121:BI121" si="77">F122+F123+F124+F125+F126</f>
        <v>146024.15000000002</v>
      </c>
      <c r="G121" s="73">
        <f t="shared" si="77"/>
        <v>113294.75</v>
      </c>
      <c r="H121" s="73">
        <f t="shared" si="77"/>
        <v>191752.84999999998</v>
      </c>
      <c r="I121" s="73">
        <f t="shared" si="77"/>
        <v>2085503.35</v>
      </c>
      <c r="J121" s="73">
        <f t="shared" si="77"/>
        <v>1378727.7</v>
      </c>
      <c r="K121" s="73">
        <f t="shared" si="77"/>
        <v>856187.34</v>
      </c>
      <c r="L121" s="73">
        <f t="shared" si="77"/>
        <v>22291725.169999998</v>
      </c>
      <c r="M121" s="73">
        <f t="shared" si="77"/>
        <v>1260166.2</v>
      </c>
      <c r="N121" s="73">
        <f t="shared" si="77"/>
        <v>231490.13999999998</v>
      </c>
      <c r="O121" s="73">
        <f t="shared" si="77"/>
        <v>3322505.18</v>
      </c>
      <c r="P121" s="73">
        <f t="shared" si="77"/>
        <v>348039.1</v>
      </c>
      <c r="Q121" s="73">
        <f t="shared" si="77"/>
        <v>18795.2</v>
      </c>
      <c r="R121" s="73">
        <f t="shared" si="77"/>
        <v>211699.85</v>
      </c>
      <c r="S121" s="73">
        <f t="shared" si="77"/>
        <v>256096.55</v>
      </c>
      <c r="T121" s="73">
        <f t="shared" si="77"/>
        <v>41112.15</v>
      </c>
      <c r="U121" s="73">
        <f t="shared" si="77"/>
        <v>191883.44999999998</v>
      </c>
      <c r="V121" s="73">
        <f t="shared" si="77"/>
        <v>485749.30000000005</v>
      </c>
      <c r="W121" s="73">
        <f t="shared" si="77"/>
        <v>1988577.49</v>
      </c>
      <c r="X121" s="73">
        <f t="shared" si="77"/>
        <v>508453.25</v>
      </c>
      <c r="Y121" s="73">
        <f t="shared" si="77"/>
        <v>789471.3</v>
      </c>
      <c r="Z121" s="73">
        <f t="shared" si="77"/>
        <v>1712389.4</v>
      </c>
      <c r="AA121" s="73">
        <f t="shared" si="77"/>
        <v>103589.95</v>
      </c>
      <c r="AB121" s="73">
        <f t="shared" si="77"/>
        <v>116982</v>
      </c>
      <c r="AC121" s="73">
        <f t="shared" si="77"/>
        <v>217834.15000000002</v>
      </c>
      <c r="AD121" s="73">
        <f t="shared" si="77"/>
        <v>694590.03</v>
      </c>
      <c r="AE121" s="73">
        <f t="shared" si="77"/>
        <v>384891.45</v>
      </c>
      <c r="AF121" s="73">
        <f t="shared" si="77"/>
        <v>276065.25</v>
      </c>
      <c r="AG121" s="73">
        <f t="shared" si="77"/>
        <v>785802.7</v>
      </c>
      <c r="AH121" s="73">
        <f t="shared" si="77"/>
        <v>1268622.7000000002</v>
      </c>
      <c r="AI121" s="73">
        <f t="shared" si="77"/>
        <v>315869.2</v>
      </c>
      <c r="AJ121" s="73">
        <f t="shared" si="77"/>
        <v>93805.55</v>
      </c>
      <c r="AK121" s="73">
        <f t="shared" si="77"/>
        <v>1208990.3500000001</v>
      </c>
      <c r="AL121" s="73">
        <f t="shared" si="77"/>
        <v>1001232.1000000001</v>
      </c>
      <c r="AM121" s="73">
        <f t="shared" si="77"/>
        <v>1617233.1500000001</v>
      </c>
      <c r="AN121" s="73">
        <f t="shared" si="77"/>
        <v>83156.3</v>
      </c>
      <c r="AO121" s="73">
        <f t="shared" si="77"/>
        <v>379499.31000000006</v>
      </c>
      <c r="AP121" s="73">
        <f t="shared" si="77"/>
        <v>909227.48</v>
      </c>
      <c r="AQ121" s="73">
        <f t="shared" si="77"/>
        <v>164971.19999999998</v>
      </c>
      <c r="AR121" s="73">
        <f t="shared" si="77"/>
        <v>1713495.8</v>
      </c>
      <c r="AS121" s="73">
        <f t="shared" si="77"/>
        <v>587485.79999999993</v>
      </c>
      <c r="AT121" s="73">
        <f t="shared" si="77"/>
        <v>752112.38</v>
      </c>
      <c r="AU121" s="73">
        <f t="shared" si="77"/>
        <v>103330.03</v>
      </c>
      <c r="AV121" s="73">
        <f t="shared" si="77"/>
        <v>1728445.02</v>
      </c>
      <c r="AW121" s="73">
        <f t="shared" si="77"/>
        <v>223456.05000000002</v>
      </c>
      <c r="AX121" s="73">
        <f t="shared" si="77"/>
        <v>77945.499999999985</v>
      </c>
      <c r="AY121" s="73">
        <f t="shared" si="77"/>
        <v>142941.5</v>
      </c>
      <c r="AZ121" s="73">
        <f t="shared" si="77"/>
        <v>1023862.1</v>
      </c>
      <c r="BA121" s="73">
        <f t="shared" si="77"/>
        <v>414427.26</v>
      </c>
      <c r="BB121" s="73">
        <f t="shared" si="77"/>
        <v>823533.46</v>
      </c>
      <c r="BC121" s="73">
        <f t="shared" si="77"/>
        <v>199310.7</v>
      </c>
      <c r="BD121" s="73">
        <f t="shared" si="77"/>
        <v>7795325.6999999993</v>
      </c>
      <c r="BE121" s="73">
        <f t="shared" si="77"/>
        <v>544300.64999999991</v>
      </c>
      <c r="BF121" s="73">
        <f t="shared" si="77"/>
        <v>64521544.840000004</v>
      </c>
      <c r="BG121" s="73">
        <f t="shared" si="77"/>
        <v>35758896.07</v>
      </c>
      <c r="BH121" s="73">
        <f t="shared" si="77"/>
        <v>7268366.9299999997</v>
      </c>
      <c r="BI121" s="73">
        <f t="shared" si="77"/>
        <v>21494281.84</v>
      </c>
    </row>
    <row r="122" spans="2:61" x14ac:dyDescent="0.25">
      <c r="C122">
        <v>460</v>
      </c>
      <c r="D122" t="s">
        <v>176</v>
      </c>
      <c r="E122" s="4">
        <v>8028</v>
      </c>
      <c r="F122" s="4">
        <v>0</v>
      </c>
      <c r="G122" s="4">
        <v>2479</v>
      </c>
      <c r="H122" s="4">
        <v>0</v>
      </c>
      <c r="I122" s="4">
        <v>34259</v>
      </c>
      <c r="J122" s="4">
        <v>26406</v>
      </c>
      <c r="K122" s="4">
        <v>46754</v>
      </c>
      <c r="L122" s="4">
        <v>501013</v>
      </c>
      <c r="M122" s="4">
        <v>32374</v>
      </c>
      <c r="N122" s="4">
        <v>330</v>
      </c>
      <c r="O122" s="4">
        <v>0</v>
      </c>
      <c r="P122" s="4">
        <v>0</v>
      </c>
      <c r="Q122" s="4">
        <v>-15</v>
      </c>
      <c r="R122" s="4">
        <v>0</v>
      </c>
      <c r="S122" s="4">
        <v>0</v>
      </c>
      <c r="T122" s="4">
        <v>2616.0500000000002</v>
      </c>
      <c r="U122" s="4">
        <v>0</v>
      </c>
      <c r="V122" s="4">
        <v>15374</v>
      </c>
      <c r="W122" s="4">
        <v>21903</v>
      </c>
      <c r="X122" s="4">
        <v>0</v>
      </c>
      <c r="Y122" s="4">
        <v>8566</v>
      </c>
      <c r="Z122" s="4">
        <v>268571</v>
      </c>
      <c r="AA122" s="4">
        <v>0</v>
      </c>
      <c r="AB122" s="4">
        <v>0</v>
      </c>
      <c r="AC122" s="4">
        <v>5495.75</v>
      </c>
      <c r="AD122" s="4">
        <v>2981</v>
      </c>
      <c r="AE122" s="4">
        <v>1053</v>
      </c>
      <c r="AF122" s="4">
        <v>0</v>
      </c>
      <c r="AG122" s="4">
        <v>87627</v>
      </c>
      <c r="AH122" s="4">
        <v>28068</v>
      </c>
      <c r="AI122" s="4">
        <v>0</v>
      </c>
      <c r="AJ122" s="4">
        <v>0</v>
      </c>
      <c r="AK122" s="4">
        <v>1000</v>
      </c>
      <c r="AL122" s="4">
        <v>0</v>
      </c>
      <c r="AM122" s="4">
        <v>0</v>
      </c>
      <c r="AN122" s="4">
        <v>0</v>
      </c>
      <c r="AO122" s="4">
        <v>155556</v>
      </c>
      <c r="AP122" s="4">
        <v>20451</v>
      </c>
      <c r="AQ122" s="4">
        <v>6448</v>
      </c>
      <c r="AR122" s="4">
        <v>3096</v>
      </c>
      <c r="AS122" s="4">
        <v>0</v>
      </c>
      <c r="AT122" s="4">
        <v>0</v>
      </c>
      <c r="AU122" s="4">
        <v>7852</v>
      </c>
      <c r="AV122" s="4">
        <v>38511</v>
      </c>
      <c r="AW122" s="4">
        <v>24890</v>
      </c>
      <c r="AX122" s="4">
        <v>0</v>
      </c>
      <c r="AY122" s="4">
        <v>632</v>
      </c>
      <c r="AZ122" s="4">
        <v>7904</v>
      </c>
      <c r="BA122" s="4">
        <v>0</v>
      </c>
      <c r="BB122" s="4">
        <v>42109</v>
      </c>
      <c r="BC122" s="4">
        <v>91</v>
      </c>
      <c r="BD122" s="4">
        <v>196308</v>
      </c>
      <c r="BE122" s="4">
        <v>0</v>
      </c>
      <c r="BF122" s="4">
        <f t="shared" ref="BF122:BF126" si="78">SUM(E122:BE122)</f>
        <v>1598730.8</v>
      </c>
      <c r="BG122" s="4">
        <f t="shared" ref="BG122:BG126" si="79">SUM(E122:W122)</f>
        <v>691521.05</v>
      </c>
      <c r="BH122" s="4">
        <f t="shared" ref="BH122:BH126" si="80">SUM(X122:AJ122)</f>
        <v>402361.75</v>
      </c>
      <c r="BI122" s="4">
        <f t="shared" ref="BI122:BI126" si="81">SUM(AK122:BE122)</f>
        <v>504848</v>
      </c>
    </row>
    <row r="123" spans="2:61" x14ac:dyDescent="0.25">
      <c r="C123">
        <v>461</v>
      </c>
      <c r="D123" t="s">
        <v>177</v>
      </c>
      <c r="E123" s="4">
        <v>275266.75</v>
      </c>
      <c r="F123" s="4">
        <v>6250.55</v>
      </c>
      <c r="G123" s="4">
        <v>30198</v>
      </c>
      <c r="H123" s="4">
        <v>1909.4</v>
      </c>
      <c r="I123" s="4">
        <v>453632.85</v>
      </c>
      <c r="J123" s="4">
        <v>872433.25</v>
      </c>
      <c r="K123" s="4">
        <v>677270.44</v>
      </c>
      <c r="L123" s="4">
        <v>11716682.029999999</v>
      </c>
      <c r="M123" s="4">
        <v>758943.45</v>
      </c>
      <c r="N123" s="4">
        <v>104143.84</v>
      </c>
      <c r="O123" s="4">
        <v>1009834.55</v>
      </c>
      <c r="P123" s="4">
        <v>4429</v>
      </c>
      <c r="Q123" s="4">
        <v>381.15</v>
      </c>
      <c r="R123" s="4">
        <v>5586.15</v>
      </c>
      <c r="S123" s="4">
        <v>61466.55</v>
      </c>
      <c r="T123" s="4">
        <v>1008</v>
      </c>
      <c r="U123" s="4">
        <v>310.55</v>
      </c>
      <c r="V123" s="4">
        <v>386623.2</v>
      </c>
      <c r="W123" s="4">
        <v>393680.4</v>
      </c>
      <c r="X123" s="4">
        <v>720.9</v>
      </c>
      <c r="Y123" s="4">
        <v>674759.55</v>
      </c>
      <c r="Z123" s="4">
        <v>895621.2</v>
      </c>
      <c r="AA123" s="4">
        <v>5993.15</v>
      </c>
      <c r="AB123" s="4">
        <v>36304</v>
      </c>
      <c r="AC123" s="4">
        <v>66826.850000000006</v>
      </c>
      <c r="AD123" s="4">
        <v>279511.03000000003</v>
      </c>
      <c r="AE123" s="4">
        <v>175868.55</v>
      </c>
      <c r="AF123" s="4">
        <v>3467</v>
      </c>
      <c r="AG123" s="4">
        <v>417847.35</v>
      </c>
      <c r="AH123" s="4">
        <v>209162.7</v>
      </c>
      <c r="AI123" s="4">
        <v>47413.95</v>
      </c>
      <c r="AJ123" s="4">
        <v>13758.5</v>
      </c>
      <c r="AK123" s="4">
        <v>694420.15</v>
      </c>
      <c r="AL123" s="4">
        <v>83752.31</v>
      </c>
      <c r="AM123" s="4">
        <v>601288.14</v>
      </c>
      <c r="AN123" s="4">
        <v>68</v>
      </c>
      <c r="AO123" s="4">
        <v>12551.14</v>
      </c>
      <c r="AP123" s="4">
        <v>741558.73</v>
      </c>
      <c r="AQ123" s="4">
        <v>5644.4</v>
      </c>
      <c r="AR123" s="4">
        <v>941423.95</v>
      </c>
      <c r="AS123" s="4">
        <v>54107.1</v>
      </c>
      <c r="AT123" s="4">
        <v>99818.43</v>
      </c>
      <c r="AU123" s="4">
        <v>34759.230000000003</v>
      </c>
      <c r="AV123" s="4">
        <v>1575967.77</v>
      </c>
      <c r="AW123" s="4">
        <v>60773.05</v>
      </c>
      <c r="AX123" s="4">
        <v>969.7</v>
      </c>
      <c r="AY123" s="4">
        <v>3009.8</v>
      </c>
      <c r="AZ123" s="4">
        <v>426508.7</v>
      </c>
      <c r="BA123" s="4">
        <v>192116.36</v>
      </c>
      <c r="BB123" s="4">
        <v>622657.36</v>
      </c>
      <c r="BC123" s="4">
        <v>271</v>
      </c>
      <c r="BD123" s="4">
        <v>5914110.5</v>
      </c>
      <c r="BE123" s="4">
        <v>161219.15</v>
      </c>
      <c r="BF123" s="4">
        <f t="shared" si="78"/>
        <v>31814299.809999999</v>
      </c>
      <c r="BG123" s="4">
        <f t="shared" si="79"/>
        <v>16760050.110000001</v>
      </c>
      <c r="BH123" s="4">
        <f t="shared" si="80"/>
        <v>2827254.7300000004</v>
      </c>
      <c r="BI123" s="4">
        <f t="shared" si="81"/>
        <v>12226994.970000001</v>
      </c>
    </row>
    <row r="124" spans="2:61" x14ac:dyDescent="0.25">
      <c r="C124">
        <v>462</v>
      </c>
      <c r="D124" t="s">
        <v>113</v>
      </c>
      <c r="E124" s="4">
        <v>0</v>
      </c>
      <c r="F124" s="4">
        <v>114138</v>
      </c>
      <c r="G124" s="4">
        <v>58930</v>
      </c>
      <c r="H124" s="4">
        <v>147310</v>
      </c>
      <c r="I124" s="4">
        <v>1307908</v>
      </c>
      <c r="J124" s="4">
        <v>154551</v>
      </c>
      <c r="K124" s="4">
        <v>0</v>
      </c>
      <c r="L124" s="4">
        <v>929584.2</v>
      </c>
      <c r="M124" s="4">
        <v>0</v>
      </c>
      <c r="N124" s="4">
        <v>114480</v>
      </c>
      <c r="O124" s="4">
        <v>1553045</v>
      </c>
      <c r="P124" s="4">
        <v>306786</v>
      </c>
      <c r="Q124" s="4">
        <v>12521</v>
      </c>
      <c r="R124" s="4">
        <v>194770</v>
      </c>
      <c r="S124" s="4">
        <v>174234</v>
      </c>
      <c r="T124" s="4">
        <v>0</v>
      </c>
      <c r="U124" s="4">
        <v>162520</v>
      </c>
      <c r="V124" s="4">
        <v>0</v>
      </c>
      <c r="W124" s="4">
        <v>1230830</v>
      </c>
      <c r="X124" s="4">
        <v>33864</v>
      </c>
      <c r="Y124" s="4">
        <v>14138</v>
      </c>
      <c r="Z124" s="4">
        <v>28059</v>
      </c>
      <c r="AA124" s="4">
        <v>91814</v>
      </c>
      <c r="AB124" s="4">
        <v>61684</v>
      </c>
      <c r="AC124" s="4">
        <v>0</v>
      </c>
      <c r="AD124" s="4">
        <v>316658</v>
      </c>
      <c r="AE124" s="4">
        <v>121430</v>
      </c>
      <c r="AF124" s="4">
        <v>0</v>
      </c>
      <c r="AG124" s="4">
        <v>0</v>
      </c>
      <c r="AH124" s="4">
        <v>277590</v>
      </c>
      <c r="AI124" s="4">
        <v>216020</v>
      </c>
      <c r="AJ124" s="4">
        <v>55604</v>
      </c>
      <c r="AK124" s="4">
        <v>327904</v>
      </c>
      <c r="AL124" s="4">
        <v>637660</v>
      </c>
      <c r="AM124" s="4">
        <v>817282</v>
      </c>
      <c r="AN124" s="4">
        <v>49530</v>
      </c>
      <c r="AO124" s="4">
        <v>0</v>
      </c>
      <c r="AP124" s="4">
        <v>6209</v>
      </c>
      <c r="AQ124" s="4">
        <v>0</v>
      </c>
      <c r="AR124" s="4">
        <v>658646</v>
      </c>
      <c r="AS124" s="4">
        <v>478318</v>
      </c>
      <c r="AT124" s="4">
        <v>330168</v>
      </c>
      <c r="AU124" s="4">
        <v>0</v>
      </c>
      <c r="AV124" s="4">
        <v>0</v>
      </c>
      <c r="AW124" s="4">
        <v>5246</v>
      </c>
      <c r="AX124" s="4">
        <v>61386</v>
      </c>
      <c r="AY124" s="4">
        <v>117858</v>
      </c>
      <c r="AZ124" s="4">
        <v>493047</v>
      </c>
      <c r="BA124" s="4">
        <v>190035</v>
      </c>
      <c r="BB124" s="4">
        <v>0</v>
      </c>
      <c r="BC124" s="4">
        <v>155228</v>
      </c>
      <c r="BD124" s="4">
        <v>441463</v>
      </c>
      <c r="BE124" s="4">
        <v>236080</v>
      </c>
      <c r="BF124" s="4">
        <f t="shared" si="78"/>
        <v>12684528.199999999</v>
      </c>
      <c r="BG124" s="4">
        <f t="shared" si="79"/>
        <v>6461607.2000000002</v>
      </c>
      <c r="BH124" s="4">
        <f t="shared" si="80"/>
        <v>1216861</v>
      </c>
      <c r="BI124" s="4">
        <f t="shared" si="81"/>
        <v>5006060</v>
      </c>
    </row>
    <row r="125" spans="2:61" x14ac:dyDescent="0.25">
      <c r="C125">
        <v>463</v>
      </c>
      <c r="D125" t="s">
        <v>178</v>
      </c>
      <c r="E125" s="4">
        <v>56165.5</v>
      </c>
      <c r="F125" s="4">
        <v>25625.9</v>
      </c>
      <c r="G125" s="4">
        <v>21687.75</v>
      </c>
      <c r="H125" s="4">
        <v>42480.15</v>
      </c>
      <c r="I125" s="4">
        <v>288697.65000000002</v>
      </c>
      <c r="J125" s="4">
        <v>324639.05</v>
      </c>
      <c r="K125" s="4">
        <v>131950.29999999999</v>
      </c>
      <c r="L125" s="4">
        <v>1772632.44</v>
      </c>
      <c r="M125" s="4">
        <v>104873.05</v>
      </c>
      <c r="N125" s="4">
        <v>12536.3</v>
      </c>
      <c r="O125" s="4">
        <v>730829.78</v>
      </c>
      <c r="P125" s="4">
        <v>36824.1</v>
      </c>
      <c r="Q125" s="4">
        <v>5896</v>
      </c>
      <c r="R125" s="4">
        <v>11286.75</v>
      </c>
      <c r="S125" s="4">
        <v>20370.5</v>
      </c>
      <c r="T125" s="4">
        <v>37488.1</v>
      </c>
      <c r="U125" s="4">
        <v>29052.9</v>
      </c>
      <c r="V125" s="4">
        <v>83678.7</v>
      </c>
      <c r="W125" s="4">
        <v>341668.34</v>
      </c>
      <c r="X125" s="4">
        <v>473236.6</v>
      </c>
      <c r="Y125" s="4">
        <v>86900.75</v>
      </c>
      <c r="Z125" s="4">
        <v>519737.59999999998</v>
      </c>
      <c r="AA125" s="4">
        <v>5544.5</v>
      </c>
      <c r="AB125" s="4">
        <v>18223.45</v>
      </c>
      <c r="AC125" s="4">
        <v>144047.95000000001</v>
      </c>
      <c r="AD125" s="4">
        <v>94810.65</v>
      </c>
      <c r="AE125" s="4">
        <v>86470.45</v>
      </c>
      <c r="AF125" s="4">
        <v>272598.25</v>
      </c>
      <c r="AG125" s="4">
        <v>278247.65000000002</v>
      </c>
      <c r="AH125" s="4">
        <v>746946.65</v>
      </c>
      <c r="AI125" s="4">
        <v>52124.85</v>
      </c>
      <c r="AJ125" s="4">
        <v>24260.5</v>
      </c>
      <c r="AK125" s="4">
        <v>183973.45</v>
      </c>
      <c r="AL125" s="4">
        <v>263716.99</v>
      </c>
      <c r="AM125" s="4">
        <v>187558.26</v>
      </c>
      <c r="AN125" s="4">
        <v>32983.25</v>
      </c>
      <c r="AO125" s="4">
        <v>211087.77</v>
      </c>
      <c r="AP125" s="4">
        <v>139296.54999999999</v>
      </c>
      <c r="AQ125" s="4">
        <v>146805.5</v>
      </c>
      <c r="AR125" s="4">
        <v>97920.8</v>
      </c>
      <c r="AS125" s="4">
        <v>53917</v>
      </c>
      <c r="AT125" s="4">
        <v>322030.45</v>
      </c>
      <c r="AU125" s="4">
        <v>59935.9</v>
      </c>
      <c r="AV125" s="4">
        <v>113734</v>
      </c>
      <c r="AW125" s="4">
        <v>131376.65</v>
      </c>
      <c r="AX125" s="4">
        <v>13713.65</v>
      </c>
      <c r="AY125" s="4">
        <v>18491.5</v>
      </c>
      <c r="AZ125" s="4">
        <v>96189.8</v>
      </c>
      <c r="BA125" s="4">
        <v>32246.400000000001</v>
      </c>
      <c r="BB125" s="4">
        <v>158463.85</v>
      </c>
      <c r="BC125" s="4">
        <v>41829.5</v>
      </c>
      <c r="BD125" s="4">
        <v>1184010.8500000001</v>
      </c>
      <c r="BE125" s="4">
        <v>140139.79999999999</v>
      </c>
      <c r="BF125" s="4">
        <f t="shared" si="78"/>
        <v>10510955.030000003</v>
      </c>
      <c r="BG125" s="4">
        <f t="shared" si="79"/>
        <v>4078383.2600000002</v>
      </c>
      <c r="BH125" s="4">
        <f t="shared" si="80"/>
        <v>2803149.8499999996</v>
      </c>
      <c r="BI125" s="4">
        <f t="shared" si="81"/>
        <v>3629421.92</v>
      </c>
    </row>
    <row r="126" spans="2:61" x14ac:dyDescent="0.25">
      <c r="C126">
        <v>469</v>
      </c>
      <c r="D126" t="s">
        <v>179</v>
      </c>
      <c r="E126" s="4">
        <v>105.9</v>
      </c>
      <c r="F126" s="4">
        <v>9.6999999999999993</v>
      </c>
      <c r="G126" s="4">
        <v>0</v>
      </c>
      <c r="H126" s="4">
        <v>53.3</v>
      </c>
      <c r="I126" s="4">
        <v>1005.85</v>
      </c>
      <c r="J126" s="4">
        <v>698.4</v>
      </c>
      <c r="K126" s="4">
        <v>212.6</v>
      </c>
      <c r="L126" s="4">
        <v>7371813.5</v>
      </c>
      <c r="M126" s="4">
        <v>363975.7</v>
      </c>
      <c r="N126" s="4">
        <v>0</v>
      </c>
      <c r="O126" s="4">
        <v>28795.85</v>
      </c>
      <c r="P126" s="4">
        <v>0</v>
      </c>
      <c r="Q126" s="4">
        <v>12.05</v>
      </c>
      <c r="R126" s="4">
        <v>56.95</v>
      </c>
      <c r="S126" s="4">
        <v>25.5</v>
      </c>
      <c r="T126" s="4">
        <v>0</v>
      </c>
      <c r="U126" s="4">
        <v>0</v>
      </c>
      <c r="V126" s="4">
        <v>73.400000000000006</v>
      </c>
      <c r="W126" s="4">
        <v>495.75</v>
      </c>
      <c r="X126" s="4">
        <v>631.75</v>
      </c>
      <c r="Y126" s="4">
        <v>5107</v>
      </c>
      <c r="Z126" s="4">
        <v>400.6</v>
      </c>
      <c r="AA126" s="4">
        <v>238.3</v>
      </c>
      <c r="AB126" s="4">
        <v>770.55</v>
      </c>
      <c r="AC126" s="4">
        <v>1463.6</v>
      </c>
      <c r="AD126" s="4">
        <v>629.35</v>
      </c>
      <c r="AE126" s="4">
        <v>69.45</v>
      </c>
      <c r="AF126" s="4">
        <v>0</v>
      </c>
      <c r="AG126" s="4">
        <v>2080.6999999999998</v>
      </c>
      <c r="AH126" s="4">
        <v>6855.35</v>
      </c>
      <c r="AI126" s="4">
        <v>310.39999999999998</v>
      </c>
      <c r="AJ126" s="4">
        <v>182.55</v>
      </c>
      <c r="AK126" s="4">
        <v>1692.75</v>
      </c>
      <c r="AL126" s="4">
        <v>16102.8</v>
      </c>
      <c r="AM126" s="4">
        <v>11104.75</v>
      </c>
      <c r="AN126" s="4">
        <v>575.04999999999995</v>
      </c>
      <c r="AO126" s="4">
        <v>304.39999999999998</v>
      </c>
      <c r="AP126" s="4">
        <v>1712.2</v>
      </c>
      <c r="AQ126" s="4">
        <v>6073.3</v>
      </c>
      <c r="AR126" s="4">
        <v>12409.05</v>
      </c>
      <c r="AS126" s="4">
        <v>1143.7</v>
      </c>
      <c r="AT126" s="4">
        <v>95.5</v>
      </c>
      <c r="AU126" s="4">
        <v>782.9</v>
      </c>
      <c r="AV126" s="4">
        <v>232.25</v>
      </c>
      <c r="AW126" s="4">
        <v>1170.3499999999999</v>
      </c>
      <c r="AX126" s="4">
        <v>1876.15</v>
      </c>
      <c r="AY126" s="4">
        <v>2950.2</v>
      </c>
      <c r="AZ126" s="4">
        <v>212.6</v>
      </c>
      <c r="BA126" s="4">
        <v>29.5</v>
      </c>
      <c r="BB126" s="4">
        <v>303.25</v>
      </c>
      <c r="BC126" s="4">
        <v>1891.2</v>
      </c>
      <c r="BD126" s="4">
        <v>59433.35</v>
      </c>
      <c r="BE126" s="4">
        <v>6861.7</v>
      </c>
      <c r="BF126" s="4">
        <f t="shared" si="78"/>
        <v>7913030.9999999991</v>
      </c>
      <c r="BG126" s="4">
        <f t="shared" si="79"/>
        <v>7767334.4500000002</v>
      </c>
      <c r="BH126" s="4">
        <f t="shared" si="80"/>
        <v>18739.600000000002</v>
      </c>
      <c r="BI126" s="4">
        <f t="shared" si="81"/>
        <v>126956.95</v>
      </c>
    </row>
    <row r="127" spans="2:61" x14ac:dyDescent="0.25">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row>
    <row r="128" spans="2:61" x14ac:dyDescent="0.25">
      <c r="B128" s="78">
        <v>47</v>
      </c>
      <c r="C128" s="78"/>
      <c r="D128" s="78" t="s">
        <v>119</v>
      </c>
      <c r="E128" s="73">
        <f>E129</f>
        <v>0</v>
      </c>
      <c r="F128" s="73">
        <f t="shared" ref="F128:BI128" si="82">F129</f>
        <v>0</v>
      </c>
      <c r="G128" s="73">
        <f t="shared" si="82"/>
        <v>0</v>
      </c>
      <c r="H128" s="73">
        <f t="shared" si="82"/>
        <v>0</v>
      </c>
      <c r="I128" s="73">
        <f t="shared" si="82"/>
        <v>0</v>
      </c>
      <c r="J128" s="73">
        <f t="shared" si="82"/>
        <v>0</v>
      </c>
      <c r="K128" s="73">
        <f t="shared" si="82"/>
        <v>0</v>
      </c>
      <c r="L128" s="73">
        <f t="shared" si="82"/>
        <v>0</v>
      </c>
      <c r="M128" s="73">
        <f t="shared" si="82"/>
        <v>0</v>
      </c>
      <c r="N128" s="73">
        <f t="shared" si="82"/>
        <v>0</v>
      </c>
      <c r="O128" s="73">
        <f t="shared" si="82"/>
        <v>0</v>
      </c>
      <c r="P128" s="73">
        <f t="shared" si="82"/>
        <v>0</v>
      </c>
      <c r="Q128" s="73">
        <f t="shared" si="82"/>
        <v>0</v>
      </c>
      <c r="R128" s="73">
        <f t="shared" si="82"/>
        <v>0</v>
      </c>
      <c r="S128" s="73">
        <f t="shared" si="82"/>
        <v>0</v>
      </c>
      <c r="T128" s="73">
        <f t="shared" si="82"/>
        <v>0</v>
      </c>
      <c r="U128" s="73">
        <f t="shared" si="82"/>
        <v>0</v>
      </c>
      <c r="V128" s="73">
        <f t="shared" si="82"/>
        <v>0</v>
      </c>
      <c r="W128" s="73">
        <f t="shared" si="82"/>
        <v>0</v>
      </c>
      <c r="X128" s="73">
        <f t="shared" si="82"/>
        <v>0</v>
      </c>
      <c r="Y128" s="73">
        <f t="shared" si="82"/>
        <v>0</v>
      </c>
      <c r="Z128" s="73">
        <f t="shared" si="82"/>
        <v>429137</v>
      </c>
      <c r="AA128" s="73">
        <f t="shared" si="82"/>
        <v>159211.1</v>
      </c>
      <c r="AB128" s="73">
        <f t="shared" si="82"/>
        <v>201569.3</v>
      </c>
      <c r="AC128" s="73">
        <f t="shared" si="82"/>
        <v>188162.35</v>
      </c>
      <c r="AD128" s="73">
        <f t="shared" si="82"/>
        <v>0</v>
      </c>
      <c r="AE128" s="73">
        <f t="shared" si="82"/>
        <v>238357.4</v>
      </c>
      <c r="AF128" s="73">
        <f t="shared" si="82"/>
        <v>591726.85</v>
      </c>
      <c r="AG128" s="73">
        <f t="shared" si="82"/>
        <v>419088.2</v>
      </c>
      <c r="AH128" s="73">
        <f t="shared" si="82"/>
        <v>0</v>
      </c>
      <c r="AI128" s="73">
        <f t="shared" si="82"/>
        <v>4182.3500000000004</v>
      </c>
      <c r="AJ128" s="73">
        <f t="shared" si="82"/>
        <v>0</v>
      </c>
      <c r="AK128" s="73">
        <f t="shared" si="82"/>
        <v>0</v>
      </c>
      <c r="AL128" s="73">
        <f t="shared" si="82"/>
        <v>0</v>
      </c>
      <c r="AM128" s="73">
        <f t="shared" si="82"/>
        <v>0</v>
      </c>
      <c r="AN128" s="73">
        <f t="shared" si="82"/>
        <v>0</v>
      </c>
      <c r="AO128" s="73">
        <f t="shared" si="82"/>
        <v>0</v>
      </c>
      <c r="AP128" s="73">
        <f t="shared" si="82"/>
        <v>0</v>
      </c>
      <c r="AQ128" s="73">
        <f t="shared" si="82"/>
        <v>0</v>
      </c>
      <c r="AR128" s="73">
        <f t="shared" si="82"/>
        <v>56776.4</v>
      </c>
      <c r="AS128" s="73">
        <f t="shared" si="82"/>
        <v>0</v>
      </c>
      <c r="AT128" s="73">
        <f t="shared" si="82"/>
        <v>0</v>
      </c>
      <c r="AU128" s="73">
        <f t="shared" si="82"/>
        <v>0</v>
      </c>
      <c r="AV128" s="73">
        <f t="shared" si="82"/>
        <v>80169.3</v>
      </c>
      <c r="AW128" s="73">
        <f t="shared" si="82"/>
        <v>0</v>
      </c>
      <c r="AX128" s="73">
        <f t="shared" si="82"/>
        <v>0</v>
      </c>
      <c r="AY128" s="73">
        <f t="shared" si="82"/>
        <v>0</v>
      </c>
      <c r="AZ128" s="73">
        <f t="shared" si="82"/>
        <v>0</v>
      </c>
      <c r="BA128" s="73">
        <f t="shared" si="82"/>
        <v>0</v>
      </c>
      <c r="BB128" s="73">
        <f t="shared" si="82"/>
        <v>0</v>
      </c>
      <c r="BC128" s="73">
        <f t="shared" si="82"/>
        <v>0</v>
      </c>
      <c r="BD128" s="73">
        <f t="shared" si="82"/>
        <v>0</v>
      </c>
      <c r="BE128" s="73">
        <f t="shared" si="82"/>
        <v>0</v>
      </c>
      <c r="BF128" s="73">
        <f t="shared" si="82"/>
        <v>2368380.25</v>
      </c>
      <c r="BG128" s="73">
        <f t="shared" si="82"/>
        <v>0</v>
      </c>
      <c r="BH128" s="73">
        <f t="shared" si="82"/>
        <v>2231434.5500000003</v>
      </c>
      <c r="BI128" s="73">
        <f t="shared" si="82"/>
        <v>136945.70000000001</v>
      </c>
    </row>
    <row r="129" spans="2:61" x14ac:dyDescent="0.25">
      <c r="C129">
        <v>470</v>
      </c>
      <c r="D129" t="s">
        <v>180</v>
      </c>
      <c r="E129" s="4">
        <v>0</v>
      </c>
      <c r="F129" s="4">
        <v>0</v>
      </c>
      <c r="G129" s="4">
        <v>0</v>
      </c>
      <c r="H129" s="4">
        <v>0</v>
      </c>
      <c r="I129" s="4">
        <v>0</v>
      </c>
      <c r="J129" s="4">
        <v>0</v>
      </c>
      <c r="K129" s="4">
        <v>0</v>
      </c>
      <c r="L129" s="4">
        <v>0</v>
      </c>
      <c r="M129" s="4">
        <v>0</v>
      </c>
      <c r="N129" s="4">
        <v>0</v>
      </c>
      <c r="O129" s="4">
        <v>0</v>
      </c>
      <c r="P129" s="4">
        <v>0</v>
      </c>
      <c r="Q129" s="4">
        <v>0</v>
      </c>
      <c r="R129" s="4">
        <v>0</v>
      </c>
      <c r="S129" s="4">
        <v>0</v>
      </c>
      <c r="T129" s="4">
        <v>0</v>
      </c>
      <c r="U129" s="4">
        <v>0</v>
      </c>
      <c r="V129" s="4">
        <v>0</v>
      </c>
      <c r="W129" s="4">
        <v>0</v>
      </c>
      <c r="X129" s="4">
        <v>0</v>
      </c>
      <c r="Y129" s="4">
        <v>0</v>
      </c>
      <c r="Z129" s="4">
        <v>429137</v>
      </c>
      <c r="AA129" s="4">
        <v>159211.1</v>
      </c>
      <c r="AB129" s="4">
        <v>201569.3</v>
      </c>
      <c r="AC129" s="4">
        <v>188162.35</v>
      </c>
      <c r="AD129" s="4">
        <v>0</v>
      </c>
      <c r="AE129" s="4">
        <v>238357.4</v>
      </c>
      <c r="AF129" s="4">
        <v>591726.85</v>
      </c>
      <c r="AG129" s="4">
        <v>419088.2</v>
      </c>
      <c r="AH129" s="4">
        <v>0</v>
      </c>
      <c r="AI129" s="4">
        <v>4182.3500000000004</v>
      </c>
      <c r="AJ129" s="4">
        <v>0</v>
      </c>
      <c r="AK129" s="4">
        <v>0</v>
      </c>
      <c r="AL129" s="4">
        <v>0</v>
      </c>
      <c r="AM129" s="4">
        <v>0</v>
      </c>
      <c r="AN129" s="4">
        <v>0</v>
      </c>
      <c r="AO129" s="4">
        <v>0</v>
      </c>
      <c r="AP129" s="4">
        <v>0</v>
      </c>
      <c r="AQ129" s="4">
        <v>0</v>
      </c>
      <c r="AR129" s="4">
        <v>56776.4</v>
      </c>
      <c r="AS129" s="4">
        <v>0</v>
      </c>
      <c r="AT129" s="4">
        <v>0</v>
      </c>
      <c r="AU129" s="4">
        <v>0</v>
      </c>
      <c r="AV129" s="4">
        <v>80169.3</v>
      </c>
      <c r="AW129" s="4">
        <v>0</v>
      </c>
      <c r="AX129" s="4">
        <v>0</v>
      </c>
      <c r="AY129" s="4">
        <v>0</v>
      </c>
      <c r="AZ129" s="4">
        <v>0</v>
      </c>
      <c r="BA129" s="4">
        <v>0</v>
      </c>
      <c r="BB129" s="4">
        <v>0</v>
      </c>
      <c r="BC129" s="4">
        <v>0</v>
      </c>
      <c r="BD129" s="4">
        <v>0</v>
      </c>
      <c r="BE129" s="4">
        <v>0</v>
      </c>
      <c r="BF129" s="4">
        <f t="shared" ref="BF129" si="83">SUM(E129:BE129)</f>
        <v>2368380.25</v>
      </c>
      <c r="BG129" s="4">
        <f t="shared" ref="BG129" si="84">SUM(E129:W129)</f>
        <v>0</v>
      </c>
      <c r="BH129" s="4">
        <f t="shared" ref="BH129" si="85">SUM(X129:AJ129)</f>
        <v>2231434.5500000003</v>
      </c>
      <c r="BI129" s="4">
        <f t="shared" ref="BI129" si="86">SUM(AK129:BE129)</f>
        <v>136945.70000000001</v>
      </c>
    </row>
    <row r="130" spans="2:61" x14ac:dyDescent="0.25">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row>
    <row r="131" spans="2:61" x14ac:dyDescent="0.25">
      <c r="B131" s="78">
        <v>48</v>
      </c>
      <c r="C131" s="78"/>
      <c r="D131" s="78" t="s">
        <v>181</v>
      </c>
      <c r="E131" s="73">
        <f>E132+E133+E134+E135+E136+E137+E138</f>
        <v>0</v>
      </c>
      <c r="F131" s="73">
        <f t="shared" ref="F131:BI131" si="87">F132+F133+F134+F135+F136+F137+F138</f>
        <v>0</v>
      </c>
      <c r="G131" s="73">
        <f t="shared" si="87"/>
        <v>0</v>
      </c>
      <c r="H131" s="73">
        <f t="shared" si="87"/>
        <v>0</v>
      </c>
      <c r="I131" s="73">
        <f t="shared" si="87"/>
        <v>0</v>
      </c>
      <c r="J131" s="73">
        <f t="shared" si="87"/>
        <v>2944.95</v>
      </c>
      <c r="K131" s="73">
        <f t="shared" si="87"/>
        <v>6444.48</v>
      </c>
      <c r="L131" s="73">
        <f t="shared" si="87"/>
        <v>1310000</v>
      </c>
      <c r="M131" s="73">
        <f t="shared" si="87"/>
        <v>0</v>
      </c>
      <c r="N131" s="73">
        <f t="shared" si="87"/>
        <v>0</v>
      </c>
      <c r="O131" s="73">
        <f t="shared" si="87"/>
        <v>0</v>
      </c>
      <c r="P131" s="73">
        <f t="shared" si="87"/>
        <v>0</v>
      </c>
      <c r="Q131" s="73">
        <f t="shared" si="87"/>
        <v>9186.5</v>
      </c>
      <c r="R131" s="73">
        <f t="shared" si="87"/>
        <v>0</v>
      </c>
      <c r="S131" s="73">
        <f t="shared" si="87"/>
        <v>0</v>
      </c>
      <c r="T131" s="73">
        <f t="shared" si="87"/>
        <v>0</v>
      </c>
      <c r="U131" s="73">
        <f t="shared" si="87"/>
        <v>0</v>
      </c>
      <c r="V131" s="73">
        <f t="shared" si="87"/>
        <v>0</v>
      </c>
      <c r="W131" s="73">
        <f t="shared" si="87"/>
        <v>0</v>
      </c>
      <c r="X131" s="73">
        <f t="shared" si="87"/>
        <v>0</v>
      </c>
      <c r="Y131" s="73">
        <f t="shared" si="87"/>
        <v>4842</v>
      </c>
      <c r="Z131" s="73">
        <f t="shared" si="87"/>
        <v>31459</v>
      </c>
      <c r="AA131" s="73">
        <f t="shared" si="87"/>
        <v>0</v>
      </c>
      <c r="AB131" s="73">
        <f t="shared" si="87"/>
        <v>0</v>
      </c>
      <c r="AC131" s="73">
        <f t="shared" si="87"/>
        <v>130000</v>
      </c>
      <c r="AD131" s="73">
        <f t="shared" si="87"/>
        <v>1336.9</v>
      </c>
      <c r="AE131" s="73">
        <f t="shared" si="87"/>
        <v>0</v>
      </c>
      <c r="AF131" s="73">
        <f t="shared" si="87"/>
        <v>0</v>
      </c>
      <c r="AG131" s="73">
        <f t="shared" si="87"/>
        <v>126.15</v>
      </c>
      <c r="AH131" s="73">
        <f t="shared" si="87"/>
        <v>0</v>
      </c>
      <c r="AI131" s="73">
        <f t="shared" si="87"/>
        <v>0</v>
      </c>
      <c r="AJ131" s="73">
        <f t="shared" si="87"/>
        <v>0</v>
      </c>
      <c r="AK131" s="73">
        <f t="shared" si="87"/>
        <v>0</v>
      </c>
      <c r="AL131" s="73">
        <f t="shared" si="87"/>
        <v>339800</v>
      </c>
      <c r="AM131" s="73">
        <f t="shared" si="87"/>
        <v>18062.259999999998</v>
      </c>
      <c r="AN131" s="73">
        <f t="shared" si="87"/>
        <v>5985</v>
      </c>
      <c r="AO131" s="73">
        <f t="shared" si="87"/>
        <v>0</v>
      </c>
      <c r="AP131" s="73">
        <f t="shared" si="87"/>
        <v>0</v>
      </c>
      <c r="AQ131" s="73">
        <f t="shared" si="87"/>
        <v>0</v>
      </c>
      <c r="AR131" s="73">
        <f t="shared" si="87"/>
        <v>94.9</v>
      </c>
      <c r="AS131" s="73">
        <f t="shared" si="87"/>
        <v>0</v>
      </c>
      <c r="AT131" s="73">
        <f t="shared" si="87"/>
        <v>100000</v>
      </c>
      <c r="AU131" s="73">
        <f t="shared" si="87"/>
        <v>775000</v>
      </c>
      <c r="AV131" s="73">
        <f t="shared" si="87"/>
        <v>0</v>
      </c>
      <c r="AW131" s="73">
        <f t="shared" si="87"/>
        <v>0</v>
      </c>
      <c r="AX131" s="73">
        <f t="shared" si="87"/>
        <v>0</v>
      </c>
      <c r="AY131" s="73">
        <f t="shared" si="87"/>
        <v>0</v>
      </c>
      <c r="AZ131" s="73">
        <f t="shared" si="87"/>
        <v>0</v>
      </c>
      <c r="BA131" s="73">
        <f t="shared" si="87"/>
        <v>0</v>
      </c>
      <c r="BB131" s="73">
        <f t="shared" si="87"/>
        <v>0</v>
      </c>
      <c r="BC131" s="73">
        <f t="shared" si="87"/>
        <v>0</v>
      </c>
      <c r="BD131" s="73">
        <f t="shared" si="87"/>
        <v>1000000</v>
      </c>
      <c r="BE131" s="73">
        <f t="shared" si="87"/>
        <v>0</v>
      </c>
      <c r="BF131" s="73">
        <f t="shared" si="87"/>
        <v>3735282.14</v>
      </c>
      <c r="BG131" s="73">
        <f t="shared" si="87"/>
        <v>1328575.93</v>
      </c>
      <c r="BH131" s="73">
        <f t="shared" si="87"/>
        <v>167764.04999999999</v>
      </c>
      <c r="BI131" s="73">
        <f t="shared" si="87"/>
        <v>2238942.16</v>
      </c>
    </row>
    <row r="132" spans="2:61" x14ac:dyDescent="0.25">
      <c r="C132">
        <v>481</v>
      </c>
      <c r="D132" t="s">
        <v>182</v>
      </c>
      <c r="E132" s="4">
        <v>0</v>
      </c>
      <c r="F132" s="4">
        <v>0</v>
      </c>
      <c r="G132" s="4">
        <v>0</v>
      </c>
      <c r="H132" s="4">
        <v>0</v>
      </c>
      <c r="I132" s="4">
        <v>0</v>
      </c>
      <c r="J132" s="4">
        <v>0</v>
      </c>
      <c r="K132" s="4">
        <v>0</v>
      </c>
      <c r="L132" s="4">
        <v>0</v>
      </c>
      <c r="M132" s="4">
        <v>0</v>
      </c>
      <c r="N132" s="4">
        <v>0</v>
      </c>
      <c r="O132" s="4">
        <v>0</v>
      </c>
      <c r="P132" s="4">
        <v>0</v>
      </c>
      <c r="Q132" s="4">
        <v>0</v>
      </c>
      <c r="R132" s="4">
        <v>0</v>
      </c>
      <c r="S132" s="4">
        <v>0</v>
      </c>
      <c r="T132" s="4">
        <v>0</v>
      </c>
      <c r="U132" s="4">
        <v>0</v>
      </c>
      <c r="V132" s="4">
        <v>0</v>
      </c>
      <c r="W132" s="4">
        <v>0</v>
      </c>
      <c r="X132" s="4">
        <v>0</v>
      </c>
      <c r="Y132" s="4">
        <v>0</v>
      </c>
      <c r="Z132" s="4">
        <v>0</v>
      </c>
      <c r="AA132" s="4">
        <v>0</v>
      </c>
      <c r="AB132" s="4">
        <v>0</v>
      </c>
      <c r="AC132" s="4">
        <v>0</v>
      </c>
      <c r="AD132" s="4">
        <v>0</v>
      </c>
      <c r="AE132" s="4">
        <v>0</v>
      </c>
      <c r="AF132" s="4">
        <v>0</v>
      </c>
      <c r="AG132" s="4">
        <v>0</v>
      </c>
      <c r="AH132" s="4">
        <v>0</v>
      </c>
      <c r="AI132" s="4">
        <v>0</v>
      </c>
      <c r="AJ132" s="4">
        <v>0</v>
      </c>
      <c r="AK132" s="4">
        <v>0</v>
      </c>
      <c r="AL132" s="4">
        <v>0</v>
      </c>
      <c r="AM132" s="4">
        <v>0</v>
      </c>
      <c r="AN132" s="4">
        <v>0</v>
      </c>
      <c r="AO132" s="4">
        <v>0</v>
      </c>
      <c r="AP132" s="4">
        <v>0</v>
      </c>
      <c r="AQ132" s="4">
        <v>0</v>
      </c>
      <c r="AR132" s="4">
        <v>0</v>
      </c>
      <c r="AS132" s="4">
        <v>0</v>
      </c>
      <c r="AT132" s="4">
        <v>0</v>
      </c>
      <c r="AU132" s="4">
        <v>0</v>
      </c>
      <c r="AV132" s="4">
        <v>0</v>
      </c>
      <c r="AW132" s="4">
        <v>0</v>
      </c>
      <c r="AX132" s="4">
        <v>0</v>
      </c>
      <c r="AY132" s="4">
        <v>0</v>
      </c>
      <c r="AZ132" s="4">
        <v>0</v>
      </c>
      <c r="BA132" s="4">
        <v>0</v>
      </c>
      <c r="BB132" s="4">
        <v>0</v>
      </c>
      <c r="BC132" s="4">
        <v>0</v>
      </c>
      <c r="BD132" s="4">
        <v>0</v>
      </c>
      <c r="BE132" s="4">
        <v>0</v>
      </c>
      <c r="BF132" s="4">
        <f t="shared" ref="BF132:BF138" si="88">SUM(E132:BE132)</f>
        <v>0</v>
      </c>
      <c r="BG132" s="4">
        <f t="shared" ref="BG132:BG138" si="89">SUM(E132:W132)</f>
        <v>0</v>
      </c>
      <c r="BH132" s="4">
        <f t="shared" ref="BH132:BH138" si="90">SUM(X132:AJ132)</f>
        <v>0</v>
      </c>
      <c r="BI132" s="4">
        <f t="shared" ref="BI132:BI138" si="91">SUM(AK132:BE132)</f>
        <v>0</v>
      </c>
    </row>
    <row r="133" spans="2:61" x14ac:dyDescent="0.25">
      <c r="C133">
        <v>482</v>
      </c>
      <c r="D133" t="s">
        <v>183</v>
      </c>
      <c r="E133" s="4">
        <v>0</v>
      </c>
      <c r="F133" s="4">
        <v>0</v>
      </c>
      <c r="G133" s="4">
        <v>0</v>
      </c>
      <c r="H133" s="4">
        <v>0</v>
      </c>
      <c r="I133" s="4">
        <v>0</v>
      </c>
      <c r="J133" s="4">
        <v>0</v>
      </c>
      <c r="K133" s="4">
        <v>4680</v>
      </c>
      <c r="L133" s="4">
        <v>0</v>
      </c>
      <c r="M133" s="4">
        <v>0</v>
      </c>
      <c r="N133" s="4">
        <v>0</v>
      </c>
      <c r="O133" s="4">
        <v>0</v>
      </c>
      <c r="P133" s="4">
        <v>0</v>
      </c>
      <c r="Q133" s="4">
        <v>0</v>
      </c>
      <c r="R133" s="4">
        <v>0</v>
      </c>
      <c r="S133" s="4">
        <v>0</v>
      </c>
      <c r="T133" s="4">
        <v>0</v>
      </c>
      <c r="U133" s="4">
        <v>0</v>
      </c>
      <c r="V133" s="4">
        <v>0</v>
      </c>
      <c r="W133" s="4">
        <v>0</v>
      </c>
      <c r="X133" s="4">
        <v>0</v>
      </c>
      <c r="Y133" s="4">
        <v>0</v>
      </c>
      <c r="Z133" s="4">
        <v>0</v>
      </c>
      <c r="AA133" s="4">
        <v>0</v>
      </c>
      <c r="AB133" s="4">
        <v>0</v>
      </c>
      <c r="AC133" s="4">
        <v>0</v>
      </c>
      <c r="AD133" s="4">
        <v>0</v>
      </c>
      <c r="AE133" s="4">
        <v>0</v>
      </c>
      <c r="AF133" s="4">
        <v>0</v>
      </c>
      <c r="AG133" s="4">
        <v>0</v>
      </c>
      <c r="AH133" s="4">
        <v>0</v>
      </c>
      <c r="AI133" s="4">
        <v>0</v>
      </c>
      <c r="AJ133" s="4">
        <v>0</v>
      </c>
      <c r="AK133" s="4">
        <v>0</v>
      </c>
      <c r="AL133" s="4">
        <v>0</v>
      </c>
      <c r="AM133" s="4">
        <v>0</v>
      </c>
      <c r="AN133" s="4">
        <v>0</v>
      </c>
      <c r="AO133" s="4">
        <v>0</v>
      </c>
      <c r="AP133" s="4">
        <v>0</v>
      </c>
      <c r="AQ133" s="4">
        <v>0</v>
      </c>
      <c r="AR133" s="4">
        <v>0</v>
      </c>
      <c r="AS133" s="4">
        <v>0</v>
      </c>
      <c r="AT133" s="4">
        <v>0</v>
      </c>
      <c r="AU133" s="4">
        <v>0</v>
      </c>
      <c r="AV133" s="4">
        <v>0</v>
      </c>
      <c r="AW133" s="4">
        <v>0</v>
      </c>
      <c r="AX133" s="4">
        <v>0</v>
      </c>
      <c r="AY133" s="4">
        <v>0</v>
      </c>
      <c r="AZ133" s="4">
        <v>0</v>
      </c>
      <c r="BA133" s="4">
        <v>0</v>
      </c>
      <c r="BB133" s="4">
        <v>0</v>
      </c>
      <c r="BC133" s="4">
        <v>0</v>
      </c>
      <c r="BD133" s="4">
        <v>0</v>
      </c>
      <c r="BE133" s="4">
        <v>0</v>
      </c>
      <c r="BF133" s="4">
        <f t="shared" si="88"/>
        <v>4680</v>
      </c>
      <c r="BG133" s="4">
        <f t="shared" si="89"/>
        <v>4680</v>
      </c>
      <c r="BH133" s="4">
        <f t="shared" si="90"/>
        <v>0</v>
      </c>
      <c r="BI133" s="4">
        <f t="shared" si="91"/>
        <v>0</v>
      </c>
    </row>
    <row r="134" spans="2:61" x14ac:dyDescent="0.25">
      <c r="C134">
        <v>483</v>
      </c>
      <c r="D134" t="s">
        <v>184</v>
      </c>
      <c r="E134" s="4">
        <v>0</v>
      </c>
      <c r="F134" s="4">
        <v>0</v>
      </c>
      <c r="G134" s="4">
        <v>0</v>
      </c>
      <c r="H134" s="4">
        <v>0</v>
      </c>
      <c r="I134" s="4">
        <v>0</v>
      </c>
      <c r="J134" s="4">
        <v>0</v>
      </c>
      <c r="K134" s="4">
        <v>0</v>
      </c>
      <c r="L134" s="4">
        <v>0</v>
      </c>
      <c r="M134" s="4">
        <v>0</v>
      </c>
      <c r="N134" s="4">
        <v>0</v>
      </c>
      <c r="O134" s="4">
        <v>0</v>
      </c>
      <c r="P134" s="4">
        <v>0</v>
      </c>
      <c r="Q134" s="4">
        <v>0</v>
      </c>
      <c r="R134" s="4">
        <v>0</v>
      </c>
      <c r="S134" s="4">
        <v>0</v>
      </c>
      <c r="T134" s="4">
        <v>0</v>
      </c>
      <c r="U134" s="4">
        <v>0</v>
      </c>
      <c r="V134" s="4">
        <v>0</v>
      </c>
      <c r="W134" s="4">
        <v>0</v>
      </c>
      <c r="X134" s="4">
        <v>0</v>
      </c>
      <c r="Y134" s="4">
        <v>0</v>
      </c>
      <c r="Z134" s="4">
        <v>0</v>
      </c>
      <c r="AA134" s="4">
        <v>0</v>
      </c>
      <c r="AB134" s="4">
        <v>0</v>
      </c>
      <c r="AC134" s="4">
        <v>0</v>
      </c>
      <c r="AD134" s="4">
        <v>1336.9</v>
      </c>
      <c r="AE134" s="4">
        <v>0</v>
      </c>
      <c r="AF134" s="4">
        <v>0</v>
      </c>
      <c r="AG134" s="4">
        <v>126.15</v>
      </c>
      <c r="AH134" s="4">
        <v>0</v>
      </c>
      <c r="AI134" s="4">
        <v>0</v>
      </c>
      <c r="AJ134" s="4">
        <v>0</v>
      </c>
      <c r="AK134" s="4">
        <v>0</v>
      </c>
      <c r="AL134" s="4">
        <v>0</v>
      </c>
      <c r="AM134" s="4">
        <v>0</v>
      </c>
      <c r="AN134" s="4">
        <v>0</v>
      </c>
      <c r="AO134" s="4">
        <v>0</v>
      </c>
      <c r="AP134" s="4">
        <v>0</v>
      </c>
      <c r="AQ134" s="4">
        <v>0</v>
      </c>
      <c r="AR134" s="4">
        <v>0</v>
      </c>
      <c r="AS134" s="4">
        <v>0</v>
      </c>
      <c r="AT134" s="4">
        <v>0</v>
      </c>
      <c r="AU134" s="4">
        <v>0</v>
      </c>
      <c r="AV134" s="4">
        <v>0</v>
      </c>
      <c r="AW134" s="4">
        <v>0</v>
      </c>
      <c r="AX134" s="4">
        <v>0</v>
      </c>
      <c r="AY134" s="4">
        <v>0</v>
      </c>
      <c r="AZ134" s="4">
        <v>0</v>
      </c>
      <c r="BA134" s="4">
        <v>0</v>
      </c>
      <c r="BB134" s="4">
        <v>0</v>
      </c>
      <c r="BC134" s="4">
        <v>0</v>
      </c>
      <c r="BD134" s="4">
        <v>0</v>
      </c>
      <c r="BE134" s="4">
        <v>0</v>
      </c>
      <c r="BF134" s="4">
        <f t="shared" si="88"/>
        <v>1463.0500000000002</v>
      </c>
      <c r="BG134" s="4">
        <f t="shared" si="89"/>
        <v>0</v>
      </c>
      <c r="BH134" s="4">
        <f t="shared" si="90"/>
        <v>1463.0500000000002</v>
      </c>
      <c r="BI134" s="4">
        <f t="shared" si="91"/>
        <v>0</v>
      </c>
    </row>
    <row r="135" spans="2:61" x14ac:dyDescent="0.25">
      <c r="C135">
        <v>484</v>
      </c>
      <c r="D135" t="s">
        <v>185</v>
      </c>
      <c r="E135" s="4">
        <v>0</v>
      </c>
      <c r="F135" s="4">
        <v>0</v>
      </c>
      <c r="G135" s="4">
        <v>0</v>
      </c>
      <c r="H135" s="4">
        <v>0</v>
      </c>
      <c r="I135" s="4">
        <v>0</v>
      </c>
      <c r="J135" s="4">
        <v>0</v>
      </c>
      <c r="K135" s="4">
        <v>1764.48</v>
      </c>
      <c r="L135" s="4">
        <v>0</v>
      </c>
      <c r="M135" s="4">
        <v>0</v>
      </c>
      <c r="N135" s="4">
        <v>0</v>
      </c>
      <c r="O135" s="4">
        <v>0</v>
      </c>
      <c r="P135" s="4">
        <v>0</v>
      </c>
      <c r="Q135" s="4">
        <v>9186.5</v>
      </c>
      <c r="R135" s="4">
        <v>0</v>
      </c>
      <c r="S135" s="4">
        <v>0</v>
      </c>
      <c r="T135" s="4">
        <v>0</v>
      </c>
      <c r="U135" s="4">
        <v>0</v>
      </c>
      <c r="V135" s="4">
        <v>0</v>
      </c>
      <c r="W135" s="4">
        <v>0</v>
      </c>
      <c r="X135" s="4">
        <v>0</v>
      </c>
      <c r="Y135" s="4">
        <v>4842</v>
      </c>
      <c r="Z135" s="4">
        <v>31459</v>
      </c>
      <c r="AA135" s="4">
        <v>0</v>
      </c>
      <c r="AB135" s="4">
        <v>0</v>
      </c>
      <c r="AC135" s="4">
        <v>0</v>
      </c>
      <c r="AD135" s="4">
        <v>0</v>
      </c>
      <c r="AE135" s="4">
        <v>0</v>
      </c>
      <c r="AF135" s="4">
        <v>0</v>
      </c>
      <c r="AG135" s="4">
        <v>0</v>
      </c>
      <c r="AH135" s="4">
        <v>0</v>
      </c>
      <c r="AI135" s="4">
        <v>0</v>
      </c>
      <c r="AJ135" s="4">
        <v>0</v>
      </c>
      <c r="AK135" s="4">
        <v>0</v>
      </c>
      <c r="AL135" s="4">
        <v>304800</v>
      </c>
      <c r="AM135" s="4">
        <v>0</v>
      </c>
      <c r="AN135" s="4">
        <v>0</v>
      </c>
      <c r="AO135" s="4">
        <v>0</v>
      </c>
      <c r="AP135" s="4">
        <v>0</v>
      </c>
      <c r="AQ135" s="4">
        <v>0</v>
      </c>
      <c r="AR135" s="4">
        <v>94.9</v>
      </c>
      <c r="AS135" s="4">
        <v>0</v>
      </c>
      <c r="AT135" s="4">
        <v>0</v>
      </c>
      <c r="AU135" s="4">
        <v>0</v>
      </c>
      <c r="AV135" s="4">
        <v>0</v>
      </c>
      <c r="AW135" s="4">
        <v>0</v>
      </c>
      <c r="AX135" s="4">
        <v>0</v>
      </c>
      <c r="AY135" s="4">
        <v>0</v>
      </c>
      <c r="AZ135" s="4">
        <v>0</v>
      </c>
      <c r="BA135" s="4">
        <v>0</v>
      </c>
      <c r="BB135" s="4">
        <v>0</v>
      </c>
      <c r="BC135" s="4">
        <v>0</v>
      </c>
      <c r="BD135" s="4">
        <v>0</v>
      </c>
      <c r="BE135" s="4">
        <v>0</v>
      </c>
      <c r="BF135" s="4">
        <f t="shared" si="88"/>
        <v>352146.88</v>
      </c>
      <c r="BG135" s="4">
        <f t="shared" si="89"/>
        <v>10950.98</v>
      </c>
      <c r="BH135" s="4">
        <f t="shared" si="90"/>
        <v>36301</v>
      </c>
      <c r="BI135" s="4">
        <f t="shared" si="91"/>
        <v>304894.90000000002</v>
      </c>
    </row>
    <row r="136" spans="2:61" x14ac:dyDescent="0.25">
      <c r="C136">
        <v>485</v>
      </c>
      <c r="D136" t="s">
        <v>186</v>
      </c>
      <c r="E136" s="4">
        <v>0</v>
      </c>
      <c r="F136" s="4">
        <v>0</v>
      </c>
      <c r="G136" s="4">
        <v>0</v>
      </c>
      <c r="H136" s="4">
        <v>0</v>
      </c>
      <c r="I136" s="4">
        <v>0</v>
      </c>
      <c r="J136" s="4">
        <v>0</v>
      </c>
      <c r="K136" s="4">
        <v>0</v>
      </c>
      <c r="L136" s="4">
        <v>0</v>
      </c>
      <c r="M136" s="4">
        <v>0</v>
      </c>
      <c r="N136" s="4">
        <v>0</v>
      </c>
      <c r="O136" s="4">
        <v>0</v>
      </c>
      <c r="P136" s="4">
        <v>0</v>
      </c>
      <c r="Q136" s="4">
        <v>0</v>
      </c>
      <c r="R136" s="4">
        <v>0</v>
      </c>
      <c r="S136" s="4">
        <v>0</v>
      </c>
      <c r="T136" s="4">
        <v>0</v>
      </c>
      <c r="U136" s="4">
        <v>0</v>
      </c>
      <c r="V136" s="4">
        <v>0</v>
      </c>
      <c r="W136" s="4">
        <v>0</v>
      </c>
      <c r="X136" s="4">
        <v>0</v>
      </c>
      <c r="Y136" s="4">
        <v>0</v>
      </c>
      <c r="Z136" s="4">
        <v>0</v>
      </c>
      <c r="AA136" s="4">
        <v>0</v>
      </c>
      <c r="AB136" s="4">
        <v>0</v>
      </c>
      <c r="AC136" s="4">
        <v>0</v>
      </c>
      <c r="AD136" s="4">
        <v>0</v>
      </c>
      <c r="AE136" s="4">
        <v>0</v>
      </c>
      <c r="AF136" s="4">
        <v>0</v>
      </c>
      <c r="AG136" s="4">
        <v>0</v>
      </c>
      <c r="AH136" s="4">
        <v>0</v>
      </c>
      <c r="AI136" s="4">
        <v>0</v>
      </c>
      <c r="AJ136" s="4">
        <v>0</v>
      </c>
      <c r="AK136" s="4">
        <v>0</v>
      </c>
      <c r="AL136" s="4">
        <v>0</v>
      </c>
      <c r="AM136" s="4">
        <v>0</v>
      </c>
      <c r="AN136" s="4">
        <v>0</v>
      </c>
      <c r="AO136" s="4">
        <v>0</v>
      </c>
      <c r="AP136" s="4">
        <v>0</v>
      </c>
      <c r="AQ136" s="4">
        <v>0</v>
      </c>
      <c r="AR136" s="4">
        <v>0</v>
      </c>
      <c r="AS136" s="4">
        <v>0</v>
      </c>
      <c r="AT136" s="4">
        <v>0</v>
      </c>
      <c r="AU136" s="4">
        <v>0</v>
      </c>
      <c r="AV136" s="4">
        <v>0</v>
      </c>
      <c r="AW136" s="4">
        <v>0</v>
      </c>
      <c r="AX136" s="4">
        <v>0</v>
      </c>
      <c r="AY136" s="4">
        <v>0</v>
      </c>
      <c r="AZ136" s="4">
        <v>0</v>
      </c>
      <c r="BA136" s="4">
        <v>0</v>
      </c>
      <c r="BB136" s="4">
        <v>0</v>
      </c>
      <c r="BC136" s="4">
        <v>0</v>
      </c>
      <c r="BD136" s="4">
        <v>0</v>
      </c>
      <c r="BE136" s="4">
        <v>0</v>
      </c>
      <c r="BF136" s="4">
        <f t="shared" si="88"/>
        <v>0</v>
      </c>
      <c r="BG136" s="4">
        <f t="shared" si="89"/>
        <v>0</v>
      </c>
      <c r="BH136" s="4">
        <f t="shared" si="90"/>
        <v>0</v>
      </c>
      <c r="BI136" s="4">
        <f t="shared" si="91"/>
        <v>0</v>
      </c>
    </row>
    <row r="137" spans="2:61" x14ac:dyDescent="0.25">
      <c r="C137">
        <v>486</v>
      </c>
      <c r="D137" t="s">
        <v>187</v>
      </c>
      <c r="E137" s="4">
        <v>0</v>
      </c>
      <c r="F137" s="4">
        <v>0</v>
      </c>
      <c r="G137" s="4">
        <v>0</v>
      </c>
      <c r="H137" s="4">
        <v>0</v>
      </c>
      <c r="I137" s="4">
        <v>0</v>
      </c>
      <c r="J137" s="4">
        <v>0</v>
      </c>
      <c r="K137" s="4">
        <v>0</v>
      </c>
      <c r="L137" s="4">
        <v>0</v>
      </c>
      <c r="M137" s="4">
        <v>0</v>
      </c>
      <c r="N137" s="4">
        <v>0</v>
      </c>
      <c r="O137" s="4">
        <v>0</v>
      </c>
      <c r="P137" s="4">
        <v>0</v>
      </c>
      <c r="Q137" s="4">
        <v>0</v>
      </c>
      <c r="R137" s="4">
        <v>0</v>
      </c>
      <c r="S137" s="4">
        <v>0</v>
      </c>
      <c r="T137" s="4">
        <v>0</v>
      </c>
      <c r="U137" s="4">
        <v>0</v>
      </c>
      <c r="V137" s="4">
        <v>0</v>
      </c>
      <c r="W137" s="4">
        <v>0</v>
      </c>
      <c r="X137" s="4">
        <v>0</v>
      </c>
      <c r="Y137" s="4">
        <v>0</v>
      </c>
      <c r="Z137" s="4">
        <v>0</v>
      </c>
      <c r="AA137" s="4">
        <v>0</v>
      </c>
      <c r="AB137" s="4">
        <v>0</v>
      </c>
      <c r="AC137" s="4">
        <v>0</v>
      </c>
      <c r="AD137" s="4">
        <v>0</v>
      </c>
      <c r="AE137" s="4">
        <v>0</v>
      </c>
      <c r="AF137" s="4">
        <v>0</v>
      </c>
      <c r="AG137" s="4">
        <v>0</v>
      </c>
      <c r="AH137" s="4">
        <v>0</v>
      </c>
      <c r="AI137" s="4">
        <v>0</v>
      </c>
      <c r="AJ137" s="4">
        <v>0</v>
      </c>
      <c r="AK137" s="4">
        <v>0</v>
      </c>
      <c r="AL137" s="4">
        <v>0</v>
      </c>
      <c r="AM137" s="4">
        <v>0</v>
      </c>
      <c r="AN137" s="4">
        <v>0</v>
      </c>
      <c r="AO137" s="4">
        <v>0</v>
      </c>
      <c r="AP137" s="4">
        <v>0</v>
      </c>
      <c r="AQ137" s="4">
        <v>0</v>
      </c>
      <c r="AR137" s="4">
        <v>0</v>
      </c>
      <c r="AS137" s="4">
        <v>0</v>
      </c>
      <c r="AT137" s="4">
        <v>0</v>
      </c>
      <c r="AU137" s="4">
        <v>0</v>
      </c>
      <c r="AV137" s="4">
        <v>0</v>
      </c>
      <c r="AW137" s="4">
        <v>0</v>
      </c>
      <c r="AX137" s="4">
        <v>0</v>
      </c>
      <c r="AY137" s="4">
        <v>0</v>
      </c>
      <c r="AZ137" s="4">
        <v>0</v>
      </c>
      <c r="BA137" s="4">
        <v>0</v>
      </c>
      <c r="BB137" s="4">
        <v>0</v>
      </c>
      <c r="BC137" s="4">
        <v>0</v>
      </c>
      <c r="BD137" s="4">
        <v>0</v>
      </c>
      <c r="BE137" s="4">
        <v>0</v>
      </c>
      <c r="BF137" s="4">
        <f t="shared" si="88"/>
        <v>0</v>
      </c>
      <c r="BG137" s="4">
        <f t="shared" si="89"/>
        <v>0</v>
      </c>
      <c r="BH137" s="4">
        <f t="shared" si="90"/>
        <v>0</v>
      </c>
      <c r="BI137" s="4">
        <f t="shared" si="91"/>
        <v>0</v>
      </c>
    </row>
    <row r="138" spans="2:61" x14ac:dyDescent="0.25">
      <c r="C138">
        <v>489</v>
      </c>
      <c r="D138" t="s">
        <v>188</v>
      </c>
      <c r="E138" s="4">
        <v>0</v>
      </c>
      <c r="F138" s="4">
        <v>0</v>
      </c>
      <c r="G138" s="4">
        <v>0</v>
      </c>
      <c r="H138" s="4">
        <v>0</v>
      </c>
      <c r="I138" s="4">
        <v>0</v>
      </c>
      <c r="J138" s="4">
        <v>2944.95</v>
      </c>
      <c r="K138" s="4">
        <v>0</v>
      </c>
      <c r="L138" s="4">
        <v>1310000</v>
      </c>
      <c r="M138" s="4">
        <v>0</v>
      </c>
      <c r="N138" s="4">
        <v>0</v>
      </c>
      <c r="O138" s="4">
        <v>0</v>
      </c>
      <c r="P138" s="4">
        <v>0</v>
      </c>
      <c r="Q138" s="4">
        <v>0</v>
      </c>
      <c r="R138" s="4">
        <v>0</v>
      </c>
      <c r="S138" s="4">
        <v>0</v>
      </c>
      <c r="T138" s="4">
        <v>0</v>
      </c>
      <c r="U138" s="4">
        <v>0</v>
      </c>
      <c r="V138" s="4">
        <v>0</v>
      </c>
      <c r="W138" s="4">
        <v>0</v>
      </c>
      <c r="X138" s="4">
        <v>0</v>
      </c>
      <c r="Y138" s="4">
        <v>0</v>
      </c>
      <c r="Z138" s="4">
        <v>0</v>
      </c>
      <c r="AA138" s="4">
        <v>0</v>
      </c>
      <c r="AB138" s="4">
        <v>0</v>
      </c>
      <c r="AC138" s="4">
        <v>130000</v>
      </c>
      <c r="AD138" s="4">
        <v>0</v>
      </c>
      <c r="AE138" s="4">
        <v>0</v>
      </c>
      <c r="AF138" s="4">
        <v>0</v>
      </c>
      <c r="AG138" s="4">
        <v>0</v>
      </c>
      <c r="AH138" s="4">
        <v>0</v>
      </c>
      <c r="AI138" s="4">
        <v>0</v>
      </c>
      <c r="AJ138" s="4">
        <v>0</v>
      </c>
      <c r="AK138" s="4">
        <v>0</v>
      </c>
      <c r="AL138" s="4">
        <v>35000</v>
      </c>
      <c r="AM138" s="4">
        <v>18062.259999999998</v>
      </c>
      <c r="AN138" s="4">
        <v>5985</v>
      </c>
      <c r="AO138" s="4">
        <v>0</v>
      </c>
      <c r="AP138" s="4">
        <v>0</v>
      </c>
      <c r="AQ138" s="4">
        <v>0</v>
      </c>
      <c r="AR138" s="4">
        <v>0</v>
      </c>
      <c r="AS138" s="4">
        <v>0</v>
      </c>
      <c r="AT138" s="4">
        <v>100000</v>
      </c>
      <c r="AU138" s="4">
        <v>775000</v>
      </c>
      <c r="AV138" s="4">
        <v>0</v>
      </c>
      <c r="AW138" s="4">
        <v>0</v>
      </c>
      <c r="AX138" s="4">
        <v>0</v>
      </c>
      <c r="AY138" s="4">
        <v>0</v>
      </c>
      <c r="AZ138" s="4">
        <v>0</v>
      </c>
      <c r="BA138" s="4">
        <v>0</v>
      </c>
      <c r="BB138" s="4">
        <v>0</v>
      </c>
      <c r="BC138" s="4">
        <v>0</v>
      </c>
      <c r="BD138" s="4">
        <v>1000000</v>
      </c>
      <c r="BE138" s="4">
        <v>0</v>
      </c>
      <c r="BF138" s="4">
        <f t="shared" si="88"/>
        <v>3376992.21</v>
      </c>
      <c r="BG138" s="4">
        <f t="shared" si="89"/>
        <v>1312944.95</v>
      </c>
      <c r="BH138" s="4">
        <f t="shared" si="90"/>
        <v>130000</v>
      </c>
      <c r="BI138" s="4">
        <f t="shared" si="91"/>
        <v>1934047.26</v>
      </c>
    </row>
    <row r="139" spans="2:61" x14ac:dyDescent="0.25">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row>
    <row r="140" spans="2:61" x14ac:dyDescent="0.25">
      <c r="B140" s="78">
        <v>49</v>
      </c>
      <c r="C140" s="78"/>
      <c r="D140" s="78" t="s">
        <v>128</v>
      </c>
      <c r="E140" s="73">
        <f>E141+E142+E143+E144+E145+E146+E147+E148</f>
        <v>0</v>
      </c>
      <c r="F140" s="73">
        <f t="shared" ref="F140:BI140" si="92">F141+F142+F143+F144+F145+F146+F147+F148</f>
        <v>23767.65</v>
      </c>
      <c r="G140" s="73">
        <f t="shared" si="92"/>
        <v>7417.7</v>
      </c>
      <c r="H140" s="73">
        <f t="shared" si="92"/>
        <v>38216.6</v>
      </c>
      <c r="I140" s="73">
        <f t="shared" si="92"/>
        <v>317300</v>
      </c>
      <c r="J140" s="73">
        <f t="shared" si="92"/>
        <v>71777</v>
      </c>
      <c r="K140" s="73">
        <f t="shared" si="92"/>
        <v>196076.65</v>
      </c>
      <c r="L140" s="73">
        <f t="shared" si="92"/>
        <v>5163108.45</v>
      </c>
      <c r="M140" s="73">
        <f t="shared" si="92"/>
        <v>93218.260000000009</v>
      </c>
      <c r="N140" s="73">
        <f t="shared" si="92"/>
        <v>8967.7000000000007</v>
      </c>
      <c r="O140" s="73">
        <f t="shared" si="92"/>
        <v>62019</v>
      </c>
      <c r="P140" s="73">
        <f t="shared" si="92"/>
        <v>33302</v>
      </c>
      <c r="Q140" s="73">
        <f t="shared" si="92"/>
        <v>0</v>
      </c>
      <c r="R140" s="73">
        <f t="shared" si="92"/>
        <v>55900</v>
      </c>
      <c r="S140" s="73">
        <f t="shared" si="92"/>
        <v>0</v>
      </c>
      <c r="T140" s="73">
        <f t="shared" si="92"/>
        <v>10000</v>
      </c>
      <c r="U140" s="73">
        <f t="shared" si="92"/>
        <v>0</v>
      </c>
      <c r="V140" s="73">
        <f t="shared" si="92"/>
        <v>56708.3</v>
      </c>
      <c r="W140" s="73">
        <f t="shared" si="92"/>
        <v>260895.8</v>
      </c>
      <c r="X140" s="73">
        <f t="shared" si="92"/>
        <v>0</v>
      </c>
      <c r="Y140" s="73">
        <f t="shared" si="92"/>
        <v>0</v>
      </c>
      <c r="Z140" s="73">
        <f t="shared" si="92"/>
        <v>84000</v>
      </c>
      <c r="AA140" s="73">
        <f t="shared" si="92"/>
        <v>15393.4</v>
      </c>
      <c r="AB140" s="73">
        <f t="shared" si="92"/>
        <v>0</v>
      </c>
      <c r="AC140" s="73">
        <f t="shared" si="92"/>
        <v>0</v>
      </c>
      <c r="AD140" s="73">
        <f t="shared" si="92"/>
        <v>58010.8</v>
      </c>
      <c r="AE140" s="73">
        <f t="shared" si="92"/>
        <v>77935.649999999994</v>
      </c>
      <c r="AF140" s="73">
        <f t="shared" si="92"/>
        <v>173761</v>
      </c>
      <c r="AG140" s="73">
        <f t="shared" si="92"/>
        <v>6365.35</v>
      </c>
      <c r="AH140" s="73">
        <f t="shared" si="92"/>
        <v>23800</v>
      </c>
      <c r="AI140" s="73">
        <f t="shared" si="92"/>
        <v>0</v>
      </c>
      <c r="AJ140" s="73">
        <f t="shared" si="92"/>
        <v>692.85</v>
      </c>
      <c r="AK140" s="73">
        <f t="shared" si="92"/>
        <v>93000</v>
      </c>
      <c r="AL140" s="73">
        <f t="shared" si="92"/>
        <v>59347.1</v>
      </c>
      <c r="AM140" s="73">
        <f t="shared" si="92"/>
        <v>3190</v>
      </c>
      <c r="AN140" s="73">
        <f t="shared" si="92"/>
        <v>240</v>
      </c>
      <c r="AO140" s="73">
        <f t="shared" si="92"/>
        <v>39826.6</v>
      </c>
      <c r="AP140" s="73">
        <f t="shared" si="92"/>
        <v>89387.85</v>
      </c>
      <c r="AQ140" s="73">
        <f t="shared" si="92"/>
        <v>0</v>
      </c>
      <c r="AR140" s="73">
        <f t="shared" si="92"/>
        <v>0</v>
      </c>
      <c r="AS140" s="73">
        <f t="shared" si="92"/>
        <v>128592.79000000001</v>
      </c>
      <c r="AT140" s="73">
        <f t="shared" si="92"/>
        <v>0</v>
      </c>
      <c r="AU140" s="73">
        <f t="shared" si="92"/>
        <v>0</v>
      </c>
      <c r="AV140" s="73">
        <f t="shared" si="92"/>
        <v>81719.25</v>
      </c>
      <c r="AW140" s="73">
        <f t="shared" si="92"/>
        <v>0</v>
      </c>
      <c r="AX140" s="73">
        <f t="shared" si="92"/>
        <v>7276.95</v>
      </c>
      <c r="AY140" s="73">
        <f t="shared" si="92"/>
        <v>0</v>
      </c>
      <c r="AZ140" s="73">
        <f t="shared" si="92"/>
        <v>96691.1</v>
      </c>
      <c r="BA140" s="73">
        <f t="shared" si="92"/>
        <v>0</v>
      </c>
      <c r="BB140" s="73">
        <f t="shared" si="92"/>
        <v>153317.13</v>
      </c>
      <c r="BC140" s="73">
        <f t="shared" si="92"/>
        <v>0</v>
      </c>
      <c r="BD140" s="73">
        <f t="shared" si="92"/>
        <v>0</v>
      </c>
      <c r="BE140" s="73">
        <f t="shared" si="92"/>
        <v>15500</v>
      </c>
      <c r="BF140" s="73">
        <f t="shared" si="92"/>
        <v>7606722.9299999997</v>
      </c>
      <c r="BG140" s="73">
        <f t="shared" si="92"/>
        <v>6398675.1100000003</v>
      </c>
      <c r="BH140" s="73">
        <f t="shared" si="92"/>
        <v>439959.05</v>
      </c>
      <c r="BI140" s="73">
        <f t="shared" si="92"/>
        <v>768088.77</v>
      </c>
    </row>
    <row r="141" spans="2:61" x14ac:dyDescent="0.25">
      <c r="C141">
        <v>490</v>
      </c>
      <c r="D141" t="s">
        <v>129</v>
      </c>
      <c r="E141" s="4">
        <v>0</v>
      </c>
      <c r="F141" s="4">
        <v>200</v>
      </c>
      <c r="G141" s="4">
        <v>0</v>
      </c>
      <c r="H141" s="4">
        <v>0</v>
      </c>
      <c r="I141" s="4">
        <v>0</v>
      </c>
      <c r="J141" s="4">
        <v>0</v>
      </c>
      <c r="K141" s="4">
        <v>0</v>
      </c>
      <c r="L141" s="4">
        <v>40000</v>
      </c>
      <c r="M141" s="4">
        <v>1200</v>
      </c>
      <c r="N141" s="4">
        <v>0</v>
      </c>
      <c r="O141" s="4">
        <v>0</v>
      </c>
      <c r="P141" s="4">
        <v>0</v>
      </c>
      <c r="Q141" s="4">
        <v>0</v>
      </c>
      <c r="R141" s="4">
        <v>0</v>
      </c>
      <c r="S141" s="4">
        <v>0</v>
      </c>
      <c r="T141" s="4">
        <v>0</v>
      </c>
      <c r="U141" s="4">
        <v>0</v>
      </c>
      <c r="V141" s="4">
        <v>0</v>
      </c>
      <c r="W141" s="4">
        <v>0</v>
      </c>
      <c r="X141" s="4">
        <v>0</v>
      </c>
      <c r="Y141" s="4">
        <v>0</v>
      </c>
      <c r="Z141" s="4">
        <v>0</v>
      </c>
      <c r="AA141" s="4">
        <v>293.39999999999998</v>
      </c>
      <c r="AB141" s="4">
        <v>0</v>
      </c>
      <c r="AC141" s="4">
        <v>0</v>
      </c>
      <c r="AD141" s="4">
        <v>1150</v>
      </c>
      <c r="AE141" s="4">
        <v>0</v>
      </c>
      <c r="AF141" s="4">
        <v>0</v>
      </c>
      <c r="AG141" s="4">
        <v>4614.8</v>
      </c>
      <c r="AH141" s="4">
        <v>0</v>
      </c>
      <c r="AI141" s="4">
        <v>0</v>
      </c>
      <c r="AJ141" s="4">
        <v>0</v>
      </c>
      <c r="AK141" s="4">
        <v>0</v>
      </c>
      <c r="AL141" s="4">
        <v>0</v>
      </c>
      <c r="AM141" s="4">
        <v>0</v>
      </c>
      <c r="AN141" s="4">
        <v>0</v>
      </c>
      <c r="AO141" s="4">
        <v>0</v>
      </c>
      <c r="AP141" s="4">
        <v>1500</v>
      </c>
      <c r="AQ141" s="4">
        <v>0</v>
      </c>
      <c r="AR141" s="4">
        <v>0</v>
      </c>
      <c r="AS141" s="4">
        <v>0</v>
      </c>
      <c r="AT141" s="4">
        <v>0</v>
      </c>
      <c r="AU141" s="4">
        <v>0</v>
      </c>
      <c r="AV141" s="4">
        <v>0</v>
      </c>
      <c r="AW141" s="4">
        <v>0</v>
      </c>
      <c r="AX141" s="4">
        <v>0</v>
      </c>
      <c r="AY141" s="4">
        <v>0</v>
      </c>
      <c r="AZ141" s="4">
        <v>0</v>
      </c>
      <c r="BA141" s="4">
        <v>0</v>
      </c>
      <c r="BB141" s="4">
        <v>0</v>
      </c>
      <c r="BC141" s="4">
        <v>0</v>
      </c>
      <c r="BD141" s="4">
        <v>0</v>
      </c>
      <c r="BE141" s="4">
        <v>0</v>
      </c>
      <c r="BF141" s="4">
        <f t="shared" ref="BF141:BF148" si="93">SUM(E141:BE141)</f>
        <v>48958.200000000004</v>
      </c>
      <c r="BG141" s="4">
        <f t="shared" ref="BG141:BG148" si="94">SUM(E141:W141)</f>
        <v>41400</v>
      </c>
      <c r="BH141" s="4">
        <f t="shared" ref="BH141:BH148" si="95">SUM(X141:AJ141)</f>
        <v>6058.2000000000007</v>
      </c>
      <c r="BI141" s="4">
        <f t="shared" ref="BI141:BI148" si="96">SUM(AK141:BE141)</f>
        <v>1500</v>
      </c>
    </row>
    <row r="142" spans="2:61" x14ac:dyDescent="0.25">
      <c r="C142">
        <v>491</v>
      </c>
      <c r="D142" t="s">
        <v>130</v>
      </c>
      <c r="E142" s="4">
        <v>0</v>
      </c>
      <c r="F142" s="4">
        <v>2645.2</v>
      </c>
      <c r="G142" s="4">
        <v>4400</v>
      </c>
      <c r="H142" s="4">
        <v>37860.6</v>
      </c>
      <c r="I142" s="4">
        <v>317300</v>
      </c>
      <c r="J142" s="4">
        <v>71777</v>
      </c>
      <c r="K142" s="4">
        <v>129750</v>
      </c>
      <c r="L142" s="4">
        <v>963635.05</v>
      </c>
      <c r="M142" s="4">
        <v>58141</v>
      </c>
      <c r="N142" s="4">
        <v>8967.7000000000007</v>
      </c>
      <c r="O142" s="4">
        <v>0</v>
      </c>
      <c r="P142" s="4">
        <v>33302</v>
      </c>
      <c r="Q142" s="4">
        <v>0</v>
      </c>
      <c r="R142" s="4">
        <v>55900</v>
      </c>
      <c r="S142" s="4">
        <v>0</v>
      </c>
      <c r="T142" s="4">
        <v>0</v>
      </c>
      <c r="U142" s="4">
        <v>0</v>
      </c>
      <c r="V142" s="4">
        <v>56708.3</v>
      </c>
      <c r="W142" s="4">
        <v>90400</v>
      </c>
      <c r="X142" s="4">
        <v>0</v>
      </c>
      <c r="Y142" s="4">
        <v>0</v>
      </c>
      <c r="Z142" s="4">
        <v>0</v>
      </c>
      <c r="AA142" s="4">
        <v>15100</v>
      </c>
      <c r="AB142" s="4">
        <v>0</v>
      </c>
      <c r="AC142" s="4">
        <v>0</v>
      </c>
      <c r="AD142" s="4">
        <v>56860.800000000003</v>
      </c>
      <c r="AE142" s="4">
        <v>77935.649999999994</v>
      </c>
      <c r="AF142" s="4">
        <v>69667.45</v>
      </c>
      <c r="AG142" s="4">
        <v>1750.55</v>
      </c>
      <c r="AH142" s="4">
        <v>23800</v>
      </c>
      <c r="AI142" s="4">
        <v>0</v>
      </c>
      <c r="AJ142" s="4">
        <v>0</v>
      </c>
      <c r="AK142" s="4">
        <v>93000</v>
      </c>
      <c r="AL142" s="4">
        <v>0</v>
      </c>
      <c r="AM142" s="4">
        <v>3190</v>
      </c>
      <c r="AN142" s="4">
        <v>240</v>
      </c>
      <c r="AO142" s="4">
        <v>39826.6</v>
      </c>
      <c r="AP142" s="4">
        <v>59424.800000000003</v>
      </c>
      <c r="AQ142" s="4">
        <v>0</v>
      </c>
      <c r="AR142" s="4">
        <v>0</v>
      </c>
      <c r="AS142" s="4">
        <v>49191.05</v>
      </c>
      <c r="AT142" s="4">
        <v>0</v>
      </c>
      <c r="AU142" s="4">
        <v>0</v>
      </c>
      <c r="AV142" s="4">
        <v>81719.25</v>
      </c>
      <c r="AW142" s="4">
        <v>0</v>
      </c>
      <c r="AX142" s="4">
        <v>0</v>
      </c>
      <c r="AY142" s="4">
        <v>0</v>
      </c>
      <c r="AZ142" s="4">
        <v>95691.1</v>
      </c>
      <c r="BA142" s="4">
        <v>0</v>
      </c>
      <c r="BB142" s="4">
        <v>153317.13</v>
      </c>
      <c r="BC142" s="4">
        <v>0</v>
      </c>
      <c r="BD142" s="4">
        <v>0</v>
      </c>
      <c r="BE142" s="4">
        <v>15500</v>
      </c>
      <c r="BF142" s="4">
        <f t="shared" si="93"/>
        <v>2667001.2299999995</v>
      </c>
      <c r="BG142" s="4">
        <f t="shared" si="94"/>
        <v>1830786.85</v>
      </c>
      <c r="BH142" s="4">
        <f t="shared" si="95"/>
        <v>245114.45</v>
      </c>
      <c r="BI142" s="4">
        <f t="shared" si="96"/>
        <v>591099.93000000005</v>
      </c>
    </row>
    <row r="143" spans="2:61" x14ac:dyDescent="0.25">
      <c r="C143">
        <v>492</v>
      </c>
      <c r="D143" t="s">
        <v>189</v>
      </c>
      <c r="E143" s="4">
        <v>0</v>
      </c>
      <c r="F143" s="4">
        <v>0</v>
      </c>
      <c r="G143" s="4">
        <v>0</v>
      </c>
      <c r="H143" s="4">
        <v>0</v>
      </c>
      <c r="I143" s="4">
        <v>0</v>
      </c>
      <c r="J143" s="4">
        <v>0</v>
      </c>
      <c r="K143" s="4">
        <v>0</v>
      </c>
      <c r="L143" s="4">
        <v>110000</v>
      </c>
      <c r="M143" s="4">
        <v>0</v>
      </c>
      <c r="N143" s="4">
        <v>0</v>
      </c>
      <c r="O143" s="4">
        <v>0</v>
      </c>
      <c r="P143" s="4">
        <v>0</v>
      </c>
      <c r="Q143" s="4">
        <v>0</v>
      </c>
      <c r="R143" s="4">
        <v>0</v>
      </c>
      <c r="S143" s="4">
        <v>0</v>
      </c>
      <c r="T143" s="4">
        <v>10000</v>
      </c>
      <c r="U143" s="4">
        <v>0</v>
      </c>
      <c r="V143" s="4">
        <v>0</v>
      </c>
      <c r="W143" s="4">
        <v>8400</v>
      </c>
      <c r="X143" s="4">
        <v>0</v>
      </c>
      <c r="Y143" s="4">
        <v>0</v>
      </c>
      <c r="Z143" s="4">
        <v>84000</v>
      </c>
      <c r="AA143" s="4">
        <v>0</v>
      </c>
      <c r="AB143" s="4">
        <v>0</v>
      </c>
      <c r="AC143" s="4">
        <v>0</v>
      </c>
      <c r="AD143" s="4">
        <v>0</v>
      </c>
      <c r="AE143" s="4">
        <v>0</v>
      </c>
      <c r="AF143" s="4">
        <v>0</v>
      </c>
      <c r="AG143" s="4">
        <v>0</v>
      </c>
      <c r="AH143" s="4">
        <v>0</v>
      </c>
      <c r="AI143" s="4">
        <v>0</v>
      </c>
      <c r="AJ143" s="4">
        <v>0</v>
      </c>
      <c r="AK143" s="4">
        <v>0</v>
      </c>
      <c r="AL143" s="4">
        <v>0</v>
      </c>
      <c r="AM143" s="4">
        <v>0</v>
      </c>
      <c r="AN143" s="4">
        <v>0</v>
      </c>
      <c r="AO143" s="4">
        <v>0</v>
      </c>
      <c r="AP143" s="4">
        <v>0</v>
      </c>
      <c r="AQ143" s="4">
        <v>0</v>
      </c>
      <c r="AR143" s="4">
        <v>0</v>
      </c>
      <c r="AS143" s="4">
        <v>0</v>
      </c>
      <c r="AT143" s="4">
        <v>0</v>
      </c>
      <c r="AU143" s="4">
        <v>0</v>
      </c>
      <c r="AV143" s="4">
        <v>0</v>
      </c>
      <c r="AW143" s="4">
        <v>0</v>
      </c>
      <c r="AX143" s="4">
        <v>0</v>
      </c>
      <c r="AY143" s="4">
        <v>0</v>
      </c>
      <c r="AZ143" s="4">
        <v>0</v>
      </c>
      <c r="BA143" s="4">
        <v>0</v>
      </c>
      <c r="BB143" s="4">
        <v>0</v>
      </c>
      <c r="BC143" s="4">
        <v>0</v>
      </c>
      <c r="BD143" s="4">
        <v>0</v>
      </c>
      <c r="BE143" s="4">
        <v>0</v>
      </c>
      <c r="BF143" s="4">
        <f t="shared" si="93"/>
        <v>212400</v>
      </c>
      <c r="BG143" s="4">
        <f t="shared" si="94"/>
        <v>128400</v>
      </c>
      <c r="BH143" s="4">
        <f t="shared" si="95"/>
        <v>84000</v>
      </c>
      <c r="BI143" s="4">
        <f t="shared" si="96"/>
        <v>0</v>
      </c>
    </row>
    <row r="144" spans="2:61" x14ac:dyDescent="0.25">
      <c r="C144">
        <v>493</v>
      </c>
      <c r="D144" t="s">
        <v>190</v>
      </c>
      <c r="E144" s="4">
        <v>0</v>
      </c>
      <c r="F144" s="4">
        <v>0</v>
      </c>
      <c r="G144" s="4">
        <v>0</v>
      </c>
      <c r="H144" s="4">
        <v>0</v>
      </c>
      <c r="I144" s="4">
        <v>0</v>
      </c>
      <c r="J144" s="4">
        <v>0</v>
      </c>
      <c r="K144" s="4">
        <v>9627.7999999999993</v>
      </c>
      <c r="L144" s="4">
        <v>30949.200000000001</v>
      </c>
      <c r="M144" s="4">
        <v>0</v>
      </c>
      <c r="N144" s="4">
        <v>0</v>
      </c>
      <c r="O144" s="4">
        <v>0</v>
      </c>
      <c r="P144" s="4">
        <v>0</v>
      </c>
      <c r="Q144" s="4">
        <v>0</v>
      </c>
      <c r="R144" s="4">
        <v>0</v>
      </c>
      <c r="S144" s="4">
        <v>0</v>
      </c>
      <c r="T144" s="4">
        <v>0</v>
      </c>
      <c r="U144" s="4">
        <v>0</v>
      </c>
      <c r="V144" s="4">
        <v>0</v>
      </c>
      <c r="W144" s="4">
        <v>13000</v>
      </c>
      <c r="X144" s="4">
        <v>0</v>
      </c>
      <c r="Y144" s="4">
        <v>0</v>
      </c>
      <c r="Z144" s="4">
        <v>0</v>
      </c>
      <c r="AA144" s="4">
        <v>0</v>
      </c>
      <c r="AB144" s="4">
        <v>0</v>
      </c>
      <c r="AC144" s="4">
        <v>0</v>
      </c>
      <c r="AD144" s="4">
        <v>0</v>
      </c>
      <c r="AE144" s="4">
        <v>0</v>
      </c>
      <c r="AF144" s="4">
        <v>0</v>
      </c>
      <c r="AG144" s="4">
        <v>0</v>
      </c>
      <c r="AH144" s="4">
        <v>0</v>
      </c>
      <c r="AI144" s="4">
        <v>0</v>
      </c>
      <c r="AJ144" s="4">
        <v>0</v>
      </c>
      <c r="AK144" s="4">
        <v>0</v>
      </c>
      <c r="AL144" s="4">
        <v>59347.1</v>
      </c>
      <c r="AM144" s="4">
        <v>0</v>
      </c>
      <c r="AN144" s="4">
        <v>0</v>
      </c>
      <c r="AO144" s="4">
        <v>0</v>
      </c>
      <c r="AP144" s="4">
        <v>0</v>
      </c>
      <c r="AQ144" s="4">
        <v>0</v>
      </c>
      <c r="AR144" s="4">
        <v>0</v>
      </c>
      <c r="AS144" s="4">
        <v>16481.89</v>
      </c>
      <c r="AT144" s="4">
        <v>0</v>
      </c>
      <c r="AU144" s="4">
        <v>0</v>
      </c>
      <c r="AV144" s="4">
        <v>0</v>
      </c>
      <c r="AW144" s="4">
        <v>0</v>
      </c>
      <c r="AX144" s="4">
        <v>0</v>
      </c>
      <c r="AY144" s="4">
        <v>0</v>
      </c>
      <c r="AZ144" s="4">
        <v>0</v>
      </c>
      <c r="BA144" s="4">
        <v>0</v>
      </c>
      <c r="BB144" s="4">
        <v>0</v>
      </c>
      <c r="BC144" s="4">
        <v>0</v>
      </c>
      <c r="BD144" s="4">
        <v>0</v>
      </c>
      <c r="BE144" s="4">
        <v>0</v>
      </c>
      <c r="BF144" s="4">
        <f t="shared" si="93"/>
        <v>129405.99</v>
      </c>
      <c r="BG144" s="4">
        <f t="shared" si="94"/>
        <v>53577</v>
      </c>
      <c r="BH144" s="4">
        <f t="shared" si="95"/>
        <v>0</v>
      </c>
      <c r="BI144" s="4">
        <f t="shared" si="96"/>
        <v>75828.989999999991</v>
      </c>
    </row>
    <row r="145" spans="1:61" x14ac:dyDescent="0.25">
      <c r="C145">
        <v>494</v>
      </c>
      <c r="D145" t="s">
        <v>133</v>
      </c>
      <c r="E145" s="4">
        <v>0</v>
      </c>
      <c r="F145" s="4">
        <v>20922.45</v>
      </c>
      <c r="G145" s="4">
        <v>3017.7</v>
      </c>
      <c r="H145" s="4">
        <v>0</v>
      </c>
      <c r="I145" s="4">
        <v>0</v>
      </c>
      <c r="J145" s="4">
        <v>0</v>
      </c>
      <c r="K145" s="4">
        <v>56698.85</v>
      </c>
      <c r="L145" s="4">
        <v>554500</v>
      </c>
      <c r="M145" s="4">
        <v>33877.26</v>
      </c>
      <c r="N145" s="4">
        <v>0</v>
      </c>
      <c r="O145" s="4">
        <v>62019</v>
      </c>
      <c r="P145" s="4">
        <v>0</v>
      </c>
      <c r="Q145" s="4">
        <v>0</v>
      </c>
      <c r="R145" s="4">
        <v>0</v>
      </c>
      <c r="S145" s="4">
        <v>0</v>
      </c>
      <c r="T145" s="4">
        <v>0</v>
      </c>
      <c r="U145" s="4">
        <v>0</v>
      </c>
      <c r="V145" s="4">
        <v>0</v>
      </c>
      <c r="W145" s="4">
        <v>146095.79999999999</v>
      </c>
      <c r="X145" s="4">
        <v>0</v>
      </c>
      <c r="Y145" s="4">
        <v>0</v>
      </c>
      <c r="Z145" s="4">
        <v>0</v>
      </c>
      <c r="AA145" s="4">
        <v>0</v>
      </c>
      <c r="AB145" s="4">
        <v>0</v>
      </c>
      <c r="AC145" s="4">
        <v>0</v>
      </c>
      <c r="AD145" s="4">
        <v>0</v>
      </c>
      <c r="AE145" s="4">
        <v>0</v>
      </c>
      <c r="AF145" s="4">
        <v>0</v>
      </c>
      <c r="AG145" s="4">
        <v>0</v>
      </c>
      <c r="AH145" s="4">
        <v>0</v>
      </c>
      <c r="AI145" s="4">
        <v>0</v>
      </c>
      <c r="AJ145" s="4">
        <v>692.85</v>
      </c>
      <c r="AK145" s="4">
        <v>0</v>
      </c>
      <c r="AL145" s="4">
        <v>0</v>
      </c>
      <c r="AM145" s="4">
        <v>0</v>
      </c>
      <c r="AN145" s="4">
        <v>0</v>
      </c>
      <c r="AO145" s="4">
        <v>0</v>
      </c>
      <c r="AP145" s="4">
        <v>28463.05</v>
      </c>
      <c r="AQ145" s="4">
        <v>0</v>
      </c>
      <c r="AR145" s="4">
        <v>0</v>
      </c>
      <c r="AS145" s="4">
        <v>62919.85</v>
      </c>
      <c r="AT145" s="4">
        <v>0</v>
      </c>
      <c r="AU145" s="4">
        <v>0</v>
      </c>
      <c r="AV145" s="4">
        <v>0</v>
      </c>
      <c r="AW145" s="4">
        <v>0</v>
      </c>
      <c r="AX145" s="4">
        <v>7276.95</v>
      </c>
      <c r="AY145" s="4">
        <v>0</v>
      </c>
      <c r="AZ145" s="4">
        <v>0</v>
      </c>
      <c r="BA145" s="4">
        <v>0</v>
      </c>
      <c r="BB145" s="4">
        <v>0</v>
      </c>
      <c r="BC145" s="4">
        <v>0</v>
      </c>
      <c r="BD145" s="4">
        <v>0</v>
      </c>
      <c r="BE145" s="4">
        <v>0</v>
      </c>
      <c r="BF145" s="4">
        <f t="shared" si="93"/>
        <v>976483.76</v>
      </c>
      <c r="BG145" s="4">
        <f t="shared" si="94"/>
        <v>877131.06</v>
      </c>
      <c r="BH145" s="4">
        <f t="shared" si="95"/>
        <v>692.85</v>
      </c>
      <c r="BI145" s="4">
        <f t="shared" si="96"/>
        <v>98659.849999999991</v>
      </c>
    </row>
    <row r="146" spans="1:61" x14ac:dyDescent="0.25">
      <c r="C146">
        <v>495</v>
      </c>
      <c r="D146" t="s">
        <v>191</v>
      </c>
      <c r="E146" s="4">
        <v>0</v>
      </c>
      <c r="F146" s="4">
        <v>0</v>
      </c>
      <c r="G146" s="4">
        <v>0</v>
      </c>
      <c r="H146" s="4">
        <v>356</v>
      </c>
      <c r="I146" s="4">
        <v>0</v>
      </c>
      <c r="J146" s="4">
        <v>0</v>
      </c>
      <c r="K146" s="4">
        <v>0</v>
      </c>
      <c r="L146" s="4">
        <v>0</v>
      </c>
      <c r="M146" s="4">
        <v>0</v>
      </c>
      <c r="N146" s="4">
        <v>0</v>
      </c>
      <c r="O146" s="4">
        <v>0</v>
      </c>
      <c r="P146" s="4">
        <v>0</v>
      </c>
      <c r="Q146" s="4">
        <v>0</v>
      </c>
      <c r="R146" s="4">
        <v>0</v>
      </c>
      <c r="S146" s="4">
        <v>0</v>
      </c>
      <c r="T146" s="4">
        <v>0</v>
      </c>
      <c r="U146" s="4">
        <v>0</v>
      </c>
      <c r="V146" s="4">
        <v>0</v>
      </c>
      <c r="W146" s="4">
        <v>0</v>
      </c>
      <c r="X146" s="4">
        <v>0</v>
      </c>
      <c r="Y146" s="4">
        <v>0</v>
      </c>
      <c r="Z146" s="4">
        <v>0</v>
      </c>
      <c r="AA146" s="4">
        <v>0</v>
      </c>
      <c r="AB146" s="4">
        <v>0</v>
      </c>
      <c r="AC146" s="4">
        <v>0</v>
      </c>
      <c r="AD146" s="4">
        <v>0</v>
      </c>
      <c r="AE146" s="4">
        <v>0</v>
      </c>
      <c r="AF146" s="4">
        <v>0</v>
      </c>
      <c r="AG146" s="4">
        <v>0</v>
      </c>
      <c r="AH146" s="4">
        <v>0</v>
      </c>
      <c r="AI146" s="4">
        <v>0</v>
      </c>
      <c r="AJ146" s="4">
        <v>0</v>
      </c>
      <c r="AK146" s="4">
        <v>0</v>
      </c>
      <c r="AL146" s="4">
        <v>0</v>
      </c>
      <c r="AM146" s="4">
        <v>0</v>
      </c>
      <c r="AN146" s="4">
        <v>0</v>
      </c>
      <c r="AO146" s="4">
        <v>0</v>
      </c>
      <c r="AP146" s="4">
        <v>0</v>
      </c>
      <c r="AQ146" s="4">
        <v>0</v>
      </c>
      <c r="AR146" s="4">
        <v>0</v>
      </c>
      <c r="AS146" s="4">
        <v>0</v>
      </c>
      <c r="AT146" s="4">
        <v>0</v>
      </c>
      <c r="AU146" s="4">
        <v>0</v>
      </c>
      <c r="AV146" s="4">
        <v>0</v>
      </c>
      <c r="AW146" s="4">
        <v>0</v>
      </c>
      <c r="AX146" s="4">
        <v>0</v>
      </c>
      <c r="AY146" s="4">
        <v>0</v>
      </c>
      <c r="AZ146" s="4">
        <v>0</v>
      </c>
      <c r="BA146" s="4">
        <v>0</v>
      </c>
      <c r="BB146" s="4">
        <v>0</v>
      </c>
      <c r="BC146" s="4">
        <v>0</v>
      </c>
      <c r="BD146" s="4">
        <v>0</v>
      </c>
      <c r="BE146" s="4">
        <v>0</v>
      </c>
      <c r="BF146" s="4">
        <f t="shared" si="93"/>
        <v>356</v>
      </c>
      <c r="BG146" s="4">
        <f t="shared" si="94"/>
        <v>356</v>
      </c>
      <c r="BH146" s="4">
        <f t="shared" si="95"/>
        <v>0</v>
      </c>
      <c r="BI146" s="4">
        <f t="shared" si="96"/>
        <v>0</v>
      </c>
    </row>
    <row r="147" spans="1:61" x14ac:dyDescent="0.25">
      <c r="C147">
        <v>498</v>
      </c>
      <c r="D147" t="s">
        <v>192</v>
      </c>
      <c r="E147" s="4">
        <v>0</v>
      </c>
      <c r="F147" s="4">
        <v>0</v>
      </c>
      <c r="G147" s="4">
        <v>0</v>
      </c>
      <c r="H147" s="4">
        <v>0</v>
      </c>
      <c r="I147" s="4">
        <v>0</v>
      </c>
      <c r="J147" s="4">
        <v>0</v>
      </c>
      <c r="K147" s="4">
        <v>0</v>
      </c>
      <c r="L147" s="4">
        <v>2367133.34</v>
      </c>
      <c r="M147" s="4">
        <v>0</v>
      </c>
      <c r="N147" s="4">
        <v>0</v>
      </c>
      <c r="O147" s="4">
        <v>0</v>
      </c>
      <c r="P147" s="4">
        <v>0</v>
      </c>
      <c r="Q147" s="4">
        <v>0</v>
      </c>
      <c r="R147" s="4">
        <v>0</v>
      </c>
      <c r="S147" s="4">
        <v>0</v>
      </c>
      <c r="T147" s="4">
        <v>0</v>
      </c>
      <c r="U147" s="4">
        <v>0</v>
      </c>
      <c r="V147" s="4">
        <v>0</v>
      </c>
      <c r="W147" s="4">
        <v>0</v>
      </c>
      <c r="X147" s="4">
        <v>0</v>
      </c>
      <c r="Y147" s="4">
        <v>0</v>
      </c>
      <c r="Z147" s="4">
        <v>0</v>
      </c>
      <c r="AA147" s="4">
        <v>0</v>
      </c>
      <c r="AB147" s="4">
        <v>0</v>
      </c>
      <c r="AC147" s="4">
        <v>0</v>
      </c>
      <c r="AD147" s="4">
        <v>0</v>
      </c>
      <c r="AE147" s="4">
        <v>0</v>
      </c>
      <c r="AF147" s="4">
        <v>104093.55</v>
      </c>
      <c r="AG147" s="4">
        <v>0</v>
      </c>
      <c r="AH147" s="4">
        <v>0</v>
      </c>
      <c r="AI147" s="4">
        <v>0</v>
      </c>
      <c r="AJ147" s="4">
        <v>0</v>
      </c>
      <c r="AK147" s="4">
        <v>0</v>
      </c>
      <c r="AL147" s="4">
        <v>0</v>
      </c>
      <c r="AM147" s="4">
        <v>0</v>
      </c>
      <c r="AN147" s="4">
        <v>0</v>
      </c>
      <c r="AO147" s="4">
        <v>0</v>
      </c>
      <c r="AP147" s="4">
        <v>0</v>
      </c>
      <c r="AQ147" s="4">
        <v>0</v>
      </c>
      <c r="AR147" s="4">
        <v>0</v>
      </c>
      <c r="AS147" s="4">
        <v>0</v>
      </c>
      <c r="AT147" s="4">
        <v>0</v>
      </c>
      <c r="AU147" s="4">
        <v>0</v>
      </c>
      <c r="AV147" s="4">
        <v>0</v>
      </c>
      <c r="AW147" s="4">
        <v>0</v>
      </c>
      <c r="AX147" s="4">
        <v>0</v>
      </c>
      <c r="AY147" s="4">
        <v>0</v>
      </c>
      <c r="AZ147" s="4">
        <v>0</v>
      </c>
      <c r="BA147" s="4">
        <v>0</v>
      </c>
      <c r="BB147" s="4">
        <v>0</v>
      </c>
      <c r="BC147" s="4">
        <v>0</v>
      </c>
      <c r="BD147" s="4">
        <v>0</v>
      </c>
      <c r="BE147" s="4">
        <v>0</v>
      </c>
      <c r="BF147" s="4">
        <f t="shared" si="93"/>
        <v>2471226.8899999997</v>
      </c>
      <c r="BG147" s="4">
        <f t="shared" si="94"/>
        <v>2367133.34</v>
      </c>
      <c r="BH147" s="4">
        <f t="shared" si="95"/>
        <v>104093.55</v>
      </c>
      <c r="BI147" s="4">
        <f t="shared" si="96"/>
        <v>0</v>
      </c>
    </row>
    <row r="148" spans="1:61" x14ac:dyDescent="0.25">
      <c r="C148">
        <v>499</v>
      </c>
      <c r="D148" t="s">
        <v>136</v>
      </c>
      <c r="E148" s="4">
        <v>0</v>
      </c>
      <c r="F148" s="4">
        <v>0</v>
      </c>
      <c r="G148" s="4">
        <v>0</v>
      </c>
      <c r="H148" s="4">
        <v>0</v>
      </c>
      <c r="I148" s="4">
        <v>0</v>
      </c>
      <c r="J148" s="4">
        <v>0</v>
      </c>
      <c r="K148" s="4">
        <v>0</v>
      </c>
      <c r="L148" s="4">
        <v>1096890.8600000001</v>
      </c>
      <c r="M148" s="4">
        <v>0</v>
      </c>
      <c r="N148" s="4">
        <v>0</v>
      </c>
      <c r="O148" s="4">
        <v>0</v>
      </c>
      <c r="P148" s="4">
        <v>0</v>
      </c>
      <c r="Q148" s="4">
        <v>0</v>
      </c>
      <c r="R148" s="4">
        <v>0</v>
      </c>
      <c r="S148" s="4">
        <v>0</v>
      </c>
      <c r="T148" s="4">
        <v>0</v>
      </c>
      <c r="U148" s="4">
        <v>0</v>
      </c>
      <c r="V148" s="4">
        <v>0</v>
      </c>
      <c r="W148" s="4">
        <v>3000</v>
      </c>
      <c r="X148" s="4">
        <v>0</v>
      </c>
      <c r="Y148" s="4">
        <v>0</v>
      </c>
      <c r="Z148" s="4">
        <v>0</v>
      </c>
      <c r="AA148" s="4">
        <v>0</v>
      </c>
      <c r="AB148" s="4">
        <v>0</v>
      </c>
      <c r="AC148" s="4">
        <v>0</v>
      </c>
      <c r="AD148" s="4">
        <v>0</v>
      </c>
      <c r="AE148" s="4">
        <v>0</v>
      </c>
      <c r="AF148" s="4">
        <v>0</v>
      </c>
      <c r="AG148" s="4">
        <v>0</v>
      </c>
      <c r="AH148" s="4">
        <v>0</v>
      </c>
      <c r="AI148" s="4">
        <v>0</v>
      </c>
      <c r="AJ148" s="4">
        <v>0</v>
      </c>
      <c r="AK148" s="4">
        <v>0</v>
      </c>
      <c r="AL148" s="4">
        <v>0</v>
      </c>
      <c r="AM148" s="4">
        <v>0</v>
      </c>
      <c r="AN148" s="4">
        <v>0</v>
      </c>
      <c r="AO148" s="4">
        <v>0</v>
      </c>
      <c r="AP148" s="4">
        <v>0</v>
      </c>
      <c r="AQ148" s="4">
        <v>0</v>
      </c>
      <c r="AR148" s="4">
        <v>0</v>
      </c>
      <c r="AS148" s="4">
        <v>0</v>
      </c>
      <c r="AT148" s="4">
        <v>0</v>
      </c>
      <c r="AU148" s="4">
        <v>0</v>
      </c>
      <c r="AV148" s="4">
        <v>0</v>
      </c>
      <c r="AW148" s="4">
        <v>0</v>
      </c>
      <c r="AX148" s="4">
        <v>0</v>
      </c>
      <c r="AY148" s="4">
        <v>0</v>
      </c>
      <c r="AZ148" s="4">
        <v>1000</v>
      </c>
      <c r="BA148" s="4">
        <v>0</v>
      </c>
      <c r="BB148" s="4">
        <v>0</v>
      </c>
      <c r="BC148" s="4">
        <v>0</v>
      </c>
      <c r="BD148" s="4">
        <v>0</v>
      </c>
      <c r="BE148" s="4">
        <v>0</v>
      </c>
      <c r="BF148" s="4">
        <f t="shared" si="93"/>
        <v>1100890.8600000001</v>
      </c>
      <c r="BG148" s="4">
        <f t="shared" si="94"/>
        <v>1099890.8600000001</v>
      </c>
      <c r="BH148" s="4">
        <f t="shared" si="95"/>
        <v>0</v>
      </c>
      <c r="BI148" s="4">
        <f t="shared" si="96"/>
        <v>1000</v>
      </c>
    </row>
    <row r="149" spans="1:61" x14ac:dyDescent="0.25">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row>
    <row r="150" spans="1:61" x14ac:dyDescent="0.25">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row>
    <row r="151" spans="1:61" x14ac:dyDescent="0.25">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row>
    <row r="152" spans="1:61" x14ac:dyDescent="0.25">
      <c r="A152" s="88">
        <v>9</v>
      </c>
      <c r="B152" s="88"/>
      <c r="C152" s="88"/>
      <c r="D152" s="88" t="s">
        <v>194</v>
      </c>
      <c r="E152" s="89"/>
      <c r="F152" s="89"/>
      <c r="G152" s="89"/>
      <c r="H152" s="89"/>
      <c r="I152" s="89"/>
      <c r="J152" s="89"/>
      <c r="K152" s="89"/>
      <c r="L152" s="89"/>
      <c r="M152" s="89"/>
      <c r="N152" s="89"/>
      <c r="O152" s="89"/>
      <c r="P152" s="89"/>
      <c r="Q152" s="89"/>
      <c r="R152" s="89"/>
      <c r="S152" s="89"/>
      <c r="T152" s="89"/>
      <c r="U152" s="89"/>
      <c r="V152" s="89"/>
      <c r="W152" s="89"/>
      <c r="X152" s="89"/>
      <c r="Y152" s="89"/>
      <c r="Z152" s="89"/>
      <c r="AA152" s="89"/>
      <c r="AB152" s="89"/>
      <c r="AC152" s="89"/>
      <c r="AD152" s="89"/>
      <c r="AE152" s="89"/>
      <c r="AF152" s="89"/>
      <c r="AG152" s="89"/>
      <c r="AH152" s="89"/>
      <c r="AI152" s="89"/>
      <c r="AJ152" s="89"/>
      <c r="AK152" s="89"/>
      <c r="AL152" s="89"/>
      <c r="AM152" s="89"/>
      <c r="AN152" s="89"/>
      <c r="AO152" s="89"/>
      <c r="AP152" s="89"/>
      <c r="AQ152" s="89"/>
      <c r="AR152" s="89"/>
      <c r="AS152" s="89"/>
      <c r="AT152" s="89"/>
      <c r="AU152" s="89"/>
      <c r="AV152" s="89"/>
      <c r="AW152" s="89"/>
      <c r="AX152" s="89"/>
      <c r="AY152" s="89"/>
      <c r="AZ152" s="89"/>
      <c r="BA152" s="89"/>
      <c r="BB152" s="89"/>
      <c r="BC152" s="89"/>
      <c r="BD152" s="89"/>
      <c r="BE152" s="89"/>
      <c r="BF152" s="89"/>
      <c r="BG152" s="89"/>
      <c r="BH152" s="89"/>
      <c r="BI152" s="89"/>
    </row>
    <row r="153" spans="1:61" x14ac:dyDescent="0.25">
      <c r="A153" s="88"/>
      <c r="B153" s="88">
        <v>90</v>
      </c>
      <c r="C153" s="88"/>
      <c r="D153" s="88" t="s">
        <v>195</v>
      </c>
      <c r="E153" s="90">
        <f>E154+E155</f>
        <v>44928.100000000006</v>
      </c>
      <c r="F153" s="90">
        <f t="shared" ref="F153:BI153" si="97">F154+F155</f>
        <v>-48557.319999999992</v>
      </c>
      <c r="G153" s="90">
        <f t="shared" si="97"/>
        <v>-94828.599999999991</v>
      </c>
      <c r="H153" s="90">
        <f t="shared" si="97"/>
        <v>106112.79000000001</v>
      </c>
      <c r="I153" s="90">
        <f t="shared" si="97"/>
        <v>509529.57</v>
      </c>
      <c r="J153" s="90">
        <f t="shared" si="97"/>
        <v>355331.14</v>
      </c>
      <c r="K153" s="90">
        <f t="shared" si="97"/>
        <v>521660.97000000003</v>
      </c>
      <c r="L153" s="90">
        <f t="shared" si="97"/>
        <v>3551526.5</v>
      </c>
      <c r="M153" s="90">
        <f t="shared" si="97"/>
        <v>288258.07</v>
      </c>
      <c r="N153" s="90">
        <f t="shared" si="97"/>
        <v>-9232.119999999999</v>
      </c>
      <c r="O153" s="90">
        <f t="shared" si="97"/>
        <v>713421.97</v>
      </c>
      <c r="P153" s="90">
        <f t="shared" si="97"/>
        <v>98362.19</v>
      </c>
      <c r="Q153" s="90">
        <f t="shared" si="97"/>
        <v>-4705.8100000000013</v>
      </c>
      <c r="R153" s="90">
        <f t="shared" si="97"/>
        <v>43963.29</v>
      </c>
      <c r="S153" s="90">
        <f t="shared" si="97"/>
        <v>-48947.220000000016</v>
      </c>
      <c r="T153" s="90">
        <f t="shared" si="97"/>
        <v>544010.83000000007</v>
      </c>
      <c r="U153" s="90">
        <f t="shared" si="97"/>
        <v>-15080.91</v>
      </c>
      <c r="V153" s="90">
        <f t="shared" si="97"/>
        <v>-314421.67000000004</v>
      </c>
      <c r="W153" s="90">
        <f t="shared" si="97"/>
        <v>456199.36</v>
      </c>
      <c r="X153" s="90">
        <f t="shared" si="97"/>
        <v>138689.76999999999</v>
      </c>
      <c r="Y153" s="90">
        <f t="shared" si="97"/>
        <v>1766349.46</v>
      </c>
      <c r="Z153" s="90">
        <f t="shared" si="97"/>
        <v>1120099.08</v>
      </c>
      <c r="AA153" s="90">
        <f t="shared" si="97"/>
        <v>10126.51</v>
      </c>
      <c r="AB153" s="90">
        <f t="shared" si="97"/>
        <v>1129.2400000000052</v>
      </c>
      <c r="AC153" s="90">
        <f t="shared" si="97"/>
        <v>-297058.18</v>
      </c>
      <c r="AD153" s="90">
        <f t="shared" si="97"/>
        <v>4584.9600000000064</v>
      </c>
      <c r="AE153" s="90">
        <f t="shared" si="97"/>
        <v>-249384.18</v>
      </c>
      <c r="AF153" s="90">
        <f t="shared" si="97"/>
        <v>76405.579999999987</v>
      </c>
      <c r="AG153" s="90">
        <f t="shared" si="97"/>
        <v>904527.7</v>
      </c>
      <c r="AH153" s="90">
        <f t="shared" si="97"/>
        <v>869734.76</v>
      </c>
      <c r="AI153" s="90">
        <f t="shared" si="97"/>
        <v>-37068.9</v>
      </c>
      <c r="AJ153" s="90">
        <f t="shared" si="97"/>
        <v>45606.67</v>
      </c>
      <c r="AK153" s="90">
        <f t="shared" si="97"/>
        <v>571824.05000000005</v>
      </c>
      <c r="AL153" s="90">
        <f t="shared" si="97"/>
        <v>45087.840000000004</v>
      </c>
      <c r="AM153" s="90">
        <f t="shared" si="97"/>
        <v>123768.67</v>
      </c>
      <c r="AN153" s="90">
        <f t="shared" si="97"/>
        <v>6229.74</v>
      </c>
      <c r="AO153" s="90">
        <f t="shared" si="97"/>
        <v>209567.68</v>
      </c>
      <c r="AP153" s="90">
        <f t="shared" si="97"/>
        <v>200305.65999999997</v>
      </c>
      <c r="AQ153" s="90">
        <f t="shared" si="97"/>
        <v>32981.15</v>
      </c>
      <c r="AR153" s="90">
        <f t="shared" si="97"/>
        <v>76558.69</v>
      </c>
      <c r="AS153" s="90">
        <f t="shared" si="97"/>
        <v>1288.75</v>
      </c>
      <c r="AT153" s="90">
        <f t="shared" si="97"/>
        <v>-3462.9399999999951</v>
      </c>
      <c r="AU153" s="90">
        <f t="shared" si="97"/>
        <v>47834.869999999995</v>
      </c>
      <c r="AV153" s="90">
        <f t="shared" si="97"/>
        <v>258416.72000000003</v>
      </c>
      <c r="AW153" s="90">
        <f t="shared" si="97"/>
        <v>82660.81</v>
      </c>
      <c r="AX153" s="90">
        <f t="shared" si="97"/>
        <v>-50574.92</v>
      </c>
      <c r="AY153" s="90">
        <f t="shared" si="97"/>
        <v>-46434.000000000007</v>
      </c>
      <c r="AZ153" s="90">
        <f t="shared" si="97"/>
        <v>59877.34</v>
      </c>
      <c r="BA153" s="90">
        <f t="shared" si="97"/>
        <v>122026.26000000001</v>
      </c>
      <c r="BB153" s="90">
        <f t="shared" si="97"/>
        <v>134564.66</v>
      </c>
      <c r="BC153" s="90">
        <f t="shared" si="97"/>
        <v>59759.93</v>
      </c>
      <c r="BD153" s="90">
        <f t="shared" si="97"/>
        <v>651336.63000000012</v>
      </c>
      <c r="BE153" s="90">
        <f t="shared" si="97"/>
        <v>116013.61000000002</v>
      </c>
      <c r="BF153" s="90">
        <f t="shared" si="97"/>
        <v>13750904.800000003</v>
      </c>
      <c r="BG153" s="90">
        <f t="shared" si="97"/>
        <v>6697531.1299999999</v>
      </c>
      <c r="BH153" s="90">
        <f t="shared" si="97"/>
        <v>4353742.4700000007</v>
      </c>
      <c r="BI153" s="90">
        <f t="shared" si="97"/>
        <v>2699631.2</v>
      </c>
    </row>
    <row r="154" spans="1:61" x14ac:dyDescent="0.25">
      <c r="C154">
        <v>900</v>
      </c>
      <c r="D154" t="s">
        <v>196</v>
      </c>
      <c r="E154" s="4">
        <v>-157625.18</v>
      </c>
      <c r="F154" s="4">
        <v>-70505.289999999994</v>
      </c>
      <c r="G154" s="4">
        <v>-111577.93</v>
      </c>
      <c r="H154" s="4">
        <v>-14608.67</v>
      </c>
      <c r="I154" s="4">
        <v>28923.83</v>
      </c>
      <c r="J154" s="4">
        <v>101053.96</v>
      </c>
      <c r="K154" s="4">
        <v>5411.09</v>
      </c>
      <c r="L154" s="4">
        <v>-67.2</v>
      </c>
      <c r="M154" s="4">
        <v>89897.07</v>
      </c>
      <c r="N154" s="4">
        <v>-13123.38</v>
      </c>
      <c r="O154" s="4">
        <v>-243211.13</v>
      </c>
      <c r="P154" s="4">
        <v>5670.3</v>
      </c>
      <c r="Q154" s="4">
        <v>-26078.06</v>
      </c>
      <c r="R154" s="4">
        <v>33566.67</v>
      </c>
      <c r="S154" s="83">
        <v>-135865.17000000001</v>
      </c>
      <c r="T154" s="83">
        <v>310014.2</v>
      </c>
      <c r="U154" s="83">
        <v>-34246.9</v>
      </c>
      <c r="V154" s="83">
        <v>-349123.21</v>
      </c>
      <c r="W154" s="83">
        <v>71457.649999999994</v>
      </c>
      <c r="X154" s="83">
        <v>124375.22</v>
      </c>
      <c r="Y154" s="83">
        <v>1633805.81</v>
      </c>
      <c r="Z154" s="83">
        <v>925288.21</v>
      </c>
      <c r="AA154" s="83">
        <v>13373.11</v>
      </c>
      <c r="AB154" s="83">
        <v>-34056.49</v>
      </c>
      <c r="AC154" s="83">
        <v>-190765.53</v>
      </c>
      <c r="AD154" s="83">
        <v>-65921.119999999995</v>
      </c>
      <c r="AE154" s="83">
        <v>-148769.32</v>
      </c>
      <c r="AF154" s="83">
        <v>-159274.14000000001</v>
      </c>
      <c r="AG154" s="83">
        <v>764904.49</v>
      </c>
      <c r="AH154" s="83">
        <v>28139.98</v>
      </c>
      <c r="AI154" s="83">
        <v>-33153.300000000003</v>
      </c>
      <c r="AJ154" s="83">
        <v>-6438.58</v>
      </c>
      <c r="AK154" s="83">
        <v>423500</v>
      </c>
      <c r="AL154" s="83">
        <v>1986.72</v>
      </c>
      <c r="AM154" s="83">
        <v>103605.34</v>
      </c>
      <c r="AN154" s="83">
        <v>4158.18</v>
      </c>
      <c r="AO154" s="83">
        <v>48266.43</v>
      </c>
      <c r="AP154" s="83">
        <v>135972.01999999999</v>
      </c>
      <c r="AQ154" s="83">
        <v>6474.16</v>
      </c>
      <c r="AR154" s="83">
        <v>9638.94</v>
      </c>
      <c r="AS154" s="83">
        <v>32568.26</v>
      </c>
      <c r="AT154" s="83">
        <v>-48087.99</v>
      </c>
      <c r="AU154" s="83">
        <v>18094.98</v>
      </c>
      <c r="AV154" s="83">
        <v>115176.8</v>
      </c>
      <c r="AW154" s="83">
        <v>58369.4</v>
      </c>
      <c r="AX154" s="83">
        <v>-66725.97</v>
      </c>
      <c r="AY154" s="83">
        <v>-95514.240000000005</v>
      </c>
      <c r="AZ154" s="83">
        <v>42035.89</v>
      </c>
      <c r="BA154" s="49">
        <v>-22521.59</v>
      </c>
      <c r="BB154" s="83">
        <v>13297.33</v>
      </c>
      <c r="BC154" s="83">
        <v>46556.28</v>
      </c>
      <c r="BD154" s="83">
        <v>-340407.68</v>
      </c>
      <c r="BE154" s="83">
        <v>66157.88</v>
      </c>
      <c r="BF154" s="83">
        <f t="shared" ref="BF154:BF155" si="98">SUM(E154:BE154)</f>
        <v>2894072.129999999</v>
      </c>
      <c r="BG154" s="83">
        <f t="shared" ref="BG154:BG155" si="99">SUM(E154:W154)</f>
        <v>-510037.35</v>
      </c>
      <c r="BH154" s="83">
        <f t="shared" ref="BH154:BH155" si="100">SUM(X154:AJ154)</f>
        <v>2851508.3400000003</v>
      </c>
      <c r="BI154" s="83">
        <f t="shared" ref="BI154:BI155" si="101">SUM(AK154:BE154)</f>
        <v>552601.14000000013</v>
      </c>
    </row>
    <row r="155" spans="1:61" x14ac:dyDescent="0.25">
      <c r="C155">
        <v>901</v>
      </c>
      <c r="D155" t="s">
        <v>197</v>
      </c>
      <c r="E155" s="4">
        <v>202553.28</v>
      </c>
      <c r="F155" s="4">
        <v>21947.97</v>
      </c>
      <c r="G155" s="4">
        <v>16749.330000000002</v>
      </c>
      <c r="H155" s="4">
        <v>120721.46</v>
      </c>
      <c r="I155" s="4">
        <v>480605.74</v>
      </c>
      <c r="J155" s="4">
        <v>254277.18</v>
      </c>
      <c r="K155" s="4">
        <v>516249.88</v>
      </c>
      <c r="L155" s="4">
        <v>3551593.7</v>
      </c>
      <c r="M155" s="4">
        <v>198361</v>
      </c>
      <c r="N155" s="4">
        <v>3891.26</v>
      </c>
      <c r="O155" s="4">
        <v>956633.1</v>
      </c>
      <c r="P155" s="4">
        <v>92691.89</v>
      </c>
      <c r="Q155" s="4">
        <v>21372.25</v>
      </c>
      <c r="R155" s="4">
        <v>10396.620000000001</v>
      </c>
      <c r="S155" s="83">
        <v>86917.95</v>
      </c>
      <c r="T155" s="83">
        <v>233996.63</v>
      </c>
      <c r="U155" s="83">
        <v>19165.990000000002</v>
      </c>
      <c r="V155" s="83">
        <v>34701.54</v>
      </c>
      <c r="W155" s="83">
        <v>384741.71</v>
      </c>
      <c r="X155" s="83">
        <v>14314.55</v>
      </c>
      <c r="Y155" s="83">
        <v>132543.65</v>
      </c>
      <c r="Z155" s="83">
        <v>194810.87</v>
      </c>
      <c r="AA155" s="83">
        <v>-3246.6</v>
      </c>
      <c r="AB155" s="83">
        <v>35185.730000000003</v>
      </c>
      <c r="AC155" s="83">
        <v>-106292.65</v>
      </c>
      <c r="AD155" s="83">
        <v>70506.080000000002</v>
      </c>
      <c r="AE155" s="83">
        <v>-100614.86</v>
      </c>
      <c r="AF155" s="83">
        <v>235679.72</v>
      </c>
      <c r="AG155" s="83">
        <v>139623.21</v>
      </c>
      <c r="AH155" s="83">
        <v>841594.78</v>
      </c>
      <c r="AI155" s="83">
        <v>-3915.6</v>
      </c>
      <c r="AJ155" s="83">
        <v>52045.25</v>
      </c>
      <c r="AK155" s="83">
        <v>148324.04999999999</v>
      </c>
      <c r="AL155" s="83">
        <v>43101.120000000003</v>
      </c>
      <c r="AM155" s="83">
        <v>20163.330000000002</v>
      </c>
      <c r="AN155" s="83">
        <v>2071.56</v>
      </c>
      <c r="AO155" s="83">
        <v>161301.25</v>
      </c>
      <c r="AP155" s="83">
        <v>64333.64</v>
      </c>
      <c r="AQ155" s="83">
        <v>26506.99</v>
      </c>
      <c r="AR155" s="83">
        <v>66919.75</v>
      </c>
      <c r="AS155" s="83">
        <v>-31279.51</v>
      </c>
      <c r="AT155" s="83">
        <v>44625.05</v>
      </c>
      <c r="AU155" s="83">
        <v>29739.89</v>
      </c>
      <c r="AV155" s="83">
        <v>143239.92000000001</v>
      </c>
      <c r="AW155" s="83">
        <v>24291.41</v>
      </c>
      <c r="AX155" s="83">
        <v>16151.05</v>
      </c>
      <c r="AY155" s="83">
        <v>49080.24</v>
      </c>
      <c r="AZ155" s="83">
        <v>17841.45</v>
      </c>
      <c r="BA155" s="83">
        <v>144547.85</v>
      </c>
      <c r="BB155" s="83">
        <v>121267.33</v>
      </c>
      <c r="BC155" s="83">
        <v>13203.65</v>
      </c>
      <c r="BD155" s="83">
        <v>991744.31</v>
      </c>
      <c r="BE155" s="83">
        <v>49855.73</v>
      </c>
      <c r="BF155" s="83">
        <f t="shared" si="98"/>
        <v>10856832.670000004</v>
      </c>
      <c r="BG155" s="83">
        <f t="shared" si="99"/>
        <v>7207568.4799999995</v>
      </c>
      <c r="BH155" s="83">
        <f t="shared" si="100"/>
        <v>1502234.13</v>
      </c>
      <c r="BI155" s="83">
        <f t="shared" si="101"/>
        <v>2147030.06</v>
      </c>
    </row>
    <row r="156" spans="1:61" x14ac:dyDescent="0.25">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row>
    <row r="157" spans="1:61" x14ac:dyDescent="0.25">
      <c r="D157" s="7" t="s">
        <v>198</v>
      </c>
      <c r="E157" s="148">
        <f>E154+E155</f>
        <v>44928.100000000006</v>
      </c>
      <c r="F157" s="148">
        <f t="shared" ref="F157:BI157" si="102">F154+F155</f>
        <v>-48557.319999999992</v>
      </c>
      <c r="G157" s="148">
        <f t="shared" si="102"/>
        <v>-94828.599999999991</v>
      </c>
      <c r="H157" s="148">
        <f t="shared" si="102"/>
        <v>106112.79000000001</v>
      </c>
      <c r="I157" s="148">
        <f t="shared" si="102"/>
        <v>509529.57</v>
      </c>
      <c r="J157" s="148">
        <f t="shared" si="102"/>
        <v>355331.14</v>
      </c>
      <c r="K157" s="148">
        <f t="shared" si="102"/>
        <v>521660.97000000003</v>
      </c>
      <c r="L157" s="148">
        <f t="shared" si="102"/>
        <v>3551526.5</v>
      </c>
      <c r="M157" s="148">
        <f t="shared" si="102"/>
        <v>288258.07</v>
      </c>
      <c r="N157" s="148">
        <f t="shared" si="102"/>
        <v>-9232.119999999999</v>
      </c>
      <c r="O157" s="148">
        <f t="shared" si="102"/>
        <v>713421.97</v>
      </c>
      <c r="P157" s="148">
        <f t="shared" si="102"/>
        <v>98362.19</v>
      </c>
      <c r="Q157" s="148">
        <f t="shared" si="102"/>
        <v>-4705.8100000000013</v>
      </c>
      <c r="R157" s="148">
        <f t="shared" si="102"/>
        <v>43963.29</v>
      </c>
      <c r="S157" s="148">
        <f t="shared" si="102"/>
        <v>-48947.220000000016</v>
      </c>
      <c r="T157" s="148">
        <f t="shared" si="102"/>
        <v>544010.83000000007</v>
      </c>
      <c r="U157" s="148">
        <f t="shared" si="102"/>
        <v>-15080.91</v>
      </c>
      <c r="V157" s="148">
        <f t="shared" si="102"/>
        <v>-314421.67000000004</v>
      </c>
      <c r="W157" s="148">
        <f t="shared" si="102"/>
        <v>456199.36</v>
      </c>
      <c r="X157" s="148">
        <f t="shared" si="102"/>
        <v>138689.76999999999</v>
      </c>
      <c r="Y157" s="148">
        <f t="shared" si="102"/>
        <v>1766349.46</v>
      </c>
      <c r="Z157" s="148">
        <f t="shared" si="102"/>
        <v>1120099.08</v>
      </c>
      <c r="AA157" s="148">
        <f t="shared" si="102"/>
        <v>10126.51</v>
      </c>
      <c r="AB157" s="148">
        <f t="shared" si="102"/>
        <v>1129.2400000000052</v>
      </c>
      <c r="AC157" s="148">
        <f t="shared" si="102"/>
        <v>-297058.18</v>
      </c>
      <c r="AD157" s="148">
        <f t="shared" si="102"/>
        <v>4584.9600000000064</v>
      </c>
      <c r="AE157" s="148">
        <f t="shared" si="102"/>
        <v>-249384.18</v>
      </c>
      <c r="AF157" s="148">
        <f t="shared" si="102"/>
        <v>76405.579999999987</v>
      </c>
      <c r="AG157" s="148">
        <f t="shared" si="102"/>
        <v>904527.7</v>
      </c>
      <c r="AH157" s="148">
        <f t="shared" si="102"/>
        <v>869734.76</v>
      </c>
      <c r="AI157" s="148">
        <f t="shared" si="102"/>
        <v>-37068.9</v>
      </c>
      <c r="AJ157" s="148">
        <f t="shared" si="102"/>
        <v>45606.67</v>
      </c>
      <c r="AK157" s="148">
        <f t="shared" si="102"/>
        <v>571824.05000000005</v>
      </c>
      <c r="AL157" s="148">
        <f t="shared" si="102"/>
        <v>45087.840000000004</v>
      </c>
      <c r="AM157" s="148">
        <f t="shared" si="102"/>
        <v>123768.67</v>
      </c>
      <c r="AN157" s="148">
        <f t="shared" si="102"/>
        <v>6229.74</v>
      </c>
      <c r="AO157" s="148">
        <f t="shared" si="102"/>
        <v>209567.68</v>
      </c>
      <c r="AP157" s="148">
        <f t="shared" si="102"/>
        <v>200305.65999999997</v>
      </c>
      <c r="AQ157" s="148">
        <f t="shared" si="102"/>
        <v>32981.15</v>
      </c>
      <c r="AR157" s="148">
        <f t="shared" si="102"/>
        <v>76558.69</v>
      </c>
      <c r="AS157" s="148">
        <f t="shared" si="102"/>
        <v>1288.75</v>
      </c>
      <c r="AT157" s="148">
        <f t="shared" si="102"/>
        <v>-3462.9399999999951</v>
      </c>
      <c r="AU157" s="148">
        <f t="shared" si="102"/>
        <v>47834.869999999995</v>
      </c>
      <c r="AV157" s="148">
        <f t="shared" si="102"/>
        <v>258416.72000000003</v>
      </c>
      <c r="AW157" s="148">
        <f t="shared" si="102"/>
        <v>82660.81</v>
      </c>
      <c r="AX157" s="148">
        <f t="shared" si="102"/>
        <v>-50574.92</v>
      </c>
      <c r="AY157" s="148">
        <f t="shared" si="102"/>
        <v>-46434.000000000007</v>
      </c>
      <c r="AZ157" s="148">
        <f t="shared" si="102"/>
        <v>59877.34</v>
      </c>
      <c r="BA157" s="148">
        <f t="shared" si="102"/>
        <v>122026.26000000001</v>
      </c>
      <c r="BB157" s="148">
        <f t="shared" si="102"/>
        <v>134564.66</v>
      </c>
      <c r="BC157" s="148">
        <f t="shared" si="102"/>
        <v>59759.93</v>
      </c>
      <c r="BD157" s="148">
        <f t="shared" si="102"/>
        <v>651336.63000000012</v>
      </c>
      <c r="BE157" s="148">
        <f t="shared" si="102"/>
        <v>116013.61000000002</v>
      </c>
      <c r="BF157" s="148">
        <f t="shared" si="102"/>
        <v>13750904.800000003</v>
      </c>
      <c r="BG157" s="148">
        <f t="shared" si="102"/>
        <v>6697531.1299999999</v>
      </c>
      <c r="BH157" s="148">
        <f t="shared" si="102"/>
        <v>4353742.4700000007</v>
      </c>
      <c r="BI157" s="148">
        <f t="shared" si="102"/>
        <v>2699631.2</v>
      </c>
    </row>
    <row r="158" spans="1:61" x14ac:dyDescent="0.25">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row>
    <row r="159" spans="1:61" hidden="1" x14ac:dyDescent="0.25">
      <c r="D159" s="38"/>
      <c r="E159" s="31">
        <f t="shared" ref="E159:AJ159" si="103">E75-E4</f>
        <v>44928.099999999627</v>
      </c>
      <c r="F159" s="31">
        <f t="shared" si="103"/>
        <v>-48557.319999999832</v>
      </c>
      <c r="G159" s="31">
        <f t="shared" si="103"/>
        <v>-94828.600000000326</v>
      </c>
      <c r="H159" s="31">
        <f t="shared" si="103"/>
        <v>106112.79000000027</v>
      </c>
      <c r="I159" s="31">
        <f t="shared" si="103"/>
        <v>509529.56999999844</v>
      </c>
      <c r="J159" s="31">
        <f t="shared" si="103"/>
        <v>355331.1400000006</v>
      </c>
      <c r="K159" s="31">
        <f t="shared" si="103"/>
        <v>521660.97000000067</v>
      </c>
      <c r="L159" s="31">
        <f t="shared" si="103"/>
        <v>3551526.5000000298</v>
      </c>
      <c r="M159" s="31">
        <f t="shared" si="103"/>
        <v>288258.06999999937</v>
      </c>
      <c r="N159" s="31">
        <f t="shared" si="103"/>
        <v>-9232.1200000001118</v>
      </c>
      <c r="O159" s="31">
        <f t="shared" si="103"/>
        <v>713421.97000000253</v>
      </c>
      <c r="P159" s="31">
        <f t="shared" si="103"/>
        <v>98362.189999999944</v>
      </c>
      <c r="Q159" s="31">
        <f t="shared" si="103"/>
        <v>-4705.8100000000559</v>
      </c>
      <c r="R159" s="31">
        <f t="shared" si="103"/>
        <v>43963.290000000037</v>
      </c>
      <c r="S159" s="31">
        <f t="shared" si="103"/>
        <v>48947.220000000205</v>
      </c>
      <c r="T159" s="31">
        <f t="shared" si="103"/>
        <v>544010.82999999914</v>
      </c>
      <c r="U159" s="31">
        <f t="shared" si="103"/>
        <v>-15080.910000000033</v>
      </c>
      <c r="V159" s="31">
        <f t="shared" si="103"/>
        <v>-314421.66999999993</v>
      </c>
      <c r="W159" s="31">
        <f t="shared" si="103"/>
        <v>456199.36000000127</v>
      </c>
      <c r="X159" s="31">
        <f t="shared" si="103"/>
        <v>138689.77000000002</v>
      </c>
      <c r="Y159" s="31">
        <f t="shared" si="103"/>
        <v>1766349.4600000018</v>
      </c>
      <c r="Z159" s="31">
        <f t="shared" si="103"/>
        <v>1120099.08</v>
      </c>
      <c r="AA159" s="31">
        <f t="shared" si="103"/>
        <v>13373.109999999986</v>
      </c>
      <c r="AB159" s="31">
        <f t="shared" si="103"/>
        <v>1129.2400000002235</v>
      </c>
      <c r="AC159" s="31">
        <f t="shared" si="103"/>
        <v>-297058.18000000017</v>
      </c>
      <c r="AD159" s="31">
        <f t="shared" si="103"/>
        <v>4584.9600000004284</v>
      </c>
      <c r="AE159" s="31">
        <f t="shared" si="103"/>
        <v>-249384.1799999997</v>
      </c>
      <c r="AF159" s="31">
        <f t="shared" si="103"/>
        <v>76405.580000000075</v>
      </c>
      <c r="AG159" s="31">
        <f t="shared" si="103"/>
        <v>904527.69999999739</v>
      </c>
      <c r="AH159" s="31">
        <f t="shared" si="103"/>
        <v>869734.76000000164</v>
      </c>
      <c r="AI159" s="31">
        <f t="shared" si="103"/>
        <v>-37068.899999999907</v>
      </c>
      <c r="AJ159" s="31">
        <f t="shared" si="103"/>
        <v>45606.670000000042</v>
      </c>
      <c r="AK159" s="31">
        <f t="shared" ref="AK159:BI159" si="104">AK75-AK4</f>
        <v>571824.05000000168</v>
      </c>
      <c r="AL159" s="31">
        <f t="shared" si="104"/>
        <v>45087.839999999851</v>
      </c>
      <c r="AM159" s="31">
        <f t="shared" si="104"/>
        <v>123768.67000000086</v>
      </c>
      <c r="AN159" s="31">
        <f t="shared" si="104"/>
        <v>6229.7400000001071</v>
      </c>
      <c r="AO159" s="31">
        <f t="shared" si="104"/>
        <v>209567.6799999997</v>
      </c>
      <c r="AP159" s="31">
        <f t="shared" si="104"/>
        <v>200305.66000000015</v>
      </c>
      <c r="AQ159" s="31">
        <f t="shared" si="104"/>
        <v>32981.149999999441</v>
      </c>
      <c r="AR159" s="31">
        <f t="shared" si="104"/>
        <v>76558.690000001341</v>
      </c>
      <c r="AS159" s="31">
        <f t="shared" si="104"/>
        <v>1288.75</v>
      </c>
      <c r="AT159" s="31">
        <f t="shared" si="104"/>
        <v>-3462.9400000004098</v>
      </c>
      <c r="AU159" s="31">
        <f t="shared" si="104"/>
        <v>47834.870000000112</v>
      </c>
      <c r="AV159" s="31">
        <f t="shared" si="104"/>
        <v>258416.72000000067</v>
      </c>
      <c r="AW159" s="31">
        <f t="shared" si="104"/>
        <v>82660.80999999959</v>
      </c>
      <c r="AX159" s="31">
        <f t="shared" si="104"/>
        <v>-50574.920000000042</v>
      </c>
      <c r="AY159" s="31">
        <f t="shared" si="104"/>
        <v>-46434.000000000233</v>
      </c>
      <c r="AZ159" s="31">
        <f t="shared" si="104"/>
        <v>59877.339999999851</v>
      </c>
      <c r="BA159" s="31">
        <f t="shared" si="104"/>
        <v>122026.25999999978</v>
      </c>
      <c r="BB159" s="31">
        <f t="shared" si="104"/>
        <v>134564.66000000108</v>
      </c>
      <c r="BC159" s="31">
        <f t="shared" si="104"/>
        <v>59759.930000000051</v>
      </c>
      <c r="BD159" s="31">
        <f t="shared" si="104"/>
        <v>651336.63000000268</v>
      </c>
      <c r="BE159" s="31">
        <f t="shared" si="104"/>
        <v>116013.6099999994</v>
      </c>
      <c r="BF159" s="31">
        <f t="shared" si="104"/>
        <v>13852045.840000153</v>
      </c>
      <c r="BG159" s="31">
        <f t="shared" si="104"/>
        <v>6795425.5700000823</v>
      </c>
      <c r="BH159" s="31">
        <f t="shared" si="104"/>
        <v>4356989.0699999928</v>
      </c>
      <c r="BI159" s="31">
        <f t="shared" si="104"/>
        <v>2699631.1999999583</v>
      </c>
    </row>
    <row r="160" spans="1:61" hidden="1" x14ac:dyDescent="0.25">
      <c r="D160" s="38" t="s">
        <v>68</v>
      </c>
      <c r="E160" s="30">
        <f t="shared" ref="E160:AJ160" si="105">E157-E159</f>
        <v>3.7834979593753815E-10</v>
      </c>
      <c r="F160" s="30">
        <f t="shared" si="105"/>
        <v>-1.6007106751203537E-10</v>
      </c>
      <c r="G160" s="30">
        <f t="shared" si="105"/>
        <v>3.3469405025243759E-10</v>
      </c>
      <c r="H160" s="30">
        <f t="shared" si="105"/>
        <v>-2.6193447411060333E-10</v>
      </c>
      <c r="I160" s="30">
        <f t="shared" si="105"/>
        <v>1.57160684466362E-9</v>
      </c>
      <c r="J160" s="30">
        <f t="shared" si="105"/>
        <v>-5.8207660913467407E-10</v>
      </c>
      <c r="K160" s="30">
        <f t="shared" si="105"/>
        <v>-6.4028427004814148E-10</v>
      </c>
      <c r="L160" s="30">
        <f t="shared" si="105"/>
        <v>-2.9802322387695313E-8</v>
      </c>
      <c r="M160" s="30">
        <f t="shared" si="105"/>
        <v>6.4028427004814148E-10</v>
      </c>
      <c r="N160" s="30">
        <f t="shared" si="105"/>
        <v>1.127773430198431E-10</v>
      </c>
      <c r="O160" s="30">
        <f t="shared" si="105"/>
        <v>-2.5611370801925659E-9</v>
      </c>
      <c r="P160" s="30">
        <f t="shared" si="105"/>
        <v>0</v>
      </c>
      <c r="Q160" s="30">
        <f t="shared" si="105"/>
        <v>5.4569682106375694E-11</v>
      </c>
      <c r="R160" s="30">
        <f t="shared" si="105"/>
        <v>0</v>
      </c>
      <c r="S160" s="30">
        <f t="shared" si="105"/>
        <v>-97894.440000000221</v>
      </c>
      <c r="T160" s="30">
        <f t="shared" si="105"/>
        <v>9.3132257461547852E-10</v>
      </c>
      <c r="U160" s="30">
        <f t="shared" si="105"/>
        <v>3.2741809263825417E-11</v>
      </c>
      <c r="V160" s="30">
        <f t="shared" si="105"/>
        <v>0</v>
      </c>
      <c r="W160" s="30">
        <f t="shared" si="105"/>
        <v>-1.280568540096283E-9</v>
      </c>
      <c r="X160" s="30">
        <f t="shared" si="105"/>
        <v>0</v>
      </c>
      <c r="Y160" s="30">
        <f t="shared" si="105"/>
        <v>-1.862645149230957E-9</v>
      </c>
      <c r="Z160" s="30">
        <f t="shared" si="105"/>
        <v>0</v>
      </c>
      <c r="AA160" s="30">
        <f t="shared" si="105"/>
        <v>-3246.5999999999858</v>
      </c>
      <c r="AB160" s="30">
        <f t="shared" si="105"/>
        <v>-2.1827872842550278E-10</v>
      </c>
      <c r="AC160" s="30">
        <f t="shared" si="105"/>
        <v>0</v>
      </c>
      <c r="AD160" s="30">
        <f t="shared" si="105"/>
        <v>-4.220055416226387E-10</v>
      </c>
      <c r="AE160" s="30">
        <f t="shared" si="105"/>
        <v>-2.9103830456733704E-10</v>
      </c>
      <c r="AF160" s="30">
        <f t="shared" si="105"/>
        <v>0</v>
      </c>
      <c r="AG160" s="30">
        <f t="shared" si="105"/>
        <v>2.5611370801925659E-9</v>
      </c>
      <c r="AH160" s="30">
        <f t="shared" si="105"/>
        <v>-1.6298145055770874E-9</v>
      </c>
      <c r="AI160" s="30">
        <f t="shared" si="105"/>
        <v>-9.4587448984384537E-11</v>
      </c>
      <c r="AJ160" s="30">
        <f t="shared" si="105"/>
        <v>0</v>
      </c>
      <c r="AK160" s="30">
        <f t="shared" ref="AK160:BI160" si="106">AK157-AK159</f>
        <v>-1.6298145055770874E-9</v>
      </c>
      <c r="AL160" s="30">
        <f t="shared" si="106"/>
        <v>1.5279510989785194E-10</v>
      </c>
      <c r="AM160" s="30">
        <f t="shared" si="106"/>
        <v>-8.5856299847364426E-10</v>
      </c>
      <c r="AN160" s="30">
        <f t="shared" si="106"/>
        <v>-1.0732037480920553E-10</v>
      </c>
      <c r="AO160" s="30">
        <f t="shared" si="106"/>
        <v>2.9103830456733704E-10</v>
      </c>
      <c r="AP160" s="30">
        <f t="shared" si="106"/>
        <v>0</v>
      </c>
      <c r="AQ160" s="30">
        <f t="shared" si="106"/>
        <v>5.6024873629212379E-10</v>
      </c>
      <c r="AR160" s="30">
        <f t="shared" si="106"/>
        <v>-1.3387762010097504E-9</v>
      </c>
      <c r="AS160" s="30">
        <f t="shared" si="106"/>
        <v>0</v>
      </c>
      <c r="AT160" s="30">
        <f t="shared" si="106"/>
        <v>4.1472958400845528E-10</v>
      </c>
      <c r="AU160" s="30">
        <f t="shared" si="106"/>
        <v>-1.1641532182693481E-10</v>
      </c>
      <c r="AV160" s="30">
        <f t="shared" si="106"/>
        <v>-6.4028427004814148E-10</v>
      </c>
      <c r="AW160" s="30">
        <f t="shared" si="106"/>
        <v>4.0745362639427185E-10</v>
      </c>
      <c r="AX160" s="30">
        <f t="shared" si="106"/>
        <v>0</v>
      </c>
      <c r="AY160" s="30">
        <f t="shared" si="106"/>
        <v>2.255546860396862E-10</v>
      </c>
      <c r="AZ160" s="30">
        <f t="shared" si="106"/>
        <v>1.4551915228366852E-10</v>
      </c>
      <c r="BA160" s="30">
        <f t="shared" si="106"/>
        <v>2.3283064365386963E-10</v>
      </c>
      <c r="BB160" s="30">
        <f t="shared" si="106"/>
        <v>-1.076841726899147E-9</v>
      </c>
      <c r="BC160" s="30">
        <f t="shared" si="106"/>
        <v>0</v>
      </c>
      <c r="BD160" s="30">
        <f t="shared" si="106"/>
        <v>-2.5611370801925659E-9</v>
      </c>
      <c r="BE160" s="30">
        <f t="shared" si="106"/>
        <v>6.1118043959140778E-10</v>
      </c>
      <c r="BF160" s="30">
        <f t="shared" si="106"/>
        <v>-101141.04000014998</v>
      </c>
      <c r="BG160" s="30">
        <f t="shared" si="106"/>
        <v>-97894.440000082366</v>
      </c>
      <c r="BH160" s="30">
        <f t="shared" si="106"/>
        <v>-3246.5999999921769</v>
      </c>
      <c r="BI160" s="30">
        <f t="shared" si="106"/>
        <v>4.1909515857696533E-8</v>
      </c>
    </row>
    <row r="161" spans="1:61" hidden="1" x14ac:dyDescent="0.25"/>
    <row r="162" spans="1:61" hidden="1" x14ac:dyDescent="0.25">
      <c r="D162" s="56" t="s">
        <v>453</v>
      </c>
    </row>
    <row r="163" spans="1:61" hidden="1" x14ac:dyDescent="0.25">
      <c r="C163">
        <v>4021</v>
      </c>
      <c r="D163" t="s">
        <v>214</v>
      </c>
      <c r="E163" s="4">
        <v>140932.75</v>
      </c>
      <c r="F163">
        <v>111236.5</v>
      </c>
      <c r="G163" s="4">
        <v>110576.6</v>
      </c>
      <c r="H163" s="4">
        <v>87072.6</v>
      </c>
      <c r="I163" s="4">
        <v>699932.16000000003</v>
      </c>
      <c r="J163" s="4">
        <v>486319.56</v>
      </c>
      <c r="K163" s="4">
        <v>392387.15</v>
      </c>
      <c r="L163" s="4">
        <v>2999376.55</v>
      </c>
      <c r="M163" s="4">
        <v>234047.25</v>
      </c>
      <c r="N163" s="4">
        <v>16427</v>
      </c>
      <c r="O163" s="4">
        <v>1208233.05</v>
      </c>
      <c r="P163" s="4">
        <v>145622.21</v>
      </c>
      <c r="Q163" s="4">
        <v>20252.099999999999</v>
      </c>
      <c r="R163" s="4">
        <v>69053.850000000006</v>
      </c>
      <c r="S163" s="4">
        <v>76485.899999999994</v>
      </c>
      <c r="T163" s="4">
        <v>110917</v>
      </c>
      <c r="U163" s="4">
        <v>40982.800000000003</v>
      </c>
      <c r="V163" s="4">
        <v>93913.600000000006</v>
      </c>
      <c r="W163" s="4">
        <v>568188.5</v>
      </c>
      <c r="X163" s="4">
        <v>50022.8</v>
      </c>
      <c r="Y163" s="4">
        <v>173685.3</v>
      </c>
      <c r="Z163" s="4">
        <v>257381.9</v>
      </c>
      <c r="AA163" s="4">
        <v>34644.6</v>
      </c>
      <c r="AB163" s="4">
        <v>39053.199999999997</v>
      </c>
      <c r="AC163" s="4">
        <v>90536</v>
      </c>
      <c r="AD163" s="4">
        <v>134225.4</v>
      </c>
      <c r="AE163" s="4">
        <v>139779.29999999999</v>
      </c>
      <c r="AF163" s="4">
        <v>146567.25</v>
      </c>
      <c r="AG163" s="4">
        <v>432908.55</v>
      </c>
      <c r="AH163" s="4">
        <v>488031.45</v>
      </c>
      <c r="AI163" s="4">
        <v>39785.800000000003</v>
      </c>
      <c r="AJ163" s="4">
        <v>65803</v>
      </c>
      <c r="AK163" s="4">
        <v>452731</v>
      </c>
      <c r="AL163" s="4">
        <v>271795.25</v>
      </c>
      <c r="AM163" s="4">
        <v>204256.05</v>
      </c>
      <c r="AN163" s="4">
        <v>25868.75</v>
      </c>
      <c r="AO163" s="4">
        <v>81666.3</v>
      </c>
      <c r="AP163" s="4">
        <v>114439.7</v>
      </c>
      <c r="AQ163" s="4">
        <v>109764.3</v>
      </c>
      <c r="AR163" s="4">
        <v>374469.5</v>
      </c>
      <c r="AS163" s="4">
        <v>197273.48</v>
      </c>
      <c r="AT163" s="4">
        <v>226031.45</v>
      </c>
      <c r="AU163" s="4">
        <v>43589.55</v>
      </c>
      <c r="AV163" s="4">
        <v>521408.3</v>
      </c>
      <c r="AW163" s="4">
        <v>168779.15</v>
      </c>
      <c r="AX163" s="4">
        <v>46311</v>
      </c>
      <c r="AY163" s="4">
        <v>89651.9</v>
      </c>
      <c r="AZ163" s="4">
        <v>314178.65000000002</v>
      </c>
      <c r="BA163" s="4">
        <v>113781.6</v>
      </c>
      <c r="BB163" s="4">
        <v>305710.57</v>
      </c>
      <c r="BC163" s="4">
        <v>29727.95</v>
      </c>
      <c r="BD163" s="4">
        <v>1682891.95</v>
      </c>
      <c r="BE163" s="4">
        <v>120670.95</v>
      </c>
      <c r="BF163" s="4">
        <f t="shared" ref="BF163:BF165" si="107">SUM(E163:BE163)</f>
        <v>15199379.030000001</v>
      </c>
      <c r="BG163" s="4">
        <f t="shared" ref="BG163:BG165" si="108">SUM(E163:W163)</f>
        <v>7611957.129999998</v>
      </c>
      <c r="BH163" s="4">
        <f t="shared" ref="BH163:BH165" si="109">SUM(X163:AJ163)</f>
        <v>2092424.55</v>
      </c>
      <c r="BI163" s="4">
        <f t="shared" ref="BI163:BI165" si="110">SUM(AK163:BE163)</f>
        <v>5494997.3499999996</v>
      </c>
    </row>
    <row r="164" spans="1:61" hidden="1" x14ac:dyDescent="0.25">
      <c r="C164">
        <v>4490</v>
      </c>
      <c r="D164" t="s">
        <v>215</v>
      </c>
      <c r="E164" s="4">
        <v>0</v>
      </c>
      <c r="F164" s="4">
        <v>0</v>
      </c>
      <c r="G164" s="4">
        <v>0</v>
      </c>
      <c r="H164" s="4">
        <v>0</v>
      </c>
      <c r="I164" s="4">
        <v>0</v>
      </c>
      <c r="J164" s="4">
        <v>850</v>
      </c>
      <c r="K164" s="4">
        <v>0</v>
      </c>
      <c r="L164" s="4">
        <v>0</v>
      </c>
      <c r="M164" s="4">
        <v>0</v>
      </c>
      <c r="N164" s="4">
        <v>0</v>
      </c>
      <c r="O164" s="4">
        <v>0</v>
      </c>
      <c r="P164" s="4">
        <v>0</v>
      </c>
      <c r="Q164" s="4">
        <v>0</v>
      </c>
      <c r="R164" s="4">
        <v>0</v>
      </c>
      <c r="S164" s="4">
        <v>0</v>
      </c>
      <c r="T164" s="4">
        <v>0</v>
      </c>
      <c r="U164" s="4">
        <v>0</v>
      </c>
      <c r="V164" s="4">
        <v>0</v>
      </c>
      <c r="W164" s="4">
        <v>0</v>
      </c>
      <c r="X164" s="4">
        <v>0</v>
      </c>
      <c r="Y164" s="4">
        <v>0</v>
      </c>
      <c r="Z164" s="4">
        <v>0</v>
      </c>
      <c r="AA164" s="4">
        <v>0</v>
      </c>
      <c r="AB164" s="4">
        <v>0</v>
      </c>
      <c r="AC164" s="4">
        <v>0</v>
      </c>
      <c r="AD164" s="4">
        <v>0</v>
      </c>
      <c r="AE164" s="4">
        <v>0</v>
      </c>
      <c r="AF164" s="4">
        <v>0</v>
      </c>
      <c r="AG164" s="4">
        <v>0</v>
      </c>
      <c r="AH164" s="4">
        <v>0</v>
      </c>
      <c r="AI164" s="4">
        <v>0</v>
      </c>
      <c r="AJ164" s="4">
        <v>0</v>
      </c>
      <c r="AK164" s="4">
        <v>0</v>
      </c>
      <c r="AL164" s="4">
        <v>0</v>
      </c>
      <c r="AM164" s="4">
        <v>0</v>
      </c>
      <c r="AN164" s="4">
        <v>0</v>
      </c>
      <c r="AO164" s="4">
        <v>0</v>
      </c>
      <c r="AP164" s="4">
        <v>0</v>
      </c>
      <c r="AQ164" s="4">
        <v>0</v>
      </c>
      <c r="AR164" s="4">
        <v>0</v>
      </c>
      <c r="AS164" s="4">
        <v>0</v>
      </c>
      <c r="AT164" s="4">
        <v>0</v>
      </c>
      <c r="AU164" s="4">
        <v>0</v>
      </c>
      <c r="AV164" s="4">
        <v>0</v>
      </c>
      <c r="AW164" s="4">
        <v>0</v>
      </c>
      <c r="AX164" s="4">
        <v>0</v>
      </c>
      <c r="AY164" s="4">
        <v>0</v>
      </c>
      <c r="AZ164" s="4">
        <v>0</v>
      </c>
      <c r="BA164" s="4">
        <v>0</v>
      </c>
      <c r="BB164" s="4">
        <v>0</v>
      </c>
      <c r="BC164" s="4">
        <v>0</v>
      </c>
      <c r="BD164" s="4">
        <v>714598</v>
      </c>
      <c r="BE164" s="4">
        <v>0</v>
      </c>
      <c r="BF164" s="4">
        <f t="shared" si="107"/>
        <v>715448</v>
      </c>
      <c r="BG164" s="4">
        <f t="shared" si="108"/>
        <v>850</v>
      </c>
      <c r="BH164" s="4">
        <f t="shared" si="109"/>
        <v>0</v>
      </c>
      <c r="BI164" s="4">
        <f t="shared" si="110"/>
        <v>714598</v>
      </c>
    </row>
    <row r="165" spans="1:61" hidden="1" x14ac:dyDescent="0.25">
      <c r="A165">
        <v>4</v>
      </c>
      <c r="B165">
        <v>40</v>
      </c>
      <c r="C165">
        <v>40330</v>
      </c>
      <c r="D165" t="s">
        <v>745</v>
      </c>
      <c r="E165" s="4">
        <v>7808.45</v>
      </c>
      <c r="F165" s="4">
        <v>3750</v>
      </c>
      <c r="G165" s="4">
        <v>4500</v>
      </c>
      <c r="H165" s="4">
        <v>2660</v>
      </c>
      <c r="I165" s="4">
        <v>22539</v>
      </c>
      <c r="J165" s="4">
        <v>19455</v>
      </c>
      <c r="K165" s="4">
        <v>18004.45</v>
      </c>
      <c r="L165" s="4">
        <v>67480</v>
      </c>
      <c r="M165" s="4">
        <v>5860</v>
      </c>
      <c r="N165" s="4">
        <v>1500</v>
      </c>
      <c r="O165" s="4">
        <v>49840</v>
      </c>
      <c r="P165" s="4">
        <v>3430</v>
      </c>
      <c r="Q165" s="4">
        <v>330</v>
      </c>
      <c r="R165" s="4">
        <v>3984.75</v>
      </c>
      <c r="S165" s="4">
        <v>2550</v>
      </c>
      <c r="T165" s="4">
        <v>3120</v>
      </c>
      <c r="U165" s="4">
        <v>3680</v>
      </c>
      <c r="V165" s="4">
        <v>4920</v>
      </c>
      <c r="W165" s="4">
        <v>21780</v>
      </c>
      <c r="X165" s="4">
        <v>3550</v>
      </c>
      <c r="Y165" s="4">
        <v>5630</v>
      </c>
      <c r="Z165" s="4">
        <v>7504.3</v>
      </c>
      <c r="AA165" s="4">
        <v>750</v>
      </c>
      <c r="AB165" s="4">
        <v>1170</v>
      </c>
      <c r="AC165" s="4">
        <v>5360</v>
      </c>
      <c r="AD165" s="4">
        <v>5280</v>
      </c>
      <c r="AE165" s="4">
        <v>4990</v>
      </c>
      <c r="AF165" s="4">
        <v>3045</v>
      </c>
      <c r="AG165" s="4">
        <v>11340</v>
      </c>
      <c r="AH165" s="4">
        <v>16180</v>
      </c>
      <c r="AI165" s="4">
        <v>2866.65</v>
      </c>
      <c r="AJ165" s="4">
        <v>1500</v>
      </c>
      <c r="AK165" s="4">
        <v>9000</v>
      </c>
      <c r="AL165" s="4">
        <v>13880</v>
      </c>
      <c r="AM165" s="4">
        <v>8040</v>
      </c>
      <c r="AN165" s="4">
        <v>1480</v>
      </c>
      <c r="AO165" s="4">
        <v>1230</v>
      </c>
      <c r="AP165" s="4">
        <v>4680</v>
      </c>
      <c r="AQ165" s="4">
        <v>4840</v>
      </c>
      <c r="AR165" s="4">
        <v>9650</v>
      </c>
      <c r="AS165" s="4">
        <v>5880</v>
      </c>
      <c r="AT165" s="4">
        <v>6660</v>
      </c>
      <c r="AU165" s="4">
        <v>3000</v>
      </c>
      <c r="AV165" s="4">
        <v>12645</v>
      </c>
      <c r="AW165" s="4">
        <v>4150</v>
      </c>
      <c r="AX165" s="4">
        <v>915.3</v>
      </c>
      <c r="AY165" s="4">
        <v>2750</v>
      </c>
      <c r="AZ165" s="4">
        <v>11900</v>
      </c>
      <c r="BA165" s="4">
        <v>4860</v>
      </c>
      <c r="BB165" s="4">
        <v>13440</v>
      </c>
      <c r="BC165" s="4">
        <v>1305</v>
      </c>
      <c r="BD165" s="4">
        <v>36492</v>
      </c>
      <c r="BE165" s="4">
        <v>3390</v>
      </c>
      <c r="BF165" s="4">
        <f t="shared" si="107"/>
        <v>476544.9</v>
      </c>
      <c r="BG165" s="4">
        <f t="shared" si="108"/>
        <v>247191.65</v>
      </c>
      <c r="BH165" s="4">
        <f t="shared" si="109"/>
        <v>69165.95</v>
      </c>
      <c r="BI165" s="4">
        <f t="shared" si="110"/>
        <v>160187.29999999999</v>
      </c>
    </row>
    <row r="166" spans="1:61" hidden="1" x14ac:dyDescent="0.25">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row>
    <row r="167" spans="1:61" hidden="1" x14ac:dyDescent="0.25">
      <c r="C167" t="s">
        <v>591</v>
      </c>
      <c r="D167" t="s">
        <v>221</v>
      </c>
      <c r="E167" s="4">
        <f>'6.1 Investissements'!E182</f>
        <v>1497456.71</v>
      </c>
      <c r="F167" s="4">
        <f>'6.1 Investissements'!F182</f>
        <v>147631.94</v>
      </c>
      <c r="G167" s="4">
        <f>'6.1 Investissements'!G182</f>
        <v>59608.210000000021</v>
      </c>
      <c r="H167" s="4">
        <f>'6.1 Investissements'!H182</f>
        <v>122282.8</v>
      </c>
      <c r="I167" s="4">
        <f>'6.1 Investissements'!I182</f>
        <v>429130.22000000003</v>
      </c>
      <c r="J167" s="4">
        <f>'6.1 Investissements'!J182</f>
        <v>542405.93000000017</v>
      </c>
      <c r="K167" s="4">
        <f>'6.1 Investissements'!K182</f>
        <v>615581.08999999985</v>
      </c>
      <c r="L167" s="4">
        <f>'6.1 Investissements'!L182</f>
        <v>12141571.110000001</v>
      </c>
      <c r="M167" s="4">
        <f>'6.1 Investissements'!M182</f>
        <v>796260.29</v>
      </c>
      <c r="N167" s="4">
        <f>'6.1 Investissements'!N182</f>
        <v>41267.75</v>
      </c>
      <c r="O167" s="4">
        <f>'6.1 Investissements'!O182</f>
        <v>2884424.1499999994</v>
      </c>
      <c r="P167" s="4">
        <f>'6.1 Investissements'!P182</f>
        <v>122277.88999999998</v>
      </c>
      <c r="Q167" s="4">
        <f>'6.1 Investissements'!Q182</f>
        <v>2137</v>
      </c>
      <c r="R167" s="4">
        <f>'6.1 Investissements'!R182</f>
        <v>35597.1</v>
      </c>
      <c r="S167" s="4">
        <f>'6.1 Investissements'!S182</f>
        <v>-71366.95</v>
      </c>
      <c r="T167" s="4">
        <f>'6.1 Investissements'!T182</f>
        <v>246921.63</v>
      </c>
      <c r="U167" s="4">
        <f>'6.1 Investissements'!U182</f>
        <v>69069.700000000012</v>
      </c>
      <c r="V167" s="4">
        <f>'6.1 Investissements'!V182</f>
        <v>39836.380000000005</v>
      </c>
      <c r="W167" s="4">
        <f>'6.1 Investissements'!W182</f>
        <v>2181309.41</v>
      </c>
      <c r="X167" s="4">
        <f>'6.1 Investissements'!X182</f>
        <v>60441.400000000009</v>
      </c>
      <c r="Y167" s="4">
        <f>'6.1 Investissements'!Y182</f>
        <v>369688.05000000005</v>
      </c>
      <c r="Z167" s="4">
        <f>'6.1 Investissements'!Z182</f>
        <v>449610.71</v>
      </c>
      <c r="AA167" s="4">
        <f>'6.1 Investissements'!AA182</f>
        <v>180906.95</v>
      </c>
      <c r="AB167" s="4">
        <f>'6.1 Investissements'!AB182</f>
        <v>430885.14999999991</v>
      </c>
      <c r="AC167" s="4">
        <f>'6.1 Investissements'!AC182</f>
        <v>610109.35</v>
      </c>
      <c r="AD167" s="4">
        <f>'6.1 Investissements'!AD182</f>
        <v>-148382.57999999999</v>
      </c>
      <c r="AE167" s="4">
        <f>'6.1 Investissements'!AE182</f>
        <v>44754.849999999977</v>
      </c>
      <c r="AF167" s="4">
        <f>'6.1 Investissements'!AF182</f>
        <v>376642.19999999995</v>
      </c>
      <c r="AG167" s="4">
        <f>'6.1 Investissements'!AG182</f>
        <v>1010976.8</v>
      </c>
      <c r="AH167" s="4">
        <f>'6.1 Investissements'!AH182</f>
        <v>441600.30000000005</v>
      </c>
      <c r="AI167" s="4">
        <f>'6.1 Investissements'!AI182</f>
        <v>112427.62</v>
      </c>
      <c r="AJ167" s="4">
        <f>'6.1 Investissements'!AJ182</f>
        <v>33644.449999999983</v>
      </c>
      <c r="AK167" s="4">
        <f>'6.1 Investissements'!AK182</f>
        <v>1548005.9500000002</v>
      </c>
      <c r="AL167" s="4">
        <f>'6.1 Investissements'!AL182</f>
        <v>321251</v>
      </c>
      <c r="AM167" s="4">
        <f>'6.1 Investissements'!AM182</f>
        <v>219854.65999999997</v>
      </c>
      <c r="AN167" s="4">
        <f>'6.1 Investissements'!AN182</f>
        <v>-729276.29</v>
      </c>
      <c r="AO167" s="4">
        <f>'6.1 Investissements'!AO182</f>
        <v>1212650.06</v>
      </c>
      <c r="AP167" s="4">
        <f>'6.1 Investissements'!AP182</f>
        <v>309277.75</v>
      </c>
      <c r="AQ167" s="4">
        <f>'6.1 Investissements'!AQ182</f>
        <v>518633.20000000007</v>
      </c>
      <c r="AR167" s="4">
        <f>'6.1 Investissements'!AR182</f>
        <v>1869226.3999999997</v>
      </c>
      <c r="AS167" s="4">
        <f>'6.1 Investissements'!AS182</f>
        <v>113136.45000000001</v>
      </c>
      <c r="AT167" s="4">
        <f>'6.1 Investissements'!AT182</f>
        <v>1172844.3500000001</v>
      </c>
      <c r="AU167" s="4">
        <f>'6.1 Investissements'!AU182</f>
        <v>-119310.5</v>
      </c>
      <c r="AV167" s="4">
        <f>'6.1 Investissements'!AV182</f>
        <v>584361.4</v>
      </c>
      <c r="AW167" s="4">
        <f>'6.1 Investissements'!AW182</f>
        <v>342404.75</v>
      </c>
      <c r="AX167" s="4">
        <f>'6.1 Investissements'!AX182</f>
        <v>0</v>
      </c>
      <c r="AY167" s="4">
        <f>'6.1 Investissements'!AY182</f>
        <v>10868.3</v>
      </c>
      <c r="AZ167" s="4">
        <f>'6.1 Investissements'!AZ182</f>
        <v>12209.199999999999</v>
      </c>
      <c r="BA167" s="4">
        <f>'6.1 Investissements'!BA182</f>
        <v>562496.30000000005</v>
      </c>
      <c r="BB167" s="4">
        <f>'6.1 Investissements'!BB182</f>
        <v>1048148.3200000001</v>
      </c>
      <c r="BC167" s="4">
        <f>'6.1 Investissements'!BC182</f>
        <v>72697.2</v>
      </c>
      <c r="BD167" s="4">
        <f>'6.1 Investissements'!BD182</f>
        <v>4023738.7199999997</v>
      </c>
      <c r="BE167" s="4">
        <f>'6.1 Investissements'!BE182</f>
        <v>104880.05</v>
      </c>
      <c r="BF167" s="4">
        <f>'6.1 Investissements'!BF182</f>
        <v>39074804.879999995</v>
      </c>
      <c r="BG167" s="4">
        <f>'6.1 Investissements'!BG182</f>
        <v>21903402.359999992</v>
      </c>
      <c r="BH167" s="4">
        <f>'6.1 Investissements'!BH182</f>
        <v>3973305.2499999995</v>
      </c>
      <c r="BI167" s="4">
        <f>'6.1 Investissements'!BI182</f>
        <v>13198097.27</v>
      </c>
    </row>
    <row r="168" spans="1:61" hidden="1" x14ac:dyDescent="0.25">
      <c r="M168" s="4"/>
    </row>
    <row r="169" spans="1:61" hidden="1" x14ac:dyDescent="0.25">
      <c r="D169" s="48" t="s">
        <v>237</v>
      </c>
      <c r="E169" s="49">
        <f>E64-E140</f>
        <v>0</v>
      </c>
      <c r="F169" s="49">
        <f t="shared" ref="F169:BI169" si="111">F64-F140</f>
        <v>0</v>
      </c>
      <c r="G169" s="49">
        <f t="shared" si="111"/>
        <v>0</v>
      </c>
      <c r="H169" s="49">
        <f t="shared" si="111"/>
        <v>0</v>
      </c>
      <c r="I169" s="164">
        <f t="shared" si="111"/>
        <v>0</v>
      </c>
      <c r="J169" s="49">
        <f t="shared" si="111"/>
        <v>0</v>
      </c>
      <c r="K169" s="164">
        <f t="shared" si="111"/>
        <v>0</v>
      </c>
      <c r="L169" s="49">
        <f t="shared" si="111"/>
        <v>0</v>
      </c>
      <c r="M169" s="49">
        <f t="shared" si="111"/>
        <v>0</v>
      </c>
      <c r="N169" s="49">
        <f t="shared" si="111"/>
        <v>-8967.7000000000007</v>
      </c>
      <c r="O169" s="49">
        <f t="shared" si="111"/>
        <v>0</v>
      </c>
      <c r="P169" s="164">
        <f t="shared" si="111"/>
        <v>0</v>
      </c>
      <c r="Q169" s="49">
        <f t="shared" si="111"/>
        <v>0</v>
      </c>
      <c r="R169" s="49">
        <f t="shared" si="111"/>
        <v>-11173</v>
      </c>
      <c r="S169" s="49">
        <f t="shared" si="111"/>
        <v>0</v>
      </c>
      <c r="T169" s="49">
        <f t="shared" si="111"/>
        <v>105.5</v>
      </c>
      <c r="U169" s="49">
        <f t="shared" si="111"/>
        <v>0</v>
      </c>
      <c r="V169" s="49">
        <f t="shared" si="111"/>
        <v>0</v>
      </c>
      <c r="W169" s="49">
        <f t="shared" si="111"/>
        <v>0</v>
      </c>
      <c r="X169" s="49">
        <f t="shared" si="111"/>
        <v>0</v>
      </c>
      <c r="Y169" s="49">
        <f t="shared" si="111"/>
        <v>0</v>
      </c>
      <c r="Z169" s="49">
        <f t="shared" si="111"/>
        <v>0</v>
      </c>
      <c r="AA169" s="49">
        <f t="shared" si="111"/>
        <v>-293.39999999999964</v>
      </c>
      <c r="AB169" s="49">
        <f t="shared" si="111"/>
        <v>0</v>
      </c>
      <c r="AC169" s="49">
        <f t="shared" si="111"/>
        <v>0</v>
      </c>
      <c r="AD169" s="49">
        <f t="shared" si="111"/>
        <v>0</v>
      </c>
      <c r="AE169" s="49">
        <f t="shared" si="111"/>
        <v>0</v>
      </c>
      <c r="AF169" s="49">
        <f t="shared" si="111"/>
        <v>0</v>
      </c>
      <c r="AG169" s="49">
        <f t="shared" si="111"/>
        <v>0</v>
      </c>
      <c r="AH169" s="49">
        <f t="shared" si="111"/>
        <v>0</v>
      </c>
      <c r="AI169" s="49">
        <f t="shared" si="111"/>
        <v>0</v>
      </c>
      <c r="AJ169" s="49">
        <f t="shared" si="111"/>
        <v>0</v>
      </c>
      <c r="AK169" s="49">
        <f t="shared" si="111"/>
        <v>0</v>
      </c>
      <c r="AL169" s="49">
        <f t="shared" si="111"/>
        <v>0</v>
      </c>
      <c r="AM169" s="49">
        <f t="shared" si="111"/>
        <v>0</v>
      </c>
      <c r="AN169" s="49">
        <f t="shared" si="111"/>
        <v>0</v>
      </c>
      <c r="AO169" s="49">
        <f t="shared" si="111"/>
        <v>-3729.7999999999956</v>
      </c>
      <c r="AP169" s="49">
        <f t="shared" si="111"/>
        <v>0</v>
      </c>
      <c r="AQ169" s="49">
        <f t="shared" si="111"/>
        <v>0</v>
      </c>
      <c r="AR169" s="49">
        <f t="shared" si="111"/>
        <v>0</v>
      </c>
      <c r="AS169" s="49">
        <f t="shared" si="111"/>
        <v>227.25</v>
      </c>
      <c r="AT169" s="49">
        <f t="shared" si="111"/>
        <v>0</v>
      </c>
      <c r="AU169" s="49">
        <f t="shared" si="111"/>
        <v>0</v>
      </c>
      <c r="AV169" s="49">
        <f t="shared" si="111"/>
        <v>0</v>
      </c>
      <c r="AW169" s="49">
        <f t="shared" si="111"/>
        <v>0</v>
      </c>
      <c r="AX169" s="49">
        <f t="shared" si="111"/>
        <v>0</v>
      </c>
      <c r="AY169" s="49">
        <f t="shared" si="111"/>
        <v>0</v>
      </c>
      <c r="AZ169" s="49">
        <f t="shared" si="111"/>
        <v>0</v>
      </c>
      <c r="BA169" s="49">
        <f t="shared" si="111"/>
        <v>0</v>
      </c>
      <c r="BB169" s="49">
        <f t="shared" si="111"/>
        <v>0</v>
      </c>
      <c r="BC169" s="49">
        <f t="shared" si="111"/>
        <v>2514.1</v>
      </c>
      <c r="BD169" s="49">
        <f t="shared" si="111"/>
        <v>0</v>
      </c>
      <c r="BE169" s="49">
        <f t="shared" si="111"/>
        <v>0</v>
      </c>
      <c r="BF169" s="49">
        <f t="shared" si="111"/>
        <v>-21317.049999999814</v>
      </c>
      <c r="BG169" s="49">
        <f t="shared" si="111"/>
        <v>-20035.200000000186</v>
      </c>
      <c r="BH169" s="49">
        <f t="shared" si="111"/>
        <v>-293.40000000002328</v>
      </c>
      <c r="BI169" s="49">
        <f t="shared" si="111"/>
        <v>-988.44999999995343</v>
      </c>
    </row>
    <row r="170" spans="1:61" hidden="1" x14ac:dyDescent="0.25"/>
    <row r="171" spans="1:61" hidden="1" x14ac:dyDescent="0.25">
      <c r="D171" t="s">
        <v>592</v>
      </c>
      <c r="E171" s="4">
        <f>E5+E15+E27+E39+E43+E53</f>
        <v>3508993.41</v>
      </c>
      <c r="F171" s="4">
        <f t="shared" ref="F171:BI171" si="112">F5+F15+F27+F39+F43+F53</f>
        <v>1033251.31</v>
      </c>
      <c r="G171" s="4">
        <f t="shared" si="112"/>
        <v>1529522.1700000002</v>
      </c>
      <c r="H171" s="4">
        <f t="shared" si="112"/>
        <v>1760008.2200000002</v>
      </c>
      <c r="I171" s="4">
        <f t="shared" si="112"/>
        <v>14001272.550000001</v>
      </c>
      <c r="J171" s="4">
        <f t="shared" si="112"/>
        <v>12789510.77</v>
      </c>
      <c r="K171" s="4">
        <f t="shared" si="112"/>
        <v>9508082.4399999995</v>
      </c>
      <c r="L171" s="4">
        <f t="shared" si="112"/>
        <v>93875244.099999994</v>
      </c>
      <c r="M171" s="4">
        <f t="shared" si="112"/>
        <v>7320406.5</v>
      </c>
      <c r="N171" s="4">
        <f t="shared" si="112"/>
        <v>527898.74</v>
      </c>
      <c r="O171" s="4">
        <f t="shared" si="112"/>
        <v>26197198.890000001</v>
      </c>
      <c r="P171" s="4">
        <f t="shared" si="112"/>
        <v>1710148.06</v>
      </c>
      <c r="Q171" s="4">
        <f t="shared" si="112"/>
        <v>416587.85</v>
      </c>
      <c r="R171" s="4">
        <f t="shared" si="112"/>
        <v>1405180.46</v>
      </c>
      <c r="S171" s="4">
        <f t="shared" si="112"/>
        <v>1236214.57</v>
      </c>
      <c r="T171" s="4">
        <f t="shared" si="112"/>
        <v>2408245.9300000002</v>
      </c>
      <c r="U171" s="4">
        <f t="shared" si="112"/>
        <v>942390.3</v>
      </c>
      <c r="V171" s="4">
        <f t="shared" si="112"/>
        <v>2420541.5300000003</v>
      </c>
      <c r="W171" s="4">
        <f t="shared" si="112"/>
        <v>11088841.140000001</v>
      </c>
      <c r="X171" s="4">
        <f t="shared" si="112"/>
        <v>1766134.9299999997</v>
      </c>
      <c r="Y171" s="4">
        <f t="shared" si="112"/>
        <v>5593790.709999999</v>
      </c>
      <c r="Z171" s="4">
        <f t="shared" si="112"/>
        <v>10260438.109999999</v>
      </c>
      <c r="AA171" s="4">
        <f t="shared" si="112"/>
        <v>624337.34000000008</v>
      </c>
      <c r="AB171" s="4">
        <f t="shared" si="112"/>
        <v>866625.02999999991</v>
      </c>
      <c r="AC171" s="4">
        <f t="shared" si="112"/>
        <v>2812882.6500000004</v>
      </c>
      <c r="AD171" s="4">
        <f t="shared" si="112"/>
        <v>3211581.28</v>
      </c>
      <c r="AE171" s="4">
        <f t="shared" si="112"/>
        <v>2911724.0100000002</v>
      </c>
      <c r="AF171" s="4">
        <f t="shared" si="112"/>
        <v>3140325.2600000002</v>
      </c>
      <c r="AG171" s="4">
        <f t="shared" si="112"/>
        <v>8940256.129999999</v>
      </c>
      <c r="AH171" s="4">
        <f t="shared" si="112"/>
        <v>10964441.449999999</v>
      </c>
      <c r="AI171" s="4">
        <f t="shared" si="112"/>
        <v>1074307.07</v>
      </c>
      <c r="AJ171" s="4">
        <f t="shared" si="112"/>
        <v>644033.81999999995</v>
      </c>
      <c r="AK171" s="4">
        <f t="shared" si="112"/>
        <v>7392750.0699999984</v>
      </c>
      <c r="AL171" s="4">
        <f t="shared" si="112"/>
        <v>4880822.7300000004</v>
      </c>
      <c r="AM171" s="4">
        <f t="shared" si="112"/>
        <v>5033845.6599999992</v>
      </c>
      <c r="AN171" s="4">
        <f t="shared" si="112"/>
        <v>580864.33000000007</v>
      </c>
      <c r="AO171" s="4">
        <f t="shared" si="112"/>
        <v>8055836.4199999999</v>
      </c>
      <c r="AP171" s="4">
        <f t="shared" si="112"/>
        <v>3518483.34</v>
      </c>
      <c r="AQ171" s="4">
        <f t="shared" si="112"/>
        <v>2226426.2300000004</v>
      </c>
      <c r="AR171" s="4">
        <f t="shared" si="112"/>
        <v>6027814.7899999991</v>
      </c>
      <c r="AS171" s="4">
        <f t="shared" si="112"/>
        <v>3064149.31</v>
      </c>
      <c r="AT171" s="4">
        <f t="shared" si="112"/>
        <v>4298036</v>
      </c>
      <c r="AU171" s="4">
        <f t="shared" si="112"/>
        <v>1380092.58</v>
      </c>
      <c r="AV171" s="4">
        <f t="shared" si="112"/>
        <v>9389137.3599999994</v>
      </c>
      <c r="AW171" s="4">
        <f t="shared" si="112"/>
        <v>2905928.7800000003</v>
      </c>
      <c r="AX171" s="4">
        <f t="shared" si="112"/>
        <v>689221.71</v>
      </c>
      <c r="AY171" s="4">
        <f t="shared" si="112"/>
        <v>1383751.9000000001</v>
      </c>
      <c r="AZ171" s="4">
        <f t="shared" si="112"/>
        <v>6626849.2400000002</v>
      </c>
      <c r="BA171" s="4">
        <f t="shared" si="112"/>
        <v>1586878.79</v>
      </c>
      <c r="BB171" s="4">
        <f t="shared" si="112"/>
        <v>5384613.1899999995</v>
      </c>
      <c r="BC171" s="4">
        <f t="shared" si="112"/>
        <v>687955.87</v>
      </c>
      <c r="BD171" s="4">
        <f t="shared" si="112"/>
        <v>38642824.079999998</v>
      </c>
      <c r="BE171" s="4">
        <f t="shared" si="112"/>
        <v>2287846.6100000003</v>
      </c>
      <c r="BF171" s="4">
        <f t="shared" si="112"/>
        <v>362534545.71999997</v>
      </c>
      <c r="BG171" s="4">
        <f t="shared" si="112"/>
        <v>193679538.94</v>
      </c>
      <c r="BH171" s="4">
        <f t="shared" si="112"/>
        <v>52810877.789999999</v>
      </c>
      <c r="BI171" s="4">
        <f t="shared" si="112"/>
        <v>116044128.99000001</v>
      </c>
    </row>
    <row r="172" spans="1:61" hidden="1" x14ac:dyDescent="0.25">
      <c r="D172" t="s">
        <v>593</v>
      </c>
      <c r="E172" s="4">
        <f>E76+E82+E88+E99+E117+E121+E128</f>
        <v>3490762.6999999997</v>
      </c>
      <c r="F172" s="4">
        <f t="shared" ref="F172:BI172" si="113">F76+F82+F88+F99+F117+F121+F128</f>
        <v>989444.66</v>
      </c>
      <c r="G172" s="4">
        <f t="shared" si="113"/>
        <v>1416761.23</v>
      </c>
      <c r="H172" s="4">
        <f t="shared" si="113"/>
        <v>1805947.8600000003</v>
      </c>
      <c r="I172" s="4">
        <f t="shared" si="113"/>
        <v>14889411.279999999</v>
      </c>
      <c r="J172" s="4">
        <f t="shared" si="113"/>
        <v>13168462.35</v>
      </c>
      <c r="K172" s="4">
        <f t="shared" si="113"/>
        <v>10010040.18</v>
      </c>
      <c r="L172" s="4">
        <f t="shared" si="113"/>
        <v>95116159.650000006</v>
      </c>
      <c r="M172" s="4">
        <f t="shared" si="113"/>
        <v>7435915.5800000001</v>
      </c>
      <c r="N172" s="4">
        <f t="shared" si="113"/>
        <v>495649.33999999997</v>
      </c>
      <c r="O172" s="4">
        <f t="shared" si="113"/>
        <v>26796959.900000002</v>
      </c>
      <c r="P172" s="4">
        <f t="shared" si="113"/>
        <v>1782158.8000000003</v>
      </c>
      <c r="Q172" s="4">
        <f t="shared" si="113"/>
        <v>370025.42</v>
      </c>
      <c r="R172" s="4">
        <f t="shared" si="113"/>
        <v>1458121.1300000001</v>
      </c>
      <c r="S172" s="4">
        <f t="shared" si="113"/>
        <v>1358194.3800000001</v>
      </c>
      <c r="T172" s="4">
        <f t="shared" si="113"/>
        <v>2953081.9999999995</v>
      </c>
      <c r="U172" s="4">
        <f t="shared" si="113"/>
        <v>900278.75</v>
      </c>
      <c r="V172" s="4">
        <f t="shared" si="113"/>
        <v>2089701.22</v>
      </c>
      <c r="W172" s="4">
        <f t="shared" si="113"/>
        <v>12136683.49</v>
      </c>
      <c r="X172" s="4">
        <f t="shared" si="113"/>
        <v>1747319.15</v>
      </c>
      <c r="Y172" s="4">
        <f t="shared" si="113"/>
        <v>7410216.2800000003</v>
      </c>
      <c r="Z172" s="4">
        <f t="shared" si="113"/>
        <v>11094137.140000001</v>
      </c>
      <c r="AA172" s="4">
        <f t="shared" si="113"/>
        <v>611024.72</v>
      </c>
      <c r="AB172" s="4">
        <f t="shared" si="113"/>
        <v>849258.26</v>
      </c>
      <c r="AC172" s="4">
        <f t="shared" si="113"/>
        <v>2393125.4099999997</v>
      </c>
      <c r="AD172" s="4">
        <f t="shared" si="113"/>
        <v>3138537.71</v>
      </c>
      <c r="AE172" s="4">
        <f t="shared" si="113"/>
        <v>2682603.14</v>
      </c>
      <c r="AF172" s="4">
        <f t="shared" si="113"/>
        <v>3069676.71</v>
      </c>
      <c r="AG172" s="4">
        <f t="shared" si="113"/>
        <v>9879926.9499999974</v>
      </c>
      <c r="AH172" s="4">
        <f t="shared" si="113"/>
        <v>12308036.970000003</v>
      </c>
      <c r="AI172" s="4">
        <f t="shared" si="113"/>
        <v>1062621.08</v>
      </c>
      <c r="AJ172" s="4">
        <f t="shared" si="113"/>
        <v>665863.52</v>
      </c>
      <c r="AK172" s="4">
        <f t="shared" si="113"/>
        <v>8395615.6099999994</v>
      </c>
      <c r="AL172" s="4">
        <f t="shared" si="113"/>
        <v>4607214.5</v>
      </c>
      <c r="AM172" s="4">
        <f t="shared" si="113"/>
        <v>5242811.09</v>
      </c>
      <c r="AN172" s="4">
        <f t="shared" si="113"/>
        <v>580419.85000000009</v>
      </c>
      <c r="AO172" s="4">
        <f t="shared" si="113"/>
        <v>9120373.4300000016</v>
      </c>
      <c r="AP172" s="4">
        <f t="shared" si="113"/>
        <v>3668229.5500000003</v>
      </c>
      <c r="AQ172" s="4">
        <f t="shared" si="113"/>
        <v>2268258.87</v>
      </c>
      <c r="AR172" s="4">
        <f t="shared" si="113"/>
        <v>5992693.4400000004</v>
      </c>
      <c r="AS172" s="4">
        <f t="shared" si="113"/>
        <v>3275522.98</v>
      </c>
      <c r="AT172" s="4">
        <f t="shared" si="113"/>
        <v>4139521.74</v>
      </c>
      <c r="AU172" s="4">
        <f t="shared" si="113"/>
        <v>634978.2300000001</v>
      </c>
      <c r="AV172" s="4">
        <f t="shared" si="113"/>
        <v>9907248.7200000007</v>
      </c>
      <c r="AW172" s="4">
        <f t="shared" si="113"/>
        <v>3245022.6599999997</v>
      </c>
      <c r="AX172" s="4">
        <f t="shared" si="113"/>
        <v>628317.99</v>
      </c>
      <c r="AY172" s="4">
        <f t="shared" si="113"/>
        <v>1292763.96</v>
      </c>
      <c r="AZ172" s="4">
        <f t="shared" si="113"/>
        <v>7031540.0099999998</v>
      </c>
      <c r="BA172" s="4">
        <f t="shared" si="113"/>
        <v>1691731.96</v>
      </c>
      <c r="BB172" s="4">
        <f t="shared" si="113"/>
        <v>5451583.0499999998</v>
      </c>
      <c r="BC172" s="4">
        <f t="shared" si="113"/>
        <v>733405.26</v>
      </c>
      <c r="BD172" s="4">
        <f t="shared" si="113"/>
        <v>35890112.200000003</v>
      </c>
      <c r="BE172" s="4">
        <f t="shared" si="113"/>
        <v>2426955.73</v>
      </c>
      <c r="BF172" s="4">
        <f t="shared" si="113"/>
        <v>371800427.79000008</v>
      </c>
      <c r="BG172" s="4">
        <f t="shared" si="113"/>
        <v>198663759.92000005</v>
      </c>
      <c r="BH172" s="4">
        <f t="shared" si="113"/>
        <v>56912347.039999999</v>
      </c>
      <c r="BI172" s="4">
        <f t="shared" si="113"/>
        <v>116224320.82999998</v>
      </c>
    </row>
    <row r="173" spans="1:61" hidden="1" x14ac:dyDescent="0.25"/>
    <row r="174" spans="1:61" x14ac:dyDescent="0.25">
      <c r="L174" s="4"/>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59999389629810485"/>
  </sheetPr>
  <dimension ref="A1:B34"/>
  <sheetViews>
    <sheetView topLeftCell="A43" zoomScale="115" zoomScaleNormal="115" workbookViewId="0">
      <selection activeCell="G32" sqref="G32"/>
    </sheetView>
  </sheetViews>
  <sheetFormatPr baseColWidth="10" defaultColWidth="11.42578125" defaultRowHeight="15" x14ac:dyDescent="0.25"/>
  <cols>
    <col min="1" max="1" width="57" customWidth="1"/>
    <col min="2" max="2" width="22.85546875" customWidth="1"/>
  </cols>
  <sheetData>
    <row r="1" spans="1:2" x14ac:dyDescent="0.25">
      <c r="A1" s="7" t="s">
        <v>60</v>
      </c>
      <c r="B1" s="4"/>
    </row>
    <row r="2" spans="1:2" x14ac:dyDescent="0.25">
      <c r="A2" s="7" t="s">
        <v>781</v>
      </c>
      <c r="B2" s="4">
        <f>'Tableau fonctionnelle'!C7</f>
        <v>32143015.280000001</v>
      </c>
    </row>
    <row r="3" spans="1:2" x14ac:dyDescent="0.25">
      <c r="A3" s="7" t="s">
        <v>782</v>
      </c>
      <c r="B3" s="4">
        <f>'Tableau fonctionnelle'!C11</f>
        <v>11416095.65</v>
      </c>
    </row>
    <row r="4" spans="1:2" x14ac:dyDescent="0.25">
      <c r="A4" s="7" t="s">
        <v>783</v>
      </c>
      <c r="B4" s="4">
        <f>'Tableau fonctionnelle'!C15</f>
        <v>102422916.93999998</v>
      </c>
    </row>
    <row r="5" spans="1:2" x14ac:dyDescent="0.25">
      <c r="A5" s="7" t="s">
        <v>784</v>
      </c>
      <c r="B5" s="4">
        <f>'Tableau fonctionnelle'!C19</f>
        <v>15219691.650000002</v>
      </c>
    </row>
    <row r="6" spans="1:2" x14ac:dyDescent="0.25">
      <c r="A6" s="7" t="s">
        <v>785</v>
      </c>
      <c r="B6" s="4">
        <f>'Tableau fonctionnelle'!C23</f>
        <v>701266.36</v>
      </c>
    </row>
    <row r="7" spans="1:2" x14ac:dyDescent="0.25">
      <c r="A7" s="7" t="s">
        <v>786</v>
      </c>
      <c r="B7" s="4">
        <f>'Tableau fonctionnelle'!C27</f>
        <v>94679085.720000029</v>
      </c>
    </row>
    <row r="8" spans="1:2" x14ac:dyDescent="0.25">
      <c r="A8" s="7" t="s">
        <v>787</v>
      </c>
      <c r="B8" s="4">
        <f>'Tableau fonctionnelle'!C31</f>
        <v>28142353.619999997</v>
      </c>
    </row>
    <row r="9" spans="1:2" x14ac:dyDescent="0.25">
      <c r="A9" s="7" t="s">
        <v>788</v>
      </c>
      <c r="B9" s="4">
        <f>'Tableau fonctionnelle'!C35</f>
        <v>38828859.169999994</v>
      </c>
    </row>
    <row r="10" spans="1:2" x14ac:dyDescent="0.25">
      <c r="A10" s="7" t="s">
        <v>789</v>
      </c>
      <c r="B10" s="4">
        <f>'Tableau fonctionnelle'!C39</f>
        <v>41122782.390000008</v>
      </c>
    </row>
    <row r="11" spans="1:2" x14ac:dyDescent="0.25">
      <c r="A11" s="7" t="s">
        <v>790</v>
      </c>
      <c r="B11" s="4">
        <f>'Tableau fonctionnelle'!C43</f>
        <v>40258130.619999997</v>
      </c>
    </row>
    <row r="12" spans="1:2" x14ac:dyDescent="0.25">
      <c r="B12" s="4"/>
    </row>
    <row r="13" spans="1:2" x14ac:dyDescent="0.25">
      <c r="A13" s="7" t="s">
        <v>137</v>
      </c>
      <c r="B13" s="4"/>
    </row>
    <row r="14" spans="1:2" x14ac:dyDescent="0.25">
      <c r="A14" s="7" t="s">
        <v>781</v>
      </c>
      <c r="B14" s="4">
        <f>'Tableau fonctionnelle'!C8</f>
        <v>3895125.9899999998</v>
      </c>
    </row>
    <row r="15" spans="1:2" x14ac:dyDescent="0.25">
      <c r="A15" s="7" t="s">
        <v>782</v>
      </c>
      <c r="B15" s="4">
        <f>'Tableau fonctionnelle'!C12</f>
        <v>7640370.2199999988</v>
      </c>
    </row>
    <row r="16" spans="1:2" x14ac:dyDescent="0.25">
      <c r="A16" s="7" t="s">
        <v>783</v>
      </c>
      <c r="B16" s="4">
        <f>'Tableau fonctionnelle'!C16</f>
        <v>6482574.9600000009</v>
      </c>
    </row>
    <row r="17" spans="1:2" x14ac:dyDescent="0.25">
      <c r="A17" s="7" t="s">
        <v>784</v>
      </c>
      <c r="B17" s="4">
        <f>'Tableau fonctionnelle'!C20</f>
        <v>1450260.1600000004</v>
      </c>
    </row>
    <row r="18" spans="1:2" x14ac:dyDescent="0.25">
      <c r="A18" s="7" t="s">
        <v>785</v>
      </c>
      <c r="B18" s="4">
        <f>'Tableau fonctionnelle'!C24</f>
        <v>96111.44</v>
      </c>
    </row>
    <row r="19" spans="1:2" x14ac:dyDescent="0.25">
      <c r="A19" s="7" t="s">
        <v>786</v>
      </c>
      <c r="B19" s="4">
        <f>'Tableau fonctionnelle'!C28</f>
        <v>36297803.299999997</v>
      </c>
    </row>
    <row r="20" spans="1:2" x14ac:dyDescent="0.25">
      <c r="A20" s="7" t="s">
        <v>787</v>
      </c>
      <c r="B20" s="4">
        <f>'Tableau fonctionnelle'!C32</f>
        <v>7515125.7999999998</v>
      </c>
    </row>
    <row r="21" spans="1:2" x14ac:dyDescent="0.25">
      <c r="A21" s="7" t="s">
        <v>788</v>
      </c>
      <c r="B21" s="4">
        <f>'Tableau fonctionnelle'!C36</f>
        <v>43211233.239999995</v>
      </c>
    </row>
    <row r="22" spans="1:2" x14ac:dyDescent="0.25">
      <c r="A22" s="7" t="s">
        <v>789</v>
      </c>
      <c r="B22" s="4">
        <f>'Tableau fonctionnelle'!C40</f>
        <v>43384211.839999989</v>
      </c>
    </row>
    <row r="23" spans="1:2" x14ac:dyDescent="0.25">
      <c r="A23" s="7" t="s">
        <v>790</v>
      </c>
      <c r="B23" s="4">
        <f>'Tableau fonctionnelle'!C44</f>
        <v>261699592.34000003</v>
      </c>
    </row>
    <row r="24" spans="1:2" x14ac:dyDescent="0.25">
      <c r="B24" s="4"/>
    </row>
    <row r="25" spans="1:2" x14ac:dyDescent="0.25">
      <c r="B25" s="4"/>
    </row>
    <row r="26" spans="1:2" x14ac:dyDescent="0.25">
      <c r="B26" s="4"/>
    </row>
    <row r="27" spans="1:2" x14ac:dyDescent="0.25">
      <c r="B27" s="4"/>
    </row>
    <row r="28" spans="1:2" x14ac:dyDescent="0.25">
      <c r="B28" s="4"/>
    </row>
    <row r="29" spans="1:2" x14ac:dyDescent="0.25">
      <c r="B29" s="4"/>
    </row>
    <row r="30" spans="1:2" x14ac:dyDescent="0.25">
      <c r="B30" s="4"/>
    </row>
    <row r="31" spans="1:2" x14ac:dyDescent="0.25">
      <c r="B31" s="4"/>
    </row>
    <row r="32" spans="1:2" x14ac:dyDescent="0.25">
      <c r="B32" s="4"/>
    </row>
    <row r="33" spans="2:2" x14ac:dyDescent="0.25">
      <c r="B33" s="4"/>
    </row>
    <row r="34" spans="2:2" x14ac:dyDescent="0.25">
      <c r="B34" s="4"/>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59999389629810485"/>
  </sheetPr>
  <dimension ref="A1:BK230"/>
  <sheetViews>
    <sheetView workbookViewId="0">
      <pane xSplit="5" ySplit="3" topLeftCell="AB196" activePane="bottomRight" state="frozen"/>
      <selection pane="topRight" activeCell="E1" sqref="E1"/>
      <selection pane="bottomLeft" activeCell="A4" sqref="A4"/>
      <selection pane="bottomRight" activeCell="AB217" sqref="AB217"/>
    </sheetView>
  </sheetViews>
  <sheetFormatPr baseColWidth="10" defaultColWidth="11.42578125" defaultRowHeight="15" x14ac:dyDescent="0.25"/>
  <cols>
    <col min="1" max="3" width="4.7109375" customWidth="1"/>
    <col min="4" max="4" width="9" customWidth="1"/>
    <col min="5" max="5" width="63.5703125" customWidth="1"/>
    <col min="6" max="59" width="16.28515625" customWidth="1"/>
    <col min="60" max="62" width="17.85546875" customWidth="1"/>
    <col min="63" max="63" width="12.85546875" bestFit="1" customWidth="1"/>
  </cols>
  <sheetData>
    <row r="1" spans="1:62" ht="26.25" x14ac:dyDescent="0.4">
      <c r="A1" s="32" t="s">
        <v>848</v>
      </c>
      <c r="B1" s="7"/>
      <c r="C1" s="7"/>
      <c r="D1" s="7"/>
      <c r="E1" s="7"/>
    </row>
    <row r="2" spans="1:62" x14ac:dyDescent="0.25">
      <c r="A2" t="s">
        <v>796</v>
      </c>
      <c r="F2" s="45">
        <f>'Base de données pop.'!C2</f>
        <v>947</v>
      </c>
      <c r="G2" s="45">
        <f>'Base de données pop.'!C3</f>
        <v>265</v>
      </c>
      <c r="H2" s="45">
        <f>'Base de données pop.'!C4</f>
        <v>469</v>
      </c>
      <c r="I2" s="45">
        <f>'Base de données pop.'!C5</f>
        <v>439</v>
      </c>
      <c r="J2" s="45">
        <f>'Base de données pop.'!C6</f>
        <v>3728</v>
      </c>
      <c r="K2" s="45">
        <f>'Base de données pop.'!C7</f>
        <v>3345</v>
      </c>
      <c r="L2" s="45">
        <f>'Base de données pop.'!C8</f>
        <v>2652</v>
      </c>
      <c r="M2" s="45">
        <f>'Base de données pop.'!C9</f>
        <v>12479</v>
      </c>
      <c r="N2" s="45">
        <f>'Base de données pop.'!C10</f>
        <v>1359</v>
      </c>
      <c r="O2" s="45">
        <f>'Base de données pop.'!C11</f>
        <v>117</v>
      </c>
      <c r="P2" s="45">
        <f>'Base de données pop.'!C12</f>
        <v>7261</v>
      </c>
      <c r="Q2" s="45">
        <f>'Base de données pop.'!C13</f>
        <v>538</v>
      </c>
      <c r="R2" s="45">
        <f>'Base de données pop.'!C14</f>
        <v>111</v>
      </c>
      <c r="S2" s="45">
        <f>'Base de données pop.'!C15</f>
        <v>421</v>
      </c>
      <c r="T2" s="45">
        <f>'Base de données pop.'!C16</f>
        <v>346</v>
      </c>
      <c r="U2" s="45">
        <f>'Base de données pop.'!C17</f>
        <v>710</v>
      </c>
      <c r="V2" s="45">
        <f>'Base de données pop.'!C18</f>
        <v>269</v>
      </c>
      <c r="W2" s="45">
        <f>'Base de données pop.'!C19</f>
        <v>440</v>
      </c>
      <c r="X2" s="45">
        <f>'Base de données pop.'!C20</f>
        <v>3229</v>
      </c>
      <c r="Y2" s="45">
        <f>'Base de données pop.'!C21</f>
        <v>310</v>
      </c>
      <c r="Z2" s="45">
        <f>'Base de données pop.'!C22</f>
        <v>1270</v>
      </c>
      <c r="AA2" s="45">
        <f>'Base de données pop.'!C23</f>
        <v>1506</v>
      </c>
      <c r="AB2" s="45">
        <f>'Base de données pop.'!C24</f>
        <v>96</v>
      </c>
      <c r="AC2" s="45">
        <f>'Base de données pop.'!C25</f>
        <v>148</v>
      </c>
      <c r="AD2" s="45">
        <f>'Base de données pop.'!C26</f>
        <v>518</v>
      </c>
      <c r="AE2" s="45">
        <f>'Base de données pop.'!C27</f>
        <v>701</v>
      </c>
      <c r="AF2" s="45">
        <f>'Base de données pop.'!C28</f>
        <v>564</v>
      </c>
      <c r="AG2" s="45">
        <f>'Base de données pop.'!C29</f>
        <v>525</v>
      </c>
      <c r="AH2" s="45">
        <f>'Base de données pop.'!C30</f>
        <v>1909</v>
      </c>
      <c r="AI2" s="45">
        <f>'Base de données pop.'!C31</f>
        <v>2580</v>
      </c>
      <c r="AJ2" s="45">
        <f>'Base de données pop.'!C32</f>
        <v>222</v>
      </c>
      <c r="AK2" s="45">
        <f>'Base de données pop.'!C33</f>
        <v>129</v>
      </c>
      <c r="AL2" s="45">
        <f>'Base de données pop.'!C34</f>
        <v>1891</v>
      </c>
      <c r="AM2" s="45">
        <f>'Base de données pop.'!C35</f>
        <v>1126</v>
      </c>
      <c r="AN2" s="45">
        <f>'Base de données pop.'!C36</f>
        <v>1225</v>
      </c>
      <c r="AO2" s="45">
        <f>'Base de données pop.'!C37</f>
        <v>117</v>
      </c>
      <c r="AP2" s="45">
        <f>'Base de données pop.'!C38</f>
        <v>1185</v>
      </c>
      <c r="AQ2" s="45">
        <f>'Base de données pop.'!C39</f>
        <v>642</v>
      </c>
      <c r="AR2" s="45">
        <f>'Base de données pop.'!C40</f>
        <v>633</v>
      </c>
      <c r="AS2" s="45">
        <f>'Base de données pop.'!C41</f>
        <v>1284</v>
      </c>
      <c r="AT2" s="45">
        <f>'Base de données pop.'!C42</f>
        <v>731</v>
      </c>
      <c r="AU2" s="45">
        <f>'Base de données pop.'!C43</f>
        <v>1016</v>
      </c>
      <c r="AV2" s="45">
        <f>'Base de données pop.'!C44</f>
        <v>304</v>
      </c>
      <c r="AW2" s="45">
        <f>'Base de données pop.'!C45</f>
        <v>2412</v>
      </c>
      <c r="AX2" s="45">
        <f>'Base de données pop.'!C46</f>
        <v>735</v>
      </c>
      <c r="AY2" s="45">
        <f>'Base de données pop.'!C47</f>
        <v>185</v>
      </c>
      <c r="AZ2" s="45">
        <f>'Base de données pop.'!C48</f>
        <v>340</v>
      </c>
      <c r="BA2" s="45">
        <f>'Base de données pop.'!C49</f>
        <v>1697</v>
      </c>
      <c r="BB2" s="45">
        <f>'Base de données pop.'!C50</f>
        <v>390</v>
      </c>
      <c r="BC2" s="45">
        <f>'Base de données pop.'!C51</f>
        <v>1073</v>
      </c>
      <c r="BD2" s="45">
        <f>'Base de données pop.'!C52</f>
        <v>184</v>
      </c>
      <c r="BE2" s="45">
        <f>'Base de données pop.'!C53</f>
        <v>6466</v>
      </c>
      <c r="BF2" s="45">
        <f>'Base de données pop.'!C54</f>
        <v>559</v>
      </c>
      <c r="BG2" s="45">
        <f>SUM(F2:BF2)</f>
        <v>73798</v>
      </c>
      <c r="BH2" s="45">
        <f>SUM(F2:X2)</f>
        <v>39125</v>
      </c>
      <c r="BI2" s="45">
        <f>SUM(Y2:AK2)</f>
        <v>10478</v>
      </c>
      <c r="BJ2" s="45">
        <f>SUM(AL2:BF2)</f>
        <v>24195</v>
      </c>
    </row>
    <row r="3" spans="1:62" x14ac:dyDescent="0.25">
      <c r="F3" s="33" t="s">
        <v>56</v>
      </c>
      <c r="G3" s="33" t="s">
        <v>18</v>
      </c>
      <c r="H3" s="33" t="s">
        <v>57</v>
      </c>
      <c r="I3" s="33" t="s">
        <v>53</v>
      </c>
      <c r="J3" s="33" t="s">
        <v>33</v>
      </c>
      <c r="K3" s="33" t="s">
        <v>10</v>
      </c>
      <c r="L3" s="33" t="s">
        <v>15</v>
      </c>
      <c r="M3" s="33" t="s">
        <v>28</v>
      </c>
      <c r="N3" s="33" t="s">
        <v>42</v>
      </c>
      <c r="O3" s="33" t="s">
        <v>23</v>
      </c>
      <c r="P3" s="33" t="s">
        <v>22</v>
      </c>
      <c r="Q3" s="33" t="s">
        <v>13</v>
      </c>
      <c r="R3" s="33" t="s">
        <v>17</v>
      </c>
      <c r="S3" s="33" t="s">
        <v>43</v>
      </c>
      <c r="T3" s="33" t="s">
        <v>40</v>
      </c>
      <c r="U3" s="33" t="s">
        <v>31</v>
      </c>
      <c r="V3" s="33" t="s">
        <v>12</v>
      </c>
      <c r="W3" s="33" t="s">
        <v>59</v>
      </c>
      <c r="X3" s="33" t="s">
        <v>27</v>
      </c>
      <c r="Y3" s="34" t="s">
        <v>30</v>
      </c>
      <c r="Z3" s="34" t="s">
        <v>20</v>
      </c>
      <c r="AA3" s="34" t="s">
        <v>45</v>
      </c>
      <c r="AB3" s="34" t="s">
        <v>71</v>
      </c>
      <c r="AC3" s="34" t="s">
        <v>39</v>
      </c>
      <c r="AD3" s="34" t="s">
        <v>19</v>
      </c>
      <c r="AE3" s="34" t="s">
        <v>41</v>
      </c>
      <c r="AF3" s="34" t="s">
        <v>36</v>
      </c>
      <c r="AG3" s="34" t="s">
        <v>7</v>
      </c>
      <c r="AH3" s="34" t="s">
        <v>55</v>
      </c>
      <c r="AI3" s="34" t="s">
        <v>21</v>
      </c>
      <c r="AJ3" s="34" t="s">
        <v>6</v>
      </c>
      <c r="AK3" s="34" t="s">
        <v>34</v>
      </c>
      <c r="AL3" s="35" t="s">
        <v>52</v>
      </c>
      <c r="AM3" s="35" t="s">
        <v>14</v>
      </c>
      <c r="AN3" s="35" t="s">
        <v>32</v>
      </c>
      <c r="AO3" s="35" t="s">
        <v>29</v>
      </c>
      <c r="AP3" s="35" t="s">
        <v>26</v>
      </c>
      <c r="AQ3" s="35" t="s">
        <v>48</v>
      </c>
      <c r="AR3" s="35" t="s">
        <v>44</v>
      </c>
      <c r="AS3" s="35" t="s">
        <v>37</v>
      </c>
      <c r="AT3" s="35" t="s">
        <v>51</v>
      </c>
      <c r="AU3" s="35" t="s">
        <v>8</v>
      </c>
      <c r="AV3" s="35" t="s">
        <v>24</v>
      </c>
      <c r="AW3" s="35" t="s">
        <v>9</v>
      </c>
      <c r="AX3" s="35" t="s">
        <v>62</v>
      </c>
      <c r="AY3" s="35" t="s">
        <v>46</v>
      </c>
      <c r="AZ3" s="35" t="s">
        <v>35</v>
      </c>
      <c r="BA3" s="35" t="s">
        <v>49</v>
      </c>
      <c r="BB3" s="35" t="s">
        <v>47</v>
      </c>
      <c r="BC3" s="35" t="s">
        <v>58</v>
      </c>
      <c r="BD3" s="35" t="s">
        <v>50</v>
      </c>
      <c r="BE3" s="35" t="s">
        <v>16</v>
      </c>
      <c r="BF3" s="35" t="s">
        <v>25</v>
      </c>
      <c r="BG3" s="36" t="s">
        <v>65</v>
      </c>
      <c r="BH3" s="37" t="s">
        <v>28</v>
      </c>
      <c r="BI3" s="34" t="s">
        <v>64</v>
      </c>
      <c r="BJ3" s="35" t="s">
        <v>16</v>
      </c>
    </row>
    <row r="4" spans="1:62" ht="21" x14ac:dyDescent="0.35">
      <c r="A4" s="59">
        <v>1</v>
      </c>
      <c r="B4" s="59"/>
      <c r="C4" s="59"/>
      <c r="D4" s="59"/>
      <c r="E4" s="59" t="s">
        <v>239</v>
      </c>
      <c r="F4" s="70">
        <f>F6+F14+F24+F30+F40+F47+F53+F61+F68+F79+F85+F96+F107</f>
        <v>15188762.25</v>
      </c>
      <c r="G4" s="70">
        <f t="shared" ref="G4:BF4" si="0">G6+G14+G24+G30+G40+G47+G53+G61+G68+G79+G85+G96+G107</f>
        <v>2965973.02</v>
      </c>
      <c r="H4" s="70">
        <f t="shared" si="0"/>
        <v>6296669.6499999994</v>
      </c>
      <c r="I4" s="70">
        <f t="shared" si="0"/>
        <v>7297548.3099999996</v>
      </c>
      <c r="J4" s="70">
        <f t="shared" si="0"/>
        <v>35834571.81000001</v>
      </c>
      <c r="K4" s="70">
        <f t="shared" si="0"/>
        <v>32179357.799999997</v>
      </c>
      <c r="L4" s="70">
        <f t="shared" si="0"/>
        <v>21417104.540000003</v>
      </c>
      <c r="M4" s="70">
        <f t="shared" si="0"/>
        <v>177597654.23000002</v>
      </c>
      <c r="N4" s="70">
        <f t="shared" si="0"/>
        <v>10939291.530000001</v>
      </c>
      <c r="O4" s="70">
        <f t="shared" si="0"/>
        <v>1636254.66</v>
      </c>
      <c r="P4" s="70">
        <f t="shared" si="0"/>
        <v>53521100.93</v>
      </c>
      <c r="Q4" s="70">
        <f t="shared" si="0"/>
        <v>5011865.0500000007</v>
      </c>
      <c r="R4" s="70">
        <f t="shared" si="0"/>
        <v>793621.34</v>
      </c>
      <c r="S4" s="70">
        <f t="shared" si="0"/>
        <v>3941697.1199999996</v>
      </c>
      <c r="T4" s="70">
        <f t="shared" si="0"/>
        <v>5415690.75</v>
      </c>
      <c r="U4" s="70">
        <f t="shared" si="0"/>
        <v>8255877.0299999993</v>
      </c>
      <c r="V4" s="70">
        <f t="shared" si="0"/>
        <v>1832318.35</v>
      </c>
      <c r="W4" s="70">
        <f t="shared" si="0"/>
        <v>4866359.71</v>
      </c>
      <c r="X4" s="70">
        <f t="shared" si="0"/>
        <v>22949312.120000001</v>
      </c>
      <c r="Y4" s="70">
        <f t="shared" si="0"/>
        <v>3995294.9499999997</v>
      </c>
      <c r="Z4" s="70">
        <f t="shared" si="0"/>
        <v>14924073.460000003</v>
      </c>
      <c r="AA4" s="70">
        <f t="shared" si="0"/>
        <v>32307335.959999997</v>
      </c>
      <c r="AB4" s="70">
        <f t="shared" si="0"/>
        <v>1628149.1</v>
      </c>
      <c r="AC4" s="70">
        <f t="shared" si="0"/>
        <v>3111796.86</v>
      </c>
      <c r="AD4" s="70">
        <f t="shared" si="0"/>
        <v>6155015.3500000006</v>
      </c>
      <c r="AE4" s="70">
        <f t="shared" si="0"/>
        <v>9012201.0099999998</v>
      </c>
      <c r="AF4" s="70">
        <f t="shared" si="0"/>
        <v>6876138.3399999999</v>
      </c>
      <c r="AG4" s="70">
        <f t="shared" si="0"/>
        <v>9234866.4800000004</v>
      </c>
      <c r="AH4" s="70">
        <f t="shared" si="0"/>
        <v>16349536.65</v>
      </c>
      <c r="AI4" s="70">
        <f t="shared" si="0"/>
        <v>27550063.550000004</v>
      </c>
      <c r="AJ4" s="70">
        <f t="shared" si="0"/>
        <v>3905939.28</v>
      </c>
      <c r="AK4" s="70">
        <f t="shared" si="0"/>
        <v>3222486.6399999997</v>
      </c>
      <c r="AL4" s="70">
        <f t="shared" si="0"/>
        <v>22966348.759999998</v>
      </c>
      <c r="AM4" s="70">
        <f t="shared" si="0"/>
        <v>16102566.52</v>
      </c>
      <c r="AN4" s="70">
        <f t="shared" si="0"/>
        <v>15405801.919999998</v>
      </c>
      <c r="AO4" s="70">
        <f t="shared" si="0"/>
        <v>2974096.86</v>
      </c>
      <c r="AP4" s="70">
        <f t="shared" si="0"/>
        <v>30433304.219999999</v>
      </c>
      <c r="AQ4" s="70">
        <f t="shared" si="0"/>
        <v>7933124.9500000002</v>
      </c>
      <c r="AR4" s="70">
        <f t="shared" si="0"/>
        <v>6768420.1500000004</v>
      </c>
      <c r="AS4" s="70">
        <f t="shared" si="0"/>
        <v>22575658.690000001</v>
      </c>
      <c r="AT4" s="70">
        <f t="shared" si="0"/>
        <v>7925516.6800000006</v>
      </c>
      <c r="AU4" s="70">
        <f t="shared" si="0"/>
        <v>10850287.1</v>
      </c>
      <c r="AV4" s="70">
        <f t="shared" si="0"/>
        <v>5949338.5200000005</v>
      </c>
      <c r="AW4" s="70">
        <f t="shared" si="0"/>
        <v>21309261.509999998</v>
      </c>
      <c r="AX4" s="70">
        <f t="shared" si="0"/>
        <v>8924275.6600000001</v>
      </c>
      <c r="AY4" s="70">
        <f t="shared" si="0"/>
        <v>1559898.92</v>
      </c>
      <c r="AZ4" s="70">
        <f t="shared" si="0"/>
        <v>4115207.58</v>
      </c>
      <c r="BA4" s="70">
        <f t="shared" si="0"/>
        <v>23472611.259999998</v>
      </c>
      <c r="BB4" s="70">
        <f t="shared" si="0"/>
        <v>5399563.7999999998</v>
      </c>
      <c r="BC4" s="70">
        <f t="shared" si="0"/>
        <v>15496471.67</v>
      </c>
      <c r="BD4" s="70">
        <f t="shared" si="0"/>
        <v>1586955.25</v>
      </c>
      <c r="BE4" s="70">
        <f t="shared" si="0"/>
        <v>79883106.599999994</v>
      </c>
      <c r="BF4" s="70">
        <f t="shared" si="0"/>
        <v>5851353.3700000001</v>
      </c>
      <c r="BG4" s="70">
        <f>SUM(F4:BF4)</f>
        <v>873697097.81999981</v>
      </c>
      <c r="BH4" s="70">
        <f>SUM(F4:X4)</f>
        <v>417941030.19999999</v>
      </c>
      <c r="BI4" s="70">
        <f>SUM(Y4:AK4)</f>
        <v>138272897.63000003</v>
      </c>
      <c r="BJ4" s="70">
        <f>SUM(AL4:BF4)</f>
        <v>317483169.99000001</v>
      </c>
    </row>
    <row r="5" spans="1:62" x14ac:dyDescent="0.25">
      <c r="A5" s="7"/>
      <c r="B5" s="60">
        <v>10</v>
      </c>
      <c r="C5" s="60"/>
      <c r="D5" s="60"/>
      <c r="E5" s="60" t="s">
        <v>240</v>
      </c>
      <c r="F5" s="61">
        <f>F6+F14+F24+F30+F40+F47+F53+F61</f>
        <v>6215834.7400000002</v>
      </c>
      <c r="G5" s="61">
        <f t="shared" ref="G5:BF5" si="1">G6+G14+G24+G30+G40+G47+G53+G61</f>
        <v>1141851.18</v>
      </c>
      <c r="H5" s="61">
        <f t="shared" si="1"/>
        <v>3560116.5900000003</v>
      </c>
      <c r="I5" s="61">
        <f t="shared" si="1"/>
        <v>4659729.1099999994</v>
      </c>
      <c r="J5" s="61">
        <f t="shared" si="1"/>
        <v>15358859.32</v>
      </c>
      <c r="K5" s="61">
        <f t="shared" si="1"/>
        <v>8576665.4699999988</v>
      </c>
      <c r="L5" s="61">
        <f t="shared" si="1"/>
        <v>10901550.18</v>
      </c>
      <c r="M5" s="61">
        <f t="shared" si="1"/>
        <v>50722063.130000003</v>
      </c>
      <c r="N5" s="61">
        <f t="shared" si="1"/>
        <v>3552476.3299999996</v>
      </c>
      <c r="O5" s="61">
        <f t="shared" si="1"/>
        <v>387086.74</v>
      </c>
      <c r="P5" s="61">
        <f t="shared" si="1"/>
        <v>18670168.030000001</v>
      </c>
      <c r="Q5" s="61">
        <f t="shared" si="1"/>
        <v>2335602.8600000003</v>
      </c>
      <c r="R5" s="61">
        <f t="shared" si="1"/>
        <v>533749.43999999994</v>
      </c>
      <c r="S5" s="61">
        <f t="shared" si="1"/>
        <v>1346191.77</v>
      </c>
      <c r="T5" s="61">
        <f t="shared" si="1"/>
        <v>2420446.7000000002</v>
      </c>
      <c r="U5" s="61">
        <f t="shared" si="1"/>
        <v>5477916.4499999993</v>
      </c>
      <c r="V5" s="61">
        <f t="shared" si="1"/>
        <v>758188.35000000009</v>
      </c>
      <c r="W5" s="61">
        <f t="shared" si="1"/>
        <v>2180801.88</v>
      </c>
      <c r="X5" s="61">
        <f t="shared" si="1"/>
        <v>6432633.5</v>
      </c>
      <c r="Y5" s="61">
        <f t="shared" si="1"/>
        <v>1924599.9999999998</v>
      </c>
      <c r="Z5" s="61">
        <f t="shared" si="1"/>
        <v>4480522.830000001</v>
      </c>
      <c r="AA5" s="61">
        <f t="shared" si="1"/>
        <v>24040991.959999997</v>
      </c>
      <c r="AB5" s="61">
        <f t="shared" si="1"/>
        <v>767484.10000000009</v>
      </c>
      <c r="AC5" s="61">
        <f t="shared" si="1"/>
        <v>1679089.3099999998</v>
      </c>
      <c r="AD5" s="61">
        <f t="shared" si="1"/>
        <v>3151827.65</v>
      </c>
      <c r="AE5" s="61">
        <f t="shared" si="1"/>
        <v>2703468.09</v>
      </c>
      <c r="AF5" s="61">
        <f t="shared" si="1"/>
        <v>2598603.84</v>
      </c>
      <c r="AG5" s="61">
        <f t="shared" si="1"/>
        <v>4859272.7300000004</v>
      </c>
      <c r="AH5" s="61">
        <f t="shared" si="1"/>
        <v>8453727.2600000016</v>
      </c>
      <c r="AI5" s="61">
        <f t="shared" si="1"/>
        <v>9931261.6699999999</v>
      </c>
      <c r="AJ5" s="61">
        <f t="shared" si="1"/>
        <v>1884581.5599999998</v>
      </c>
      <c r="AK5" s="61">
        <f t="shared" si="1"/>
        <v>2077662.8399999999</v>
      </c>
      <c r="AL5" s="61">
        <f t="shared" si="1"/>
        <v>6066530.1399999997</v>
      </c>
      <c r="AM5" s="61">
        <f t="shared" si="1"/>
        <v>5775298.5200000005</v>
      </c>
      <c r="AN5" s="61">
        <f t="shared" si="1"/>
        <v>5469328.1600000001</v>
      </c>
      <c r="AO5" s="61">
        <f t="shared" si="1"/>
        <v>1688154.88</v>
      </c>
      <c r="AP5" s="61">
        <f t="shared" si="1"/>
        <v>13922324.969999999</v>
      </c>
      <c r="AQ5" s="61">
        <f t="shared" si="1"/>
        <v>3675736.5500000003</v>
      </c>
      <c r="AR5" s="61">
        <f t="shared" si="1"/>
        <v>2883653.4699999997</v>
      </c>
      <c r="AS5" s="61">
        <f t="shared" si="1"/>
        <v>11869488.51</v>
      </c>
      <c r="AT5" s="61">
        <f t="shared" si="1"/>
        <v>2610512.23</v>
      </c>
      <c r="AU5" s="61">
        <f t="shared" si="1"/>
        <v>4064289.31</v>
      </c>
      <c r="AV5" s="61">
        <f t="shared" si="1"/>
        <v>3238914.9200000009</v>
      </c>
      <c r="AW5" s="61">
        <f t="shared" si="1"/>
        <v>5993608.2599999998</v>
      </c>
      <c r="AX5" s="61">
        <f t="shared" si="1"/>
        <v>3392744.83</v>
      </c>
      <c r="AY5" s="61">
        <f t="shared" si="1"/>
        <v>724238.92</v>
      </c>
      <c r="AZ5" s="61">
        <f t="shared" si="1"/>
        <v>2708714.2800000003</v>
      </c>
      <c r="BA5" s="61">
        <f t="shared" si="1"/>
        <v>4744472.3599999994</v>
      </c>
      <c r="BB5" s="61">
        <f t="shared" si="1"/>
        <v>2973001.33</v>
      </c>
      <c r="BC5" s="61">
        <f t="shared" si="1"/>
        <v>4994920.1399999987</v>
      </c>
      <c r="BD5" s="61">
        <f t="shared" si="1"/>
        <v>881630.79999999993</v>
      </c>
      <c r="BE5" s="61">
        <f t="shared" si="1"/>
        <v>27043126.07</v>
      </c>
      <c r="BF5" s="61">
        <f t="shared" si="1"/>
        <v>2304845.67</v>
      </c>
      <c r="BG5" s="61">
        <f>SUM(F5:BF5)</f>
        <v>330810559.92999995</v>
      </c>
      <c r="BH5" s="61">
        <f t="shared" ref="BH5:BH68" si="2">SUM(F5:X5)</f>
        <v>145231931.76999998</v>
      </c>
      <c r="BI5" s="61">
        <f t="shared" ref="BI5:BI68" si="3">SUM(Y5:AK5)</f>
        <v>68553093.840000018</v>
      </c>
      <c r="BJ5" s="61">
        <f t="shared" ref="BJ5:BJ68" si="4">SUM(AL5:BF5)</f>
        <v>117025534.32000001</v>
      </c>
    </row>
    <row r="6" spans="1:62" x14ac:dyDescent="0.25">
      <c r="C6" s="56">
        <v>100</v>
      </c>
      <c r="D6" s="56"/>
      <c r="E6" s="56" t="s">
        <v>241</v>
      </c>
      <c r="F6" s="57">
        <f>F7+F8+F9+F10+F11+F12</f>
        <v>4761773.55</v>
      </c>
      <c r="G6" s="57">
        <f t="shared" ref="G6:BF6" si="5">G7+G8+G9+G10+G11+G12</f>
        <v>302167.90000000002</v>
      </c>
      <c r="H6" s="57">
        <f t="shared" si="5"/>
        <v>733394.19000000006</v>
      </c>
      <c r="I6" s="57">
        <f t="shared" si="5"/>
        <v>1668991.62</v>
      </c>
      <c r="J6" s="57">
        <f t="shared" si="5"/>
        <v>1943644.76</v>
      </c>
      <c r="K6" s="57">
        <f t="shared" si="5"/>
        <v>1383876.73</v>
      </c>
      <c r="L6" s="57">
        <f t="shared" si="5"/>
        <v>3781515.14</v>
      </c>
      <c r="M6" s="57">
        <f t="shared" si="5"/>
        <v>7905702.0599999996</v>
      </c>
      <c r="N6" s="57">
        <f t="shared" si="5"/>
        <v>554893.13</v>
      </c>
      <c r="O6" s="57">
        <f t="shared" si="5"/>
        <v>210024.25999999998</v>
      </c>
      <c r="P6" s="57">
        <f t="shared" si="5"/>
        <v>4175094.7</v>
      </c>
      <c r="Q6" s="57">
        <f t="shared" si="5"/>
        <v>536107.89</v>
      </c>
      <c r="R6" s="57">
        <f t="shared" si="5"/>
        <v>133253.5</v>
      </c>
      <c r="S6" s="57">
        <f t="shared" si="5"/>
        <v>412368</v>
      </c>
      <c r="T6" s="57">
        <f t="shared" si="5"/>
        <v>1461546.04</v>
      </c>
      <c r="U6" s="57">
        <f t="shared" si="5"/>
        <v>1759790.73</v>
      </c>
      <c r="V6" s="57">
        <f t="shared" si="5"/>
        <v>50338.590000000004</v>
      </c>
      <c r="W6" s="57">
        <f t="shared" si="5"/>
        <v>741069.01</v>
      </c>
      <c r="X6" s="57">
        <f t="shared" si="5"/>
        <v>1345347.03</v>
      </c>
      <c r="Y6" s="57">
        <f t="shared" si="5"/>
        <v>1622144.63</v>
      </c>
      <c r="Z6" s="57">
        <f t="shared" si="5"/>
        <v>1771580.9400000002</v>
      </c>
      <c r="AA6" s="57">
        <f t="shared" si="5"/>
        <v>10198833.639999999</v>
      </c>
      <c r="AB6" s="57">
        <f t="shared" si="5"/>
        <v>138251.29</v>
      </c>
      <c r="AC6" s="57">
        <f t="shared" si="5"/>
        <v>1094668.75</v>
      </c>
      <c r="AD6" s="57">
        <f t="shared" si="5"/>
        <v>880394.51</v>
      </c>
      <c r="AE6" s="57">
        <f t="shared" si="5"/>
        <v>342489.03</v>
      </c>
      <c r="AF6" s="57">
        <f t="shared" si="5"/>
        <v>2034565.5</v>
      </c>
      <c r="AG6" s="57">
        <f t="shared" si="5"/>
        <v>3979910.18</v>
      </c>
      <c r="AH6" s="57">
        <f t="shared" si="5"/>
        <v>3390748.74</v>
      </c>
      <c r="AI6" s="57">
        <f t="shared" si="5"/>
        <v>5405551.2599999998</v>
      </c>
      <c r="AJ6" s="57">
        <f t="shared" si="5"/>
        <v>916034.57</v>
      </c>
      <c r="AK6" s="57">
        <f t="shared" si="5"/>
        <v>989271.75</v>
      </c>
      <c r="AL6" s="57">
        <f t="shared" si="5"/>
        <v>2840923.92</v>
      </c>
      <c r="AM6" s="57">
        <f t="shared" si="5"/>
        <v>2575235.85</v>
      </c>
      <c r="AN6" s="57">
        <f t="shared" si="5"/>
        <v>1203093.8500000001</v>
      </c>
      <c r="AO6" s="57">
        <f t="shared" si="5"/>
        <v>814916.64</v>
      </c>
      <c r="AP6" s="57">
        <f t="shared" si="5"/>
        <v>2197768.77</v>
      </c>
      <c r="AQ6" s="57">
        <f t="shared" si="5"/>
        <v>1649913.94</v>
      </c>
      <c r="AR6" s="57">
        <f t="shared" si="5"/>
        <v>1965900.9400000002</v>
      </c>
      <c r="AS6" s="57">
        <f t="shared" si="5"/>
        <v>2626538.67</v>
      </c>
      <c r="AT6" s="57">
        <f t="shared" si="5"/>
        <v>866219.63</v>
      </c>
      <c r="AU6" s="57">
        <f t="shared" si="5"/>
        <v>1523430.25</v>
      </c>
      <c r="AV6" s="57">
        <f t="shared" si="5"/>
        <v>2344334.9900000002</v>
      </c>
      <c r="AW6" s="57">
        <f t="shared" si="5"/>
        <v>2975513.44</v>
      </c>
      <c r="AX6" s="57">
        <f t="shared" si="5"/>
        <v>1521074.0999999999</v>
      </c>
      <c r="AY6" s="57">
        <f t="shared" si="5"/>
        <v>469462.92000000004</v>
      </c>
      <c r="AZ6" s="57">
        <f t="shared" si="5"/>
        <v>1634746.37</v>
      </c>
      <c r="BA6" s="57">
        <f t="shared" si="5"/>
        <v>403716.93</v>
      </c>
      <c r="BB6" s="57">
        <f t="shared" si="5"/>
        <v>1436465.86</v>
      </c>
      <c r="BC6" s="57">
        <f t="shared" si="5"/>
        <v>528923.94999999995</v>
      </c>
      <c r="BD6" s="57">
        <f t="shared" si="5"/>
        <v>655759.69999999995</v>
      </c>
      <c r="BE6" s="57">
        <f t="shared" si="5"/>
        <v>4276682.9400000004</v>
      </c>
      <c r="BF6" s="57">
        <f t="shared" si="5"/>
        <v>817219.69</v>
      </c>
      <c r="BG6" s="57">
        <f t="shared" ref="BG6:BG69" si="6">SUM(F6:BF6)</f>
        <v>101953186.96999998</v>
      </c>
      <c r="BH6" s="57">
        <f t="shared" si="2"/>
        <v>33860898.830000006</v>
      </c>
      <c r="BI6" s="57">
        <f t="shared" si="3"/>
        <v>32764444.789999999</v>
      </c>
      <c r="BJ6" s="57">
        <f t="shared" si="4"/>
        <v>35327843.350000001</v>
      </c>
    </row>
    <row r="7" spans="1:62" x14ac:dyDescent="0.25">
      <c r="D7">
        <v>1000</v>
      </c>
      <c r="E7" t="s">
        <v>313</v>
      </c>
      <c r="F7" s="4">
        <v>267.60000000000002</v>
      </c>
      <c r="G7" s="4">
        <v>1512.45</v>
      </c>
      <c r="H7" s="4">
        <v>320.14999999999998</v>
      </c>
      <c r="I7" s="4">
        <v>2056.8200000000002</v>
      </c>
      <c r="J7" s="4">
        <v>5264</v>
      </c>
      <c r="K7" s="4">
        <v>11705.45</v>
      </c>
      <c r="L7" s="4">
        <v>105</v>
      </c>
      <c r="M7" s="4">
        <v>20619.75</v>
      </c>
      <c r="N7" s="4">
        <v>9244.36</v>
      </c>
      <c r="O7" s="4">
        <v>447.5</v>
      </c>
      <c r="P7" s="4">
        <v>8286.35</v>
      </c>
      <c r="Q7" s="4">
        <v>2304.75</v>
      </c>
      <c r="R7" s="4">
        <v>238.55</v>
      </c>
      <c r="S7" s="4">
        <v>1381.65</v>
      </c>
      <c r="T7" s="4">
        <v>819.45</v>
      </c>
      <c r="U7" s="4">
        <v>107180.5</v>
      </c>
      <c r="V7" s="4">
        <v>3726.7</v>
      </c>
      <c r="W7" s="4">
        <v>1114.55</v>
      </c>
      <c r="X7" s="4">
        <v>1792.35</v>
      </c>
      <c r="Y7" s="4">
        <v>2676.26</v>
      </c>
      <c r="Z7" s="4">
        <v>11577.85</v>
      </c>
      <c r="AA7" s="4">
        <v>4988.75</v>
      </c>
      <c r="AB7" s="4">
        <v>0</v>
      </c>
      <c r="AC7" s="4">
        <v>2634.2</v>
      </c>
      <c r="AD7" s="4">
        <v>417.75</v>
      </c>
      <c r="AE7" s="4">
        <v>967.45</v>
      </c>
      <c r="AF7" s="4">
        <v>6169.9</v>
      </c>
      <c r="AG7" s="4">
        <v>5683.55</v>
      </c>
      <c r="AH7" s="4">
        <v>2394.25</v>
      </c>
      <c r="AI7" s="4">
        <v>13491.95</v>
      </c>
      <c r="AJ7" s="4">
        <v>3310.2</v>
      </c>
      <c r="AK7" s="4">
        <v>3610.15</v>
      </c>
      <c r="AL7" s="4">
        <v>4888.5</v>
      </c>
      <c r="AM7" s="4">
        <v>239.3</v>
      </c>
      <c r="AN7" s="4">
        <v>837.2</v>
      </c>
      <c r="AO7" s="4">
        <v>207.85</v>
      </c>
      <c r="AP7" s="4">
        <v>1378.5</v>
      </c>
      <c r="AQ7" s="4">
        <v>1377.2</v>
      </c>
      <c r="AR7" s="4">
        <v>1824.45</v>
      </c>
      <c r="AS7" s="4">
        <v>2524.4499999999998</v>
      </c>
      <c r="AT7" s="4">
        <v>2930.4</v>
      </c>
      <c r="AU7" s="4">
        <v>1533.9</v>
      </c>
      <c r="AV7" s="4">
        <v>178.3</v>
      </c>
      <c r="AW7" s="4">
        <v>2952.35</v>
      </c>
      <c r="AX7" s="4">
        <v>2298.6999999999998</v>
      </c>
      <c r="AY7" s="4">
        <v>840.5</v>
      </c>
      <c r="AZ7" s="4">
        <v>169.9</v>
      </c>
      <c r="BA7" s="4">
        <v>1801.8</v>
      </c>
      <c r="BB7" s="4">
        <v>1793.3</v>
      </c>
      <c r="BC7" s="4">
        <v>4276.2</v>
      </c>
      <c r="BD7" s="4">
        <v>2608.9</v>
      </c>
      <c r="BE7" s="4">
        <v>5635.14</v>
      </c>
      <c r="BF7" s="4">
        <v>959.85</v>
      </c>
      <c r="BG7" s="31">
        <f t="shared" si="6"/>
        <v>277566.88000000012</v>
      </c>
      <c r="BH7" s="31">
        <f t="shared" si="2"/>
        <v>178387.93000000002</v>
      </c>
      <c r="BI7" s="31">
        <f t="shared" si="3"/>
        <v>57922.26</v>
      </c>
      <c r="BJ7" s="31">
        <f t="shared" si="4"/>
        <v>41256.689999999995</v>
      </c>
    </row>
    <row r="8" spans="1:62" x14ac:dyDescent="0.25">
      <c r="D8">
        <v>1001</v>
      </c>
      <c r="E8" t="s">
        <v>314</v>
      </c>
      <c r="F8" s="4">
        <v>741863.52</v>
      </c>
      <c r="G8" s="4">
        <v>121632.52</v>
      </c>
      <c r="H8" s="4">
        <v>0</v>
      </c>
      <c r="I8" s="4">
        <v>268783.81</v>
      </c>
      <c r="J8" s="4">
        <v>718973.05</v>
      </c>
      <c r="K8" s="4">
        <v>184654.9</v>
      </c>
      <c r="L8" s="4">
        <v>256637.66</v>
      </c>
      <c r="M8" s="4">
        <v>5880990.0899999999</v>
      </c>
      <c r="N8" s="4">
        <v>94376.73</v>
      </c>
      <c r="O8" s="4">
        <v>17187.71</v>
      </c>
      <c r="P8" s="4">
        <v>1278585.1000000001</v>
      </c>
      <c r="Q8" s="4">
        <v>89606.37</v>
      </c>
      <c r="R8" s="4">
        <v>37329.839999999997</v>
      </c>
      <c r="S8" s="4">
        <v>54043.38</v>
      </c>
      <c r="T8" s="4">
        <v>258297.22</v>
      </c>
      <c r="U8" s="4">
        <v>312038.31</v>
      </c>
      <c r="V8" s="4">
        <v>1110.99</v>
      </c>
      <c r="W8" s="4">
        <v>263236.21000000002</v>
      </c>
      <c r="X8" s="4">
        <v>260734.39</v>
      </c>
      <c r="Y8" s="4">
        <v>40701.949999999997</v>
      </c>
      <c r="Z8" s="4">
        <v>192283.5</v>
      </c>
      <c r="AA8" s="4">
        <v>273913.59999999998</v>
      </c>
      <c r="AB8" s="4">
        <v>61541.18</v>
      </c>
      <c r="AC8" s="4">
        <v>68937.11</v>
      </c>
      <c r="AD8" s="4">
        <v>85296.04</v>
      </c>
      <c r="AE8" s="4">
        <v>308297.8</v>
      </c>
      <c r="AF8" s="4">
        <v>186938.27</v>
      </c>
      <c r="AG8" s="4">
        <v>324406.28000000003</v>
      </c>
      <c r="AH8" s="4">
        <v>1110179.75</v>
      </c>
      <c r="AI8" s="4">
        <v>659145.03</v>
      </c>
      <c r="AJ8" s="4">
        <v>87270.25</v>
      </c>
      <c r="AK8" s="4">
        <v>283139.71999999997</v>
      </c>
      <c r="AL8" s="4">
        <v>793446.38</v>
      </c>
      <c r="AM8" s="4">
        <v>120273.11</v>
      </c>
      <c r="AN8" s="4">
        <v>291934.26</v>
      </c>
      <c r="AO8" s="4">
        <v>352712.33</v>
      </c>
      <c r="AP8" s="4">
        <v>301009.39</v>
      </c>
      <c r="AQ8" s="4">
        <v>388569.7</v>
      </c>
      <c r="AR8" s="4">
        <v>179191.17</v>
      </c>
      <c r="AS8" s="4">
        <v>440252.38</v>
      </c>
      <c r="AT8" s="4">
        <v>178591.51</v>
      </c>
      <c r="AU8" s="4">
        <v>0</v>
      </c>
      <c r="AV8" s="4">
        <v>43599.9</v>
      </c>
      <c r="AW8" s="4">
        <v>393773.57</v>
      </c>
      <c r="AX8" s="4">
        <v>10625.5</v>
      </c>
      <c r="AY8" s="4">
        <v>58928.89</v>
      </c>
      <c r="AZ8" s="4">
        <v>78723.100000000006</v>
      </c>
      <c r="BA8" s="4">
        <v>1088.51</v>
      </c>
      <c r="BB8" s="4">
        <v>160286.96</v>
      </c>
      <c r="BC8" s="4">
        <v>146809.32999999999</v>
      </c>
      <c r="BD8" s="4">
        <v>86325.29</v>
      </c>
      <c r="BE8" s="4">
        <v>881881.8</v>
      </c>
      <c r="BF8" s="4">
        <v>6990.75</v>
      </c>
      <c r="BG8" s="31">
        <f t="shared" si="6"/>
        <v>19437146.110000003</v>
      </c>
      <c r="BH8" s="31">
        <f t="shared" si="2"/>
        <v>10840081.800000003</v>
      </c>
      <c r="BI8" s="31">
        <f t="shared" si="3"/>
        <v>3682050.4799999995</v>
      </c>
      <c r="BJ8" s="31">
        <f t="shared" si="4"/>
        <v>4915013.83</v>
      </c>
    </row>
    <row r="9" spans="1:62" x14ac:dyDescent="0.25">
      <c r="D9">
        <v>1002</v>
      </c>
      <c r="E9" t="s">
        <v>322</v>
      </c>
      <c r="F9" s="4">
        <v>4019642.43</v>
      </c>
      <c r="G9" s="4">
        <v>179022.93</v>
      </c>
      <c r="H9" s="4">
        <v>733074.04</v>
      </c>
      <c r="I9" s="4">
        <v>1398150.99</v>
      </c>
      <c r="J9" s="4">
        <v>719407.71</v>
      </c>
      <c r="K9" s="4">
        <v>1187516.3799999999</v>
      </c>
      <c r="L9" s="4">
        <v>3524772.48</v>
      </c>
      <c r="M9" s="4">
        <v>2004092.22</v>
      </c>
      <c r="N9" s="4">
        <v>451272.04</v>
      </c>
      <c r="O9" s="4">
        <v>192389.05</v>
      </c>
      <c r="P9" s="4">
        <v>2888223.25</v>
      </c>
      <c r="Q9" s="4">
        <v>444196.77</v>
      </c>
      <c r="R9" s="4">
        <v>95685.11</v>
      </c>
      <c r="S9" s="4">
        <v>356942.97</v>
      </c>
      <c r="T9" s="4">
        <v>1202429.3700000001</v>
      </c>
      <c r="U9" s="4">
        <v>1340571.92</v>
      </c>
      <c r="V9" s="4">
        <v>45500.9</v>
      </c>
      <c r="W9" s="4">
        <v>476718.25</v>
      </c>
      <c r="X9" s="4">
        <v>1082974.99</v>
      </c>
      <c r="Y9" s="4">
        <v>1578766.42</v>
      </c>
      <c r="Z9" s="4">
        <v>1567719.59</v>
      </c>
      <c r="AA9" s="4">
        <v>9919931.2899999991</v>
      </c>
      <c r="AB9" s="4">
        <v>76710.11</v>
      </c>
      <c r="AC9" s="4">
        <v>1023097.44</v>
      </c>
      <c r="AD9" s="4">
        <v>794680.72</v>
      </c>
      <c r="AE9" s="4">
        <v>33223.78</v>
      </c>
      <c r="AF9" s="4">
        <v>1841457.33</v>
      </c>
      <c r="AG9" s="4">
        <v>3649820.35</v>
      </c>
      <c r="AH9" s="4">
        <v>2278174.7400000002</v>
      </c>
      <c r="AI9" s="4">
        <v>4732914.28</v>
      </c>
      <c r="AJ9" s="4">
        <v>825454.12</v>
      </c>
      <c r="AK9" s="4">
        <v>702521.88</v>
      </c>
      <c r="AL9" s="4">
        <v>2042589.04</v>
      </c>
      <c r="AM9" s="4">
        <v>2394723.44</v>
      </c>
      <c r="AN9" s="4">
        <v>910322.39</v>
      </c>
      <c r="AO9" s="4">
        <v>461996.46</v>
      </c>
      <c r="AP9" s="4">
        <v>1895380.88</v>
      </c>
      <c r="AQ9" s="4">
        <v>1259967.04</v>
      </c>
      <c r="AR9" s="4">
        <v>1784885.32</v>
      </c>
      <c r="AS9" s="4">
        <v>2180254.81</v>
      </c>
      <c r="AT9" s="4">
        <v>684697.72</v>
      </c>
      <c r="AU9" s="4">
        <v>1521896.35</v>
      </c>
      <c r="AV9" s="4">
        <v>2300556.79</v>
      </c>
      <c r="AW9" s="4">
        <v>2578787.52</v>
      </c>
      <c r="AX9" s="4">
        <v>1504110.89</v>
      </c>
      <c r="AY9" s="4">
        <v>409693.53</v>
      </c>
      <c r="AZ9" s="4">
        <v>1555853.37</v>
      </c>
      <c r="BA9" s="4">
        <v>400826.62</v>
      </c>
      <c r="BB9" s="4">
        <v>1274385.6000000001</v>
      </c>
      <c r="BC9" s="4">
        <v>377838.42</v>
      </c>
      <c r="BD9" s="4">
        <v>566825.51</v>
      </c>
      <c r="BE9" s="4">
        <v>3385165.75</v>
      </c>
      <c r="BF9" s="4">
        <v>809269.09</v>
      </c>
      <c r="BG9" s="31">
        <f t="shared" si="6"/>
        <v>81667082.390000015</v>
      </c>
      <c r="BH9" s="31">
        <f t="shared" si="2"/>
        <v>22342583.800000001</v>
      </c>
      <c r="BI9" s="31">
        <f t="shared" si="3"/>
        <v>29024472.050000004</v>
      </c>
      <c r="BJ9" s="31">
        <f t="shared" si="4"/>
        <v>30300026.54000001</v>
      </c>
    </row>
    <row r="10" spans="1:62" x14ac:dyDescent="0.25">
      <c r="D10">
        <v>1003</v>
      </c>
      <c r="E10" t="s">
        <v>315</v>
      </c>
      <c r="F10" s="4">
        <v>0</v>
      </c>
      <c r="G10" s="4">
        <v>0</v>
      </c>
      <c r="H10" s="4">
        <v>0</v>
      </c>
      <c r="I10" s="4">
        <v>0</v>
      </c>
      <c r="J10" s="4">
        <v>500000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c r="AD10" s="4">
        <v>0</v>
      </c>
      <c r="AE10" s="4">
        <v>0</v>
      </c>
      <c r="AF10" s="4">
        <v>0</v>
      </c>
      <c r="AG10" s="4">
        <v>0</v>
      </c>
      <c r="AH10" s="4">
        <v>0</v>
      </c>
      <c r="AI10" s="4">
        <v>0</v>
      </c>
      <c r="AJ10" s="4">
        <v>0</v>
      </c>
      <c r="AK10" s="4">
        <v>0</v>
      </c>
      <c r="AL10" s="4">
        <v>0</v>
      </c>
      <c r="AM10" s="4">
        <v>60000</v>
      </c>
      <c r="AN10" s="4">
        <v>0</v>
      </c>
      <c r="AO10" s="4">
        <v>0</v>
      </c>
      <c r="AP10" s="4">
        <v>0</v>
      </c>
      <c r="AQ10" s="4">
        <v>0</v>
      </c>
      <c r="AR10" s="4">
        <v>0</v>
      </c>
      <c r="AS10" s="4">
        <v>0</v>
      </c>
      <c r="AT10" s="4">
        <v>0</v>
      </c>
      <c r="AU10" s="4">
        <v>0</v>
      </c>
      <c r="AV10" s="4">
        <v>0</v>
      </c>
      <c r="AW10" s="4">
        <v>0</v>
      </c>
      <c r="AX10" s="4">
        <v>0</v>
      </c>
      <c r="AY10" s="4">
        <v>0</v>
      </c>
      <c r="AZ10" s="4">
        <v>0</v>
      </c>
      <c r="BA10" s="4">
        <v>0</v>
      </c>
      <c r="BB10" s="4">
        <v>0</v>
      </c>
      <c r="BC10" s="4">
        <v>0</v>
      </c>
      <c r="BD10" s="4">
        <v>0</v>
      </c>
      <c r="BE10" s="4">
        <v>0</v>
      </c>
      <c r="BF10" s="4">
        <v>0</v>
      </c>
      <c r="BG10" s="31">
        <f t="shared" si="6"/>
        <v>560000</v>
      </c>
      <c r="BH10" s="31">
        <f t="shared" si="2"/>
        <v>500000</v>
      </c>
      <c r="BI10" s="31">
        <f t="shared" si="3"/>
        <v>0</v>
      </c>
      <c r="BJ10" s="31">
        <f t="shared" si="4"/>
        <v>60000</v>
      </c>
    </row>
    <row r="11" spans="1:62" x14ac:dyDescent="0.25">
      <c r="D11">
        <v>1004</v>
      </c>
      <c r="E11" t="s">
        <v>316</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4">
        <v>0</v>
      </c>
      <c r="AG11" s="4">
        <v>0</v>
      </c>
      <c r="AH11" s="4">
        <v>0</v>
      </c>
      <c r="AI11" s="4">
        <v>0</v>
      </c>
      <c r="AJ11" s="4">
        <v>0</v>
      </c>
      <c r="AK11" s="4">
        <v>0</v>
      </c>
      <c r="AL11" s="4">
        <v>0</v>
      </c>
      <c r="AM11" s="4">
        <v>0</v>
      </c>
      <c r="AN11" s="4">
        <v>0</v>
      </c>
      <c r="AO11" s="4">
        <v>0</v>
      </c>
      <c r="AP11" s="4">
        <v>0</v>
      </c>
      <c r="AQ11" s="4">
        <v>0</v>
      </c>
      <c r="AR11" s="4">
        <v>0</v>
      </c>
      <c r="AS11" s="4">
        <v>3507.03</v>
      </c>
      <c r="AT11" s="4">
        <v>0</v>
      </c>
      <c r="AU11" s="4">
        <v>0</v>
      </c>
      <c r="AV11" s="4">
        <v>0</v>
      </c>
      <c r="AW11" s="4">
        <v>0</v>
      </c>
      <c r="AX11" s="4">
        <v>4039.01</v>
      </c>
      <c r="AY11" s="4">
        <v>0</v>
      </c>
      <c r="AZ11" s="4">
        <v>0</v>
      </c>
      <c r="BA11" s="4">
        <v>0</v>
      </c>
      <c r="BB11" s="4">
        <v>0</v>
      </c>
      <c r="BC11" s="4">
        <v>0</v>
      </c>
      <c r="BD11" s="4">
        <v>0</v>
      </c>
      <c r="BE11" s="4">
        <v>0</v>
      </c>
      <c r="BF11" s="4">
        <v>0</v>
      </c>
      <c r="BG11" s="31">
        <f t="shared" si="6"/>
        <v>7546.0400000000009</v>
      </c>
      <c r="BH11" s="31">
        <f t="shared" si="2"/>
        <v>0</v>
      </c>
      <c r="BI11" s="31">
        <f t="shared" si="3"/>
        <v>0</v>
      </c>
      <c r="BJ11" s="31">
        <f t="shared" si="4"/>
        <v>7546.0400000000009</v>
      </c>
    </row>
    <row r="12" spans="1:62" x14ac:dyDescent="0.25">
      <c r="D12">
        <v>1009</v>
      </c>
      <c r="E12" t="s">
        <v>317</v>
      </c>
      <c r="F12" s="4">
        <v>0</v>
      </c>
      <c r="G12" s="4">
        <v>0</v>
      </c>
      <c r="H12" s="4">
        <v>0</v>
      </c>
      <c r="I12" s="4">
        <v>0</v>
      </c>
      <c r="J12" s="4">
        <v>0</v>
      </c>
      <c r="K12" s="4">
        <v>0</v>
      </c>
      <c r="L12" s="4">
        <v>0</v>
      </c>
      <c r="M12" s="4">
        <v>0</v>
      </c>
      <c r="N12" s="4">
        <v>0</v>
      </c>
      <c r="O12" s="4">
        <v>0</v>
      </c>
      <c r="P12" s="4">
        <v>0</v>
      </c>
      <c r="Q12" s="4">
        <v>0</v>
      </c>
      <c r="R12" s="4">
        <v>0</v>
      </c>
      <c r="S12" s="4">
        <v>0</v>
      </c>
      <c r="T12" s="4">
        <v>0</v>
      </c>
      <c r="U12" s="4">
        <v>0</v>
      </c>
      <c r="V12" s="4">
        <v>0</v>
      </c>
      <c r="W12" s="4">
        <v>0</v>
      </c>
      <c r="X12" s="4">
        <v>-154.69999999999999</v>
      </c>
      <c r="Y12" s="4">
        <v>0</v>
      </c>
      <c r="Z12" s="4">
        <v>0</v>
      </c>
      <c r="AA12" s="4">
        <v>0</v>
      </c>
      <c r="AB12" s="4">
        <v>0</v>
      </c>
      <c r="AC12" s="4">
        <v>0</v>
      </c>
      <c r="AD12" s="4">
        <v>0</v>
      </c>
      <c r="AE12" s="4">
        <v>0</v>
      </c>
      <c r="AF12" s="4">
        <v>0</v>
      </c>
      <c r="AG12" s="4">
        <v>0</v>
      </c>
      <c r="AH12" s="4">
        <v>0</v>
      </c>
      <c r="AI12" s="4">
        <v>0</v>
      </c>
      <c r="AJ12" s="4">
        <v>0</v>
      </c>
      <c r="AK12" s="4">
        <v>0</v>
      </c>
      <c r="AL12" s="4">
        <v>0</v>
      </c>
      <c r="AM12" s="4">
        <v>0</v>
      </c>
      <c r="AN12" s="4">
        <v>0</v>
      </c>
      <c r="AO12" s="4">
        <v>0</v>
      </c>
      <c r="AP12" s="4">
        <v>0</v>
      </c>
      <c r="AQ12" s="4">
        <v>0</v>
      </c>
      <c r="AR12" s="4">
        <v>0</v>
      </c>
      <c r="AS12" s="4">
        <v>0</v>
      </c>
      <c r="AT12" s="4">
        <v>0</v>
      </c>
      <c r="AU12" s="4">
        <v>0</v>
      </c>
      <c r="AV12" s="4">
        <v>0</v>
      </c>
      <c r="AW12" s="4">
        <v>0</v>
      </c>
      <c r="AX12" s="4">
        <v>0</v>
      </c>
      <c r="AY12" s="4">
        <v>0</v>
      </c>
      <c r="AZ12" s="4">
        <v>0</v>
      </c>
      <c r="BA12" s="4">
        <v>0</v>
      </c>
      <c r="BB12" s="4">
        <v>0</v>
      </c>
      <c r="BC12" s="4">
        <v>0</v>
      </c>
      <c r="BD12" s="4">
        <v>0</v>
      </c>
      <c r="BE12" s="4">
        <v>4000.25</v>
      </c>
      <c r="BF12" s="4">
        <v>0</v>
      </c>
      <c r="BG12" s="31">
        <f t="shared" si="6"/>
        <v>3845.55</v>
      </c>
      <c r="BH12" s="31">
        <f t="shared" si="2"/>
        <v>-154.69999999999999</v>
      </c>
      <c r="BI12" s="31">
        <f t="shared" si="3"/>
        <v>0</v>
      </c>
      <c r="BJ12" s="31">
        <f t="shared" si="4"/>
        <v>4000.25</v>
      </c>
    </row>
    <row r="13" spans="1:62" x14ac:dyDescent="0.25">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31"/>
      <c r="BH13" s="31"/>
      <c r="BI13" s="31"/>
      <c r="BJ13" s="31"/>
    </row>
    <row r="14" spans="1:62" x14ac:dyDescent="0.25">
      <c r="C14" s="56">
        <v>101</v>
      </c>
      <c r="D14" s="56"/>
      <c r="E14" s="56" t="s">
        <v>242</v>
      </c>
      <c r="F14" s="57">
        <f>F15+F16+F17+F18+F19+F20+F21+F22</f>
        <v>988069.3</v>
      </c>
      <c r="G14" s="57">
        <f t="shared" ref="G14:BF14" si="7">G15+G16+G17+G18+G19+G20+G21+G22</f>
        <v>119261.67</v>
      </c>
      <c r="H14" s="57">
        <f t="shared" si="7"/>
        <v>414542.23000000004</v>
      </c>
      <c r="I14" s="57">
        <f t="shared" si="7"/>
        <v>413303.21</v>
      </c>
      <c r="J14" s="57">
        <f t="shared" si="7"/>
        <v>3344664.07</v>
      </c>
      <c r="K14" s="57">
        <f t="shared" si="7"/>
        <v>1880588.5299999998</v>
      </c>
      <c r="L14" s="57">
        <f t="shared" si="7"/>
        <v>2224141.4900000002</v>
      </c>
      <c r="M14" s="57">
        <f t="shared" si="7"/>
        <v>16964940.300000001</v>
      </c>
      <c r="N14" s="57">
        <f t="shared" si="7"/>
        <v>1213204.5699999998</v>
      </c>
      <c r="O14" s="57">
        <f t="shared" si="7"/>
        <v>110491.76000000001</v>
      </c>
      <c r="P14" s="57">
        <f t="shared" si="7"/>
        <v>6498496.6899999995</v>
      </c>
      <c r="Q14" s="57">
        <f t="shared" si="7"/>
        <v>789626.20000000007</v>
      </c>
      <c r="R14" s="57">
        <f t="shared" si="7"/>
        <v>193155.7</v>
      </c>
      <c r="S14" s="57">
        <f t="shared" si="7"/>
        <v>362321.17000000004</v>
      </c>
      <c r="T14" s="57">
        <f t="shared" si="7"/>
        <v>459880.36</v>
      </c>
      <c r="U14" s="57">
        <f t="shared" si="7"/>
        <v>914378.86999999988</v>
      </c>
      <c r="V14" s="57">
        <f t="shared" si="7"/>
        <v>225376.31</v>
      </c>
      <c r="W14" s="57">
        <f t="shared" si="7"/>
        <v>677648.74</v>
      </c>
      <c r="X14" s="57">
        <f t="shared" si="7"/>
        <v>3262961.49</v>
      </c>
      <c r="Y14" s="57">
        <f t="shared" si="7"/>
        <v>166859.37999999998</v>
      </c>
      <c r="Z14" s="57">
        <f t="shared" si="7"/>
        <v>1214340.25</v>
      </c>
      <c r="AA14" s="57">
        <f t="shared" si="7"/>
        <v>1410852.8199999998</v>
      </c>
      <c r="AB14" s="57">
        <f t="shared" si="7"/>
        <v>130073.53</v>
      </c>
      <c r="AC14" s="57">
        <f t="shared" si="7"/>
        <v>127270.15999999999</v>
      </c>
      <c r="AD14" s="57">
        <f t="shared" si="7"/>
        <v>626938.14000000013</v>
      </c>
      <c r="AE14" s="57">
        <f t="shared" si="7"/>
        <v>660559.30999999994</v>
      </c>
      <c r="AF14" s="57">
        <f t="shared" si="7"/>
        <v>440484.83999999997</v>
      </c>
      <c r="AG14" s="57">
        <f t="shared" si="7"/>
        <v>212102.05</v>
      </c>
      <c r="AH14" s="57">
        <f t="shared" si="7"/>
        <v>1040789.23</v>
      </c>
      <c r="AI14" s="57">
        <f t="shared" si="7"/>
        <v>2869097.1499999994</v>
      </c>
      <c r="AJ14" s="57">
        <f t="shared" si="7"/>
        <v>944343.31</v>
      </c>
      <c r="AK14" s="57">
        <f t="shared" si="7"/>
        <v>140233.63999999998</v>
      </c>
      <c r="AL14" s="57">
        <f t="shared" si="7"/>
        <v>2055828.71</v>
      </c>
      <c r="AM14" s="57">
        <f t="shared" si="7"/>
        <v>1471852.85</v>
      </c>
      <c r="AN14" s="57">
        <f t="shared" si="7"/>
        <v>1772573.8599999999</v>
      </c>
      <c r="AO14" s="57">
        <f t="shared" si="7"/>
        <v>184819.22</v>
      </c>
      <c r="AP14" s="57">
        <f t="shared" si="7"/>
        <v>1514706.0699999998</v>
      </c>
      <c r="AQ14" s="57">
        <f t="shared" si="7"/>
        <v>656576.51</v>
      </c>
      <c r="AR14" s="57">
        <f t="shared" si="7"/>
        <v>406664.76999999996</v>
      </c>
      <c r="AS14" s="57">
        <f t="shared" si="7"/>
        <v>1515857.9</v>
      </c>
      <c r="AT14" s="57">
        <f t="shared" si="7"/>
        <v>866641.25</v>
      </c>
      <c r="AU14" s="57">
        <f t="shared" si="7"/>
        <v>1486619.52</v>
      </c>
      <c r="AV14" s="57">
        <f t="shared" si="7"/>
        <v>376774.2</v>
      </c>
      <c r="AW14" s="57">
        <f t="shared" si="7"/>
        <v>2428176.2200000002</v>
      </c>
      <c r="AX14" s="57">
        <f t="shared" si="7"/>
        <v>596045.30000000005</v>
      </c>
      <c r="AY14" s="57">
        <f t="shared" si="7"/>
        <v>122235.71</v>
      </c>
      <c r="AZ14" s="57">
        <f t="shared" si="7"/>
        <v>511381.06</v>
      </c>
      <c r="BA14" s="57">
        <f t="shared" si="7"/>
        <v>2517416.9299999997</v>
      </c>
      <c r="BB14" s="57">
        <f t="shared" si="7"/>
        <v>549900.22</v>
      </c>
      <c r="BC14" s="57">
        <f t="shared" si="7"/>
        <v>1676512.19</v>
      </c>
      <c r="BD14" s="57">
        <f t="shared" si="7"/>
        <v>217173.52</v>
      </c>
      <c r="BE14" s="57">
        <f t="shared" si="7"/>
        <v>10864545.25</v>
      </c>
      <c r="BF14" s="57">
        <f t="shared" si="7"/>
        <v>438183.51000000007</v>
      </c>
      <c r="BG14" s="57">
        <f t="shared" si="6"/>
        <v>83271481.24000001</v>
      </c>
      <c r="BH14" s="57">
        <f t="shared" si="2"/>
        <v>41057052.660000011</v>
      </c>
      <c r="BI14" s="57">
        <f t="shared" si="3"/>
        <v>9983943.8100000005</v>
      </c>
      <c r="BJ14" s="57">
        <f t="shared" si="4"/>
        <v>32230484.77</v>
      </c>
    </row>
    <row r="15" spans="1:62" x14ac:dyDescent="0.25">
      <c r="D15">
        <v>1010</v>
      </c>
      <c r="E15" t="s">
        <v>318</v>
      </c>
      <c r="F15" s="4">
        <v>166340</v>
      </c>
      <c r="G15" s="4">
        <v>9690.75</v>
      </c>
      <c r="H15" s="4">
        <v>45316.95</v>
      </c>
      <c r="I15" s="4">
        <v>112972.5</v>
      </c>
      <c r="J15" s="4">
        <v>822705.47</v>
      </c>
      <c r="K15" s="4">
        <v>419197.1</v>
      </c>
      <c r="L15" s="4">
        <v>522435.8</v>
      </c>
      <c r="M15" s="4">
        <v>10140887.82</v>
      </c>
      <c r="N15" s="4">
        <v>555729.12</v>
      </c>
      <c r="O15" s="4">
        <v>14872.24</v>
      </c>
      <c r="P15" s="4">
        <v>1395029.91</v>
      </c>
      <c r="Q15" s="4">
        <v>134674</v>
      </c>
      <c r="R15" s="4">
        <v>18659.150000000001</v>
      </c>
      <c r="S15" s="4">
        <v>43841.7</v>
      </c>
      <c r="T15" s="4">
        <v>126203.55</v>
      </c>
      <c r="U15" s="4">
        <v>370299.98</v>
      </c>
      <c r="V15" s="4">
        <v>48131.9</v>
      </c>
      <c r="W15" s="4">
        <v>140088.13</v>
      </c>
      <c r="X15" s="4">
        <v>1294491.97</v>
      </c>
      <c r="Y15" s="4">
        <v>30475.3</v>
      </c>
      <c r="Z15" s="4">
        <v>290694.09999999998</v>
      </c>
      <c r="AA15" s="4">
        <v>925327.79</v>
      </c>
      <c r="AB15" s="4">
        <v>46715.5</v>
      </c>
      <c r="AC15" s="4">
        <v>43816.85</v>
      </c>
      <c r="AD15" s="4">
        <v>168006.1</v>
      </c>
      <c r="AE15" s="4">
        <v>473804.45</v>
      </c>
      <c r="AF15" s="4">
        <v>282075</v>
      </c>
      <c r="AG15" s="4">
        <v>114488.77</v>
      </c>
      <c r="AH15" s="4">
        <v>1169242.3</v>
      </c>
      <c r="AI15" s="4">
        <v>1394701.88</v>
      </c>
      <c r="AJ15" s="4">
        <v>146848.20000000001</v>
      </c>
      <c r="AK15" s="4">
        <v>63964.66</v>
      </c>
      <c r="AL15" s="4">
        <v>286082.95</v>
      </c>
      <c r="AM15" s="4">
        <v>447163.34</v>
      </c>
      <c r="AN15" s="4">
        <v>353356.62</v>
      </c>
      <c r="AO15" s="4">
        <v>24999.55</v>
      </c>
      <c r="AP15" s="4">
        <v>661751.9</v>
      </c>
      <c r="AQ15" s="4">
        <v>173753.22</v>
      </c>
      <c r="AR15" s="4">
        <v>120919.9</v>
      </c>
      <c r="AS15" s="4">
        <v>414888.56</v>
      </c>
      <c r="AT15" s="4">
        <v>168239.3</v>
      </c>
      <c r="AU15" s="4">
        <v>385625.74</v>
      </c>
      <c r="AV15" s="4">
        <v>62338.2</v>
      </c>
      <c r="AW15" s="4">
        <v>507374.89</v>
      </c>
      <c r="AX15" s="4">
        <v>92734.55</v>
      </c>
      <c r="AY15" s="4">
        <v>54225.05</v>
      </c>
      <c r="AZ15" s="4">
        <v>47977.95</v>
      </c>
      <c r="BA15" s="4">
        <v>541687.06000000006</v>
      </c>
      <c r="BB15" s="4">
        <v>58297.95</v>
      </c>
      <c r="BC15" s="4">
        <v>787797.51</v>
      </c>
      <c r="BD15" s="4">
        <v>82246.44</v>
      </c>
      <c r="BE15" s="4">
        <v>3067948.63</v>
      </c>
      <c r="BF15" s="4">
        <v>72304.460000000006</v>
      </c>
      <c r="BG15" s="31">
        <f t="shared" si="6"/>
        <v>29943442.710000001</v>
      </c>
      <c r="BH15" s="31">
        <f t="shared" si="2"/>
        <v>16381568.040000003</v>
      </c>
      <c r="BI15" s="31">
        <f t="shared" si="3"/>
        <v>5150160.9000000004</v>
      </c>
      <c r="BJ15" s="31">
        <f t="shared" si="4"/>
        <v>8411713.7700000014</v>
      </c>
    </row>
    <row r="16" spans="1:62" x14ac:dyDescent="0.25">
      <c r="D16">
        <v>1011</v>
      </c>
      <c r="E16" t="s">
        <v>399</v>
      </c>
      <c r="F16" s="4">
        <v>0</v>
      </c>
      <c r="G16" s="4">
        <v>319.45</v>
      </c>
      <c r="H16" s="4">
        <v>0</v>
      </c>
      <c r="I16" s="4">
        <v>0</v>
      </c>
      <c r="J16" s="4">
        <v>0</v>
      </c>
      <c r="K16" s="4">
        <v>79335.28</v>
      </c>
      <c r="L16" s="4">
        <v>1234750.69</v>
      </c>
      <c r="M16" s="4">
        <v>497292.19</v>
      </c>
      <c r="N16" s="4">
        <v>31249.94</v>
      </c>
      <c r="O16" s="4">
        <v>48026.39</v>
      </c>
      <c r="P16" s="4">
        <v>843578.07</v>
      </c>
      <c r="Q16" s="4">
        <v>451399.79</v>
      </c>
      <c r="R16" s="4">
        <v>41722.69</v>
      </c>
      <c r="S16" s="4">
        <v>17216.45</v>
      </c>
      <c r="T16" s="4">
        <v>0</v>
      </c>
      <c r="U16" s="4">
        <v>-4459.25</v>
      </c>
      <c r="V16" s="4">
        <v>0</v>
      </c>
      <c r="W16" s="4">
        <v>0</v>
      </c>
      <c r="X16" s="4">
        <v>0</v>
      </c>
      <c r="Y16" s="4">
        <v>0</v>
      </c>
      <c r="Z16" s="4">
        <v>0</v>
      </c>
      <c r="AA16" s="4">
        <v>55444.5</v>
      </c>
      <c r="AB16" s="4">
        <v>0</v>
      </c>
      <c r="AC16" s="4">
        <v>21249.96</v>
      </c>
      <c r="AD16" s="4">
        <v>0</v>
      </c>
      <c r="AE16" s="4">
        <v>0</v>
      </c>
      <c r="AF16" s="4">
        <v>4000</v>
      </c>
      <c r="AG16" s="4">
        <v>0</v>
      </c>
      <c r="AH16" s="4">
        <v>17961.45</v>
      </c>
      <c r="AI16" s="4">
        <v>-282.95</v>
      </c>
      <c r="AJ16" s="4">
        <v>607769.16</v>
      </c>
      <c r="AK16" s="4">
        <v>16294.69</v>
      </c>
      <c r="AL16" s="4">
        <v>0</v>
      </c>
      <c r="AM16" s="4">
        <v>0</v>
      </c>
      <c r="AN16" s="4">
        <v>0</v>
      </c>
      <c r="AO16" s="4">
        <v>0</v>
      </c>
      <c r="AP16" s="4">
        <v>0</v>
      </c>
      <c r="AQ16" s="4">
        <v>0</v>
      </c>
      <c r="AR16" s="4">
        <v>0</v>
      </c>
      <c r="AS16" s="4">
        <v>0</v>
      </c>
      <c r="AT16" s="4">
        <v>0</v>
      </c>
      <c r="AU16" s="4">
        <v>69077.22</v>
      </c>
      <c r="AV16" s="4">
        <v>0</v>
      </c>
      <c r="AW16" s="4">
        <v>96336.99</v>
      </c>
      <c r="AX16" s="4">
        <v>0</v>
      </c>
      <c r="AY16" s="4">
        <v>0</v>
      </c>
      <c r="AZ16" s="4">
        <v>11600</v>
      </c>
      <c r="BA16" s="4">
        <v>28400</v>
      </c>
      <c r="BB16" s="4">
        <v>0</v>
      </c>
      <c r="BC16" s="4">
        <v>0</v>
      </c>
      <c r="BD16" s="4">
        <v>0</v>
      </c>
      <c r="BE16" s="4">
        <v>1034251.7</v>
      </c>
      <c r="BF16" s="4">
        <v>0</v>
      </c>
      <c r="BG16" s="31">
        <f t="shared" si="6"/>
        <v>5202534.41</v>
      </c>
      <c r="BH16" s="31">
        <f t="shared" si="2"/>
        <v>3240431.69</v>
      </c>
      <c r="BI16" s="31">
        <f t="shared" si="3"/>
        <v>722436.80999999994</v>
      </c>
      <c r="BJ16" s="31">
        <f t="shared" si="4"/>
        <v>1239665.9099999999</v>
      </c>
    </row>
    <row r="17" spans="3:62" x14ac:dyDescent="0.25">
      <c r="D17">
        <v>1012</v>
      </c>
      <c r="E17" t="s">
        <v>319</v>
      </c>
      <c r="F17" s="4">
        <v>697600.16</v>
      </c>
      <c r="G17" s="4">
        <v>109251.47</v>
      </c>
      <c r="H17" s="4">
        <v>369225.28</v>
      </c>
      <c r="I17" s="4">
        <v>323376.25</v>
      </c>
      <c r="J17" s="4">
        <v>2519611.0699999998</v>
      </c>
      <c r="K17" s="4">
        <v>1337299</v>
      </c>
      <c r="L17" s="4">
        <v>466375.3</v>
      </c>
      <c r="M17" s="4">
        <v>5400909.0499999998</v>
      </c>
      <c r="N17" s="4">
        <v>625367.92000000004</v>
      </c>
      <c r="O17" s="4">
        <v>46893.53</v>
      </c>
      <c r="P17" s="4">
        <v>4189162.37</v>
      </c>
      <c r="Q17" s="4">
        <v>203552.41</v>
      </c>
      <c r="R17" s="4">
        <v>132767.91</v>
      </c>
      <c r="S17" s="4">
        <v>301259.52000000002</v>
      </c>
      <c r="T17" s="4">
        <v>333676.81</v>
      </c>
      <c r="U17" s="4">
        <v>574558.18999999994</v>
      </c>
      <c r="V17" s="4">
        <v>177244.41</v>
      </c>
      <c r="W17" s="4">
        <v>537560.61</v>
      </c>
      <c r="X17" s="4">
        <v>1720958.93</v>
      </c>
      <c r="Y17" s="4">
        <v>136384.07999999999</v>
      </c>
      <c r="Z17" s="4">
        <v>373683.5</v>
      </c>
      <c r="AA17" s="4">
        <v>426299.38</v>
      </c>
      <c r="AB17" s="4">
        <v>74271.16</v>
      </c>
      <c r="AC17" s="4">
        <v>53347.45</v>
      </c>
      <c r="AD17" s="4">
        <v>416032.59</v>
      </c>
      <c r="AE17" s="4">
        <v>172034.5</v>
      </c>
      <c r="AF17" s="4">
        <v>154070.74</v>
      </c>
      <c r="AG17" s="4">
        <v>96766.48</v>
      </c>
      <c r="AH17" s="4">
        <v>-149233.76999999999</v>
      </c>
      <c r="AI17" s="4">
        <v>1458948.33</v>
      </c>
      <c r="AJ17" s="4">
        <v>189339.88</v>
      </c>
      <c r="AK17" s="4">
        <v>56172.24</v>
      </c>
      <c r="AL17" s="4">
        <v>1759569.81</v>
      </c>
      <c r="AM17" s="4">
        <v>1024629.01</v>
      </c>
      <c r="AN17" s="4">
        <v>988817.12</v>
      </c>
      <c r="AO17" s="4">
        <v>150216.17000000001</v>
      </c>
      <c r="AP17" s="4">
        <v>852495.5</v>
      </c>
      <c r="AQ17" s="4">
        <v>482358.34</v>
      </c>
      <c r="AR17" s="4">
        <v>285749.07</v>
      </c>
      <c r="AS17" s="4">
        <v>1034843.08</v>
      </c>
      <c r="AT17" s="4">
        <v>696291.2</v>
      </c>
      <c r="AU17" s="4">
        <v>910735.64</v>
      </c>
      <c r="AV17" s="4">
        <v>314404.61</v>
      </c>
      <c r="AW17" s="4">
        <v>1591979.04</v>
      </c>
      <c r="AX17" s="4">
        <v>502551.48</v>
      </c>
      <c r="AY17" s="4">
        <v>68007.91</v>
      </c>
      <c r="AZ17" s="4">
        <v>451803.11</v>
      </c>
      <c r="BA17" s="4">
        <v>1774805.66</v>
      </c>
      <c r="BB17" s="4">
        <v>451244.23</v>
      </c>
      <c r="BC17" s="4">
        <v>888135.04</v>
      </c>
      <c r="BD17" s="4">
        <v>134927.07999999999</v>
      </c>
      <c r="BE17" s="4">
        <v>6229117.4299999997</v>
      </c>
      <c r="BF17" s="4">
        <v>355424.65</v>
      </c>
      <c r="BG17" s="31">
        <f t="shared" si="6"/>
        <v>44472871.929999977</v>
      </c>
      <c r="BH17" s="31">
        <f t="shared" si="2"/>
        <v>20066650.189999998</v>
      </c>
      <c r="BI17" s="31">
        <f t="shared" si="3"/>
        <v>3458116.5600000005</v>
      </c>
      <c r="BJ17" s="31">
        <f t="shared" si="4"/>
        <v>20948105.18</v>
      </c>
    </row>
    <row r="18" spans="3:62" x14ac:dyDescent="0.25">
      <c r="D18">
        <v>1013</v>
      </c>
      <c r="E18" t="s">
        <v>320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4">
        <v>0</v>
      </c>
      <c r="AG18" s="4">
        <v>0</v>
      </c>
      <c r="AH18" s="4">
        <v>0</v>
      </c>
      <c r="AI18" s="4">
        <v>0</v>
      </c>
      <c r="AJ18" s="4">
        <v>0</v>
      </c>
      <c r="AK18" s="4">
        <v>0</v>
      </c>
      <c r="AL18" s="4">
        <v>0</v>
      </c>
      <c r="AM18" s="4">
        <v>0</v>
      </c>
      <c r="AN18" s="4">
        <v>0</v>
      </c>
      <c r="AO18" s="4">
        <v>9600</v>
      </c>
      <c r="AP18" s="4">
        <v>0</v>
      </c>
      <c r="AQ18" s="4">
        <v>0</v>
      </c>
      <c r="AR18" s="4">
        <v>0</v>
      </c>
      <c r="AS18" s="4">
        <v>0</v>
      </c>
      <c r="AT18" s="4">
        <v>0</v>
      </c>
      <c r="AU18" s="4">
        <v>0</v>
      </c>
      <c r="AV18" s="4">
        <v>0</v>
      </c>
      <c r="AW18" s="4">
        <v>0</v>
      </c>
      <c r="AX18" s="4">
        <v>0</v>
      </c>
      <c r="AY18" s="4">
        <v>0</v>
      </c>
      <c r="AZ18" s="4">
        <v>0</v>
      </c>
      <c r="BA18" s="4">
        <v>0</v>
      </c>
      <c r="BB18" s="4">
        <v>0</v>
      </c>
      <c r="BC18" s="4">
        <v>0</v>
      </c>
      <c r="BD18" s="4">
        <v>0</v>
      </c>
      <c r="BE18" s="4">
        <v>273665.90000000002</v>
      </c>
      <c r="BF18" s="4">
        <v>0</v>
      </c>
      <c r="BG18" s="31">
        <f t="shared" si="6"/>
        <v>283265.90000000002</v>
      </c>
      <c r="BH18" s="31">
        <f t="shared" si="2"/>
        <v>0</v>
      </c>
      <c r="BI18" s="31">
        <f t="shared" si="3"/>
        <v>0</v>
      </c>
      <c r="BJ18" s="31">
        <f t="shared" si="4"/>
        <v>283265.90000000002</v>
      </c>
    </row>
    <row r="19" spans="3:62" x14ac:dyDescent="0.25">
      <c r="D19">
        <v>1014</v>
      </c>
      <c r="E19" t="s">
        <v>321</v>
      </c>
      <c r="F19" s="4">
        <v>0</v>
      </c>
      <c r="G19" s="4">
        <v>0</v>
      </c>
      <c r="H19" s="4">
        <v>0</v>
      </c>
      <c r="I19" s="4">
        <v>0</v>
      </c>
      <c r="J19" s="4">
        <v>0</v>
      </c>
      <c r="K19" s="4">
        <v>0</v>
      </c>
      <c r="L19" s="4">
        <v>0</v>
      </c>
      <c r="M19" s="4">
        <v>0</v>
      </c>
      <c r="N19" s="4">
        <v>0</v>
      </c>
      <c r="O19" s="4">
        <v>0</v>
      </c>
      <c r="P19" s="4">
        <v>0</v>
      </c>
      <c r="Q19" s="4">
        <v>0</v>
      </c>
      <c r="R19" s="4">
        <v>0</v>
      </c>
      <c r="S19" s="4">
        <v>0</v>
      </c>
      <c r="T19" s="4">
        <v>0</v>
      </c>
      <c r="U19" s="4">
        <v>0</v>
      </c>
      <c r="V19" s="4">
        <v>0</v>
      </c>
      <c r="W19" s="4">
        <v>0</v>
      </c>
      <c r="X19" s="4">
        <v>0</v>
      </c>
      <c r="Y19" s="4">
        <v>0</v>
      </c>
      <c r="Z19" s="4">
        <v>517757.98</v>
      </c>
      <c r="AA19" s="4">
        <v>0</v>
      </c>
      <c r="AB19" s="4">
        <v>0</v>
      </c>
      <c r="AC19" s="4">
        <v>8271.9</v>
      </c>
      <c r="AD19" s="4">
        <v>0</v>
      </c>
      <c r="AE19" s="4">
        <v>0</v>
      </c>
      <c r="AF19" s="4">
        <v>0</v>
      </c>
      <c r="AG19" s="4">
        <v>0</v>
      </c>
      <c r="AH19" s="4">
        <v>0</v>
      </c>
      <c r="AI19" s="4">
        <v>10790.3</v>
      </c>
      <c r="AJ19" s="4">
        <v>0</v>
      </c>
      <c r="AK19" s="4">
        <v>2434.4</v>
      </c>
      <c r="AL19" s="4">
        <v>0</v>
      </c>
      <c r="AM19" s="4">
        <v>0</v>
      </c>
      <c r="AN19" s="4">
        <v>430400.12</v>
      </c>
      <c r="AO19" s="4">
        <v>0</v>
      </c>
      <c r="AP19" s="4">
        <v>0</v>
      </c>
      <c r="AQ19" s="4">
        <v>0</v>
      </c>
      <c r="AR19" s="4">
        <v>0</v>
      </c>
      <c r="AS19" s="4">
        <v>0</v>
      </c>
      <c r="AT19" s="4">
        <v>0</v>
      </c>
      <c r="AU19" s="4">
        <v>0</v>
      </c>
      <c r="AV19" s="4">
        <v>0</v>
      </c>
      <c r="AW19" s="4">
        <v>0</v>
      </c>
      <c r="AX19" s="4">
        <v>0</v>
      </c>
      <c r="AY19" s="4">
        <v>0</v>
      </c>
      <c r="AZ19" s="4">
        <v>0</v>
      </c>
      <c r="BA19" s="4">
        <v>170642.06</v>
      </c>
      <c r="BB19" s="4">
        <v>0</v>
      </c>
      <c r="BC19" s="4">
        <v>0</v>
      </c>
      <c r="BD19" s="4">
        <v>0</v>
      </c>
      <c r="BE19" s="4">
        <v>0</v>
      </c>
      <c r="BF19" s="4">
        <v>10454.4</v>
      </c>
      <c r="BG19" s="31">
        <f t="shared" si="6"/>
        <v>1150751.1599999999</v>
      </c>
      <c r="BH19" s="31">
        <f t="shared" si="2"/>
        <v>0</v>
      </c>
      <c r="BI19" s="31">
        <f t="shared" si="3"/>
        <v>539254.58000000007</v>
      </c>
      <c r="BJ19" s="31">
        <f t="shared" si="4"/>
        <v>611496.57999999996</v>
      </c>
    </row>
    <row r="20" spans="3:62" x14ac:dyDescent="0.25">
      <c r="D20">
        <v>1015</v>
      </c>
      <c r="E20" t="s">
        <v>323</v>
      </c>
      <c r="F20" s="4">
        <v>0</v>
      </c>
      <c r="G20" s="4">
        <v>0</v>
      </c>
      <c r="H20" s="4">
        <v>0</v>
      </c>
      <c r="I20" s="4">
        <v>-9313.75</v>
      </c>
      <c r="J20" s="4">
        <v>0</v>
      </c>
      <c r="K20" s="4">
        <v>0</v>
      </c>
      <c r="L20" s="4">
        <v>0</v>
      </c>
      <c r="M20" s="4">
        <v>780362.67</v>
      </c>
      <c r="N20" s="4">
        <v>249.95</v>
      </c>
      <c r="O20" s="4">
        <v>699.6</v>
      </c>
      <c r="P20" s="4">
        <v>0</v>
      </c>
      <c r="Q20" s="4">
        <v>0</v>
      </c>
      <c r="R20" s="4">
        <v>0</v>
      </c>
      <c r="S20" s="4">
        <v>0</v>
      </c>
      <c r="T20" s="4">
        <v>0</v>
      </c>
      <c r="U20" s="4">
        <v>-26020.05</v>
      </c>
      <c r="V20" s="4">
        <v>0</v>
      </c>
      <c r="W20" s="4">
        <v>0</v>
      </c>
      <c r="X20" s="4">
        <v>247368.7</v>
      </c>
      <c r="Y20" s="4">
        <v>0</v>
      </c>
      <c r="Z20" s="4">
        <v>0</v>
      </c>
      <c r="AA20" s="4">
        <v>0</v>
      </c>
      <c r="AB20" s="4">
        <v>0</v>
      </c>
      <c r="AC20" s="4">
        <v>0</v>
      </c>
      <c r="AD20" s="4">
        <v>39893.64</v>
      </c>
      <c r="AE20" s="4">
        <v>-5259.5</v>
      </c>
      <c r="AF20" s="4">
        <v>0</v>
      </c>
      <c r="AG20" s="4">
        <v>0</v>
      </c>
      <c r="AH20" s="4">
        <v>0</v>
      </c>
      <c r="AI20" s="4">
        <v>0</v>
      </c>
      <c r="AJ20" s="4">
        <v>0</v>
      </c>
      <c r="AK20" s="4">
        <v>0</v>
      </c>
      <c r="AL20" s="4">
        <v>0</v>
      </c>
      <c r="AM20" s="4">
        <v>0</v>
      </c>
      <c r="AN20" s="4">
        <v>0</v>
      </c>
      <c r="AO20" s="4">
        <v>0</v>
      </c>
      <c r="AP20" s="4">
        <v>0</v>
      </c>
      <c r="AQ20" s="4">
        <v>461.45</v>
      </c>
      <c r="AR20" s="4">
        <v>0</v>
      </c>
      <c r="AS20" s="4">
        <v>0</v>
      </c>
      <c r="AT20" s="4">
        <v>0</v>
      </c>
      <c r="AU20" s="4">
        <v>97500</v>
      </c>
      <c r="AV20" s="4">
        <v>0</v>
      </c>
      <c r="AW20" s="4">
        <v>230809.60000000001</v>
      </c>
      <c r="AX20" s="4">
        <v>0</v>
      </c>
      <c r="AY20" s="4">
        <v>0</v>
      </c>
      <c r="AZ20" s="4">
        <v>0</v>
      </c>
      <c r="BA20" s="4">
        <v>0</v>
      </c>
      <c r="BB20" s="4">
        <v>0</v>
      </c>
      <c r="BC20" s="4">
        <v>0</v>
      </c>
      <c r="BD20" s="4">
        <v>0</v>
      </c>
      <c r="BE20" s="4">
        <v>62772.25</v>
      </c>
      <c r="BF20" s="4">
        <v>0</v>
      </c>
      <c r="BG20" s="31">
        <f t="shared" si="6"/>
        <v>1419524.56</v>
      </c>
      <c r="BH20" s="31">
        <f t="shared" si="2"/>
        <v>993347.11999999988</v>
      </c>
      <c r="BI20" s="31">
        <f t="shared" si="3"/>
        <v>34634.14</v>
      </c>
      <c r="BJ20" s="31">
        <f t="shared" si="4"/>
        <v>391543.3</v>
      </c>
    </row>
    <row r="21" spans="3:62" x14ac:dyDescent="0.25">
      <c r="D21">
        <v>1016</v>
      </c>
      <c r="E21" t="s">
        <v>324</v>
      </c>
      <c r="F21" s="4">
        <v>0</v>
      </c>
      <c r="G21" s="4">
        <v>0</v>
      </c>
      <c r="H21" s="4">
        <v>0</v>
      </c>
      <c r="I21" s="4">
        <v>0</v>
      </c>
      <c r="J21" s="4">
        <v>0</v>
      </c>
      <c r="K21" s="4">
        <v>0</v>
      </c>
      <c r="L21" s="4">
        <v>0</v>
      </c>
      <c r="M21" s="4">
        <v>0</v>
      </c>
      <c r="N21" s="4">
        <v>0</v>
      </c>
      <c r="O21" s="4">
        <v>0</v>
      </c>
      <c r="P21" s="4">
        <v>0</v>
      </c>
      <c r="Q21" s="4">
        <v>0</v>
      </c>
      <c r="R21" s="4">
        <v>0</v>
      </c>
      <c r="S21" s="4">
        <v>0</v>
      </c>
      <c r="T21" s="4">
        <v>0</v>
      </c>
      <c r="U21" s="4">
        <v>0</v>
      </c>
      <c r="V21" s="4">
        <v>0</v>
      </c>
      <c r="W21" s="4">
        <v>0</v>
      </c>
      <c r="X21" s="4">
        <v>0</v>
      </c>
      <c r="Y21" s="4">
        <v>0</v>
      </c>
      <c r="Z21" s="4">
        <v>0</v>
      </c>
      <c r="AA21" s="4">
        <v>0</v>
      </c>
      <c r="AB21" s="4">
        <v>0</v>
      </c>
      <c r="AC21" s="4">
        <v>0</v>
      </c>
      <c r="AD21" s="4">
        <v>0</v>
      </c>
      <c r="AE21" s="4">
        <v>19963.900000000001</v>
      </c>
      <c r="AF21" s="4">
        <v>0</v>
      </c>
      <c r="AG21" s="4">
        <v>0</v>
      </c>
      <c r="AH21" s="4">
        <v>0</v>
      </c>
      <c r="AI21" s="4">
        <v>0</v>
      </c>
      <c r="AJ21" s="4">
        <v>0</v>
      </c>
      <c r="AK21" s="4">
        <v>0</v>
      </c>
      <c r="AL21" s="4">
        <v>10175.950000000001</v>
      </c>
      <c r="AM21" s="4">
        <v>0</v>
      </c>
      <c r="AN21" s="4">
        <v>0</v>
      </c>
      <c r="AO21" s="4">
        <v>0</v>
      </c>
      <c r="AP21" s="4">
        <v>0</v>
      </c>
      <c r="AQ21" s="4">
        <v>0</v>
      </c>
      <c r="AR21" s="4">
        <v>0</v>
      </c>
      <c r="AS21" s="4">
        <v>0</v>
      </c>
      <c r="AT21" s="4">
        <v>0</v>
      </c>
      <c r="AU21" s="4">
        <v>0</v>
      </c>
      <c r="AV21" s="4">
        <v>0</v>
      </c>
      <c r="AW21" s="4">
        <v>0</v>
      </c>
      <c r="AX21" s="4">
        <v>0</v>
      </c>
      <c r="AY21" s="4">
        <v>0</v>
      </c>
      <c r="AZ21" s="4">
        <v>0</v>
      </c>
      <c r="BA21" s="4">
        <v>0</v>
      </c>
      <c r="BB21" s="4">
        <v>0</v>
      </c>
      <c r="BC21" s="4">
        <v>0</v>
      </c>
      <c r="BD21" s="4">
        <v>0</v>
      </c>
      <c r="BE21" s="4">
        <v>0</v>
      </c>
      <c r="BF21" s="4">
        <v>0</v>
      </c>
      <c r="BG21" s="31">
        <f t="shared" si="6"/>
        <v>30139.850000000002</v>
      </c>
      <c r="BH21" s="31">
        <f t="shared" si="2"/>
        <v>0</v>
      </c>
      <c r="BI21" s="31">
        <f t="shared" si="3"/>
        <v>19963.900000000001</v>
      </c>
      <c r="BJ21" s="31">
        <f t="shared" si="4"/>
        <v>10175.950000000001</v>
      </c>
    </row>
    <row r="22" spans="3:62" x14ac:dyDescent="0.25">
      <c r="D22">
        <v>1019</v>
      </c>
      <c r="E22" t="s">
        <v>325</v>
      </c>
      <c r="F22" s="4">
        <v>124129.14</v>
      </c>
      <c r="G22" s="4">
        <v>0</v>
      </c>
      <c r="H22" s="4">
        <v>0</v>
      </c>
      <c r="I22" s="4">
        <v>-13731.79</v>
      </c>
      <c r="J22" s="4">
        <v>2347.5300000000002</v>
      </c>
      <c r="K22" s="4">
        <v>44757.15</v>
      </c>
      <c r="L22" s="4">
        <v>579.70000000000005</v>
      </c>
      <c r="M22" s="4">
        <v>145488.57</v>
      </c>
      <c r="N22" s="4">
        <v>607.64</v>
      </c>
      <c r="O22" s="4">
        <v>0</v>
      </c>
      <c r="P22" s="4">
        <v>70726.34</v>
      </c>
      <c r="Q22" s="4">
        <v>0</v>
      </c>
      <c r="R22" s="4">
        <v>5.95</v>
      </c>
      <c r="S22" s="4">
        <v>3.5</v>
      </c>
      <c r="T22" s="4">
        <v>0</v>
      </c>
      <c r="U22" s="4">
        <v>0</v>
      </c>
      <c r="V22" s="4">
        <v>0</v>
      </c>
      <c r="W22" s="4">
        <v>0</v>
      </c>
      <c r="X22" s="4">
        <v>141.88999999999999</v>
      </c>
      <c r="Y22" s="4">
        <v>0</v>
      </c>
      <c r="Z22" s="4">
        <v>32204.67</v>
      </c>
      <c r="AA22" s="4">
        <v>3781.15</v>
      </c>
      <c r="AB22" s="4">
        <v>9086.8700000000008</v>
      </c>
      <c r="AC22" s="4">
        <v>584</v>
      </c>
      <c r="AD22" s="4">
        <v>3005.81</v>
      </c>
      <c r="AE22" s="4">
        <v>15.96</v>
      </c>
      <c r="AF22" s="4">
        <v>339.1</v>
      </c>
      <c r="AG22" s="4">
        <v>846.8</v>
      </c>
      <c r="AH22" s="4">
        <v>2819.25</v>
      </c>
      <c r="AI22" s="4">
        <v>4939.59</v>
      </c>
      <c r="AJ22" s="4">
        <v>386.07</v>
      </c>
      <c r="AK22" s="4">
        <v>1367.65</v>
      </c>
      <c r="AL22" s="4">
        <v>0</v>
      </c>
      <c r="AM22" s="4">
        <v>60.5</v>
      </c>
      <c r="AN22" s="4">
        <v>0</v>
      </c>
      <c r="AO22" s="4">
        <v>3.5</v>
      </c>
      <c r="AP22" s="4">
        <v>458.67</v>
      </c>
      <c r="AQ22" s="4">
        <v>3.5</v>
      </c>
      <c r="AR22" s="4">
        <v>-4.2</v>
      </c>
      <c r="AS22" s="4">
        <v>66126.259999999995</v>
      </c>
      <c r="AT22" s="4">
        <v>2110.75</v>
      </c>
      <c r="AU22" s="4">
        <v>23680.92</v>
      </c>
      <c r="AV22" s="4">
        <v>31.39</v>
      </c>
      <c r="AW22" s="4">
        <v>1675.7</v>
      </c>
      <c r="AX22" s="4">
        <v>759.27</v>
      </c>
      <c r="AY22" s="4">
        <v>2.75</v>
      </c>
      <c r="AZ22" s="4">
        <v>0</v>
      </c>
      <c r="BA22" s="4">
        <v>1882.15</v>
      </c>
      <c r="BB22" s="4">
        <v>40358.04</v>
      </c>
      <c r="BC22" s="4">
        <v>579.64</v>
      </c>
      <c r="BD22" s="4">
        <v>0</v>
      </c>
      <c r="BE22" s="4">
        <v>196789.34</v>
      </c>
      <c r="BF22" s="4">
        <v>0</v>
      </c>
      <c r="BG22" s="31">
        <f t="shared" si="6"/>
        <v>768950.72000000009</v>
      </c>
      <c r="BH22" s="31">
        <f t="shared" si="2"/>
        <v>375055.62000000005</v>
      </c>
      <c r="BI22" s="31">
        <f t="shared" si="3"/>
        <v>59376.92</v>
      </c>
      <c r="BJ22" s="31">
        <f t="shared" si="4"/>
        <v>334518.18</v>
      </c>
    </row>
    <row r="23" spans="3:62" x14ac:dyDescent="0.25">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31"/>
      <c r="BH23" s="31"/>
      <c r="BI23" s="31">
        <f t="shared" si="3"/>
        <v>0</v>
      </c>
      <c r="BJ23" s="31"/>
    </row>
    <row r="24" spans="3:62" x14ac:dyDescent="0.25">
      <c r="C24" s="56">
        <v>102</v>
      </c>
      <c r="D24" s="56"/>
      <c r="E24" s="56" t="s">
        <v>243</v>
      </c>
      <c r="F24" s="57">
        <f>F25+F26+F27+F28</f>
        <v>0</v>
      </c>
      <c r="G24" s="57">
        <f t="shared" ref="G24:BF24" si="8">G25+G26+G27+G28</f>
        <v>0</v>
      </c>
      <c r="H24" s="57">
        <f t="shared" si="8"/>
        <v>0</v>
      </c>
      <c r="I24" s="57">
        <f t="shared" si="8"/>
        <v>0</v>
      </c>
      <c r="J24" s="57">
        <f>J25+J26+J27+J28</f>
        <v>0</v>
      </c>
      <c r="K24" s="57">
        <f t="shared" si="8"/>
        <v>0</v>
      </c>
      <c r="L24" s="57">
        <f t="shared" si="8"/>
        <v>0</v>
      </c>
      <c r="M24" s="57">
        <f t="shared" si="8"/>
        <v>0</v>
      </c>
      <c r="N24" s="57">
        <f t="shared" si="8"/>
        <v>0</v>
      </c>
      <c r="O24" s="57">
        <f t="shared" si="8"/>
        <v>0</v>
      </c>
      <c r="P24" s="57">
        <f t="shared" si="8"/>
        <v>0</v>
      </c>
      <c r="Q24" s="57">
        <f t="shared" si="8"/>
        <v>0</v>
      </c>
      <c r="R24" s="57">
        <f t="shared" si="8"/>
        <v>0</v>
      </c>
      <c r="S24" s="57">
        <f t="shared" si="8"/>
        <v>0</v>
      </c>
      <c r="T24" s="57">
        <f t="shared" si="8"/>
        <v>0</v>
      </c>
      <c r="U24" s="57">
        <f t="shared" si="8"/>
        <v>0</v>
      </c>
      <c r="V24" s="57">
        <f t="shared" si="8"/>
        <v>0</v>
      </c>
      <c r="W24" s="57">
        <f t="shared" si="8"/>
        <v>0</v>
      </c>
      <c r="X24" s="57">
        <f t="shared" si="8"/>
        <v>0</v>
      </c>
      <c r="Y24" s="57">
        <f t="shared" si="8"/>
        <v>0</v>
      </c>
      <c r="Z24" s="57">
        <f t="shared" si="8"/>
        <v>870298.43</v>
      </c>
      <c r="AA24" s="57">
        <f t="shared" si="8"/>
        <v>0</v>
      </c>
      <c r="AB24" s="57">
        <f t="shared" si="8"/>
        <v>0</v>
      </c>
      <c r="AC24" s="57">
        <f t="shared" si="8"/>
        <v>0</v>
      </c>
      <c r="AD24" s="57">
        <f t="shared" si="8"/>
        <v>0</v>
      </c>
      <c r="AE24" s="57">
        <f t="shared" si="8"/>
        <v>0</v>
      </c>
      <c r="AF24" s="57">
        <f t="shared" si="8"/>
        <v>0</v>
      </c>
      <c r="AG24" s="57">
        <f t="shared" si="8"/>
        <v>0</v>
      </c>
      <c r="AH24" s="57">
        <f t="shared" si="8"/>
        <v>0</v>
      </c>
      <c r="AI24" s="57">
        <f t="shared" si="8"/>
        <v>0</v>
      </c>
      <c r="AJ24" s="57">
        <f t="shared" si="8"/>
        <v>0</v>
      </c>
      <c r="AK24" s="57">
        <f t="shared" si="8"/>
        <v>0</v>
      </c>
      <c r="AL24" s="57">
        <f t="shared" si="8"/>
        <v>0</v>
      </c>
      <c r="AM24" s="57">
        <f t="shared" si="8"/>
        <v>0</v>
      </c>
      <c r="AN24" s="57">
        <f t="shared" si="8"/>
        <v>0</v>
      </c>
      <c r="AO24" s="57">
        <f t="shared" si="8"/>
        <v>0</v>
      </c>
      <c r="AP24" s="57">
        <f t="shared" si="8"/>
        <v>0</v>
      </c>
      <c r="AQ24" s="57">
        <f t="shared" si="8"/>
        <v>0</v>
      </c>
      <c r="AR24" s="57">
        <f t="shared" si="8"/>
        <v>0</v>
      </c>
      <c r="AS24" s="57">
        <f t="shared" si="8"/>
        <v>0</v>
      </c>
      <c r="AT24" s="57">
        <f t="shared" si="8"/>
        <v>0</v>
      </c>
      <c r="AU24" s="57">
        <f t="shared" si="8"/>
        <v>0</v>
      </c>
      <c r="AV24" s="57">
        <f t="shared" si="8"/>
        <v>0</v>
      </c>
      <c r="AW24" s="57">
        <f t="shared" si="8"/>
        <v>0</v>
      </c>
      <c r="AX24" s="57">
        <f t="shared" si="8"/>
        <v>0</v>
      </c>
      <c r="AY24" s="57">
        <f t="shared" si="8"/>
        <v>0</v>
      </c>
      <c r="AZ24" s="57">
        <f t="shared" si="8"/>
        <v>0</v>
      </c>
      <c r="BA24" s="57">
        <f t="shared" si="8"/>
        <v>0</v>
      </c>
      <c r="BB24" s="57">
        <f t="shared" si="8"/>
        <v>0</v>
      </c>
      <c r="BC24" s="57">
        <f t="shared" si="8"/>
        <v>0</v>
      </c>
      <c r="BD24" s="57">
        <f t="shared" si="8"/>
        <v>0</v>
      </c>
      <c r="BE24" s="57">
        <f t="shared" si="8"/>
        <v>0</v>
      </c>
      <c r="BF24" s="57">
        <f t="shared" si="8"/>
        <v>0</v>
      </c>
      <c r="BG24" s="57">
        <f t="shared" si="6"/>
        <v>870298.43</v>
      </c>
      <c r="BH24" s="57">
        <f t="shared" si="2"/>
        <v>0</v>
      </c>
      <c r="BI24" s="57">
        <f t="shared" si="3"/>
        <v>870298.43</v>
      </c>
      <c r="BJ24" s="57">
        <f t="shared" si="4"/>
        <v>0</v>
      </c>
    </row>
    <row r="25" spans="3:62" x14ac:dyDescent="0.25">
      <c r="D25">
        <v>1020</v>
      </c>
      <c r="E25" t="s">
        <v>326</v>
      </c>
      <c r="F25" s="4">
        <v>0</v>
      </c>
      <c r="G25" s="4">
        <v>0</v>
      </c>
      <c r="H25" s="4">
        <v>0</v>
      </c>
      <c r="I25" s="4">
        <v>0</v>
      </c>
      <c r="J25" s="4">
        <v>0</v>
      </c>
      <c r="K25" s="4">
        <v>0</v>
      </c>
      <c r="L25" s="4">
        <v>0</v>
      </c>
      <c r="M25" s="4">
        <v>0</v>
      </c>
      <c r="N25" s="4">
        <v>0</v>
      </c>
      <c r="O25" s="4">
        <v>0</v>
      </c>
      <c r="P25" s="4">
        <v>0</v>
      </c>
      <c r="Q25" s="4">
        <v>0</v>
      </c>
      <c r="R25" s="4">
        <v>0</v>
      </c>
      <c r="S25" s="4">
        <v>0</v>
      </c>
      <c r="T25" s="4">
        <v>0</v>
      </c>
      <c r="U25" s="4">
        <v>0</v>
      </c>
      <c r="V25" s="4">
        <v>0</v>
      </c>
      <c r="W25" s="4">
        <v>0</v>
      </c>
      <c r="X25" s="4">
        <v>0</v>
      </c>
      <c r="Y25" s="4">
        <v>0</v>
      </c>
      <c r="Z25" s="4">
        <v>868298.43</v>
      </c>
      <c r="AA25" s="4">
        <v>0</v>
      </c>
      <c r="AB25" s="4">
        <v>0</v>
      </c>
      <c r="AC25" s="4">
        <v>0</v>
      </c>
      <c r="AD25" s="4">
        <v>0</v>
      </c>
      <c r="AE25" s="4">
        <v>0</v>
      </c>
      <c r="AF25" s="4">
        <v>0</v>
      </c>
      <c r="AG25" s="4">
        <v>0</v>
      </c>
      <c r="AH25" s="4">
        <v>0</v>
      </c>
      <c r="AI25" s="4">
        <v>0</v>
      </c>
      <c r="AJ25" s="4">
        <v>0</v>
      </c>
      <c r="AK25" s="4">
        <v>0</v>
      </c>
      <c r="AL25" s="4">
        <v>0</v>
      </c>
      <c r="AM25" s="4">
        <v>0</v>
      </c>
      <c r="AN25" s="4">
        <v>0</v>
      </c>
      <c r="AO25" s="4">
        <v>0</v>
      </c>
      <c r="AP25" s="4">
        <v>0</v>
      </c>
      <c r="AQ25" s="4">
        <v>0</v>
      </c>
      <c r="AR25" s="4">
        <v>0</v>
      </c>
      <c r="AS25" s="4">
        <v>0</v>
      </c>
      <c r="AT25" s="4">
        <v>0</v>
      </c>
      <c r="AU25" s="4">
        <v>0</v>
      </c>
      <c r="AV25" s="4">
        <v>0</v>
      </c>
      <c r="AW25" s="4">
        <v>0</v>
      </c>
      <c r="AX25" s="4">
        <v>0</v>
      </c>
      <c r="AY25" s="4">
        <v>0</v>
      </c>
      <c r="AZ25" s="4">
        <v>0</v>
      </c>
      <c r="BA25" s="4">
        <v>0</v>
      </c>
      <c r="BB25" s="4">
        <v>0</v>
      </c>
      <c r="BC25" s="4">
        <v>0</v>
      </c>
      <c r="BD25" s="4">
        <v>0</v>
      </c>
      <c r="BE25" s="4">
        <v>0</v>
      </c>
      <c r="BF25" s="4">
        <v>0</v>
      </c>
      <c r="BG25" s="31">
        <f t="shared" si="6"/>
        <v>868298.43</v>
      </c>
      <c r="BH25" s="31">
        <f t="shared" si="2"/>
        <v>0</v>
      </c>
      <c r="BI25" s="31">
        <f t="shared" si="3"/>
        <v>868298.43</v>
      </c>
      <c r="BJ25" s="31">
        <f t="shared" si="4"/>
        <v>0</v>
      </c>
    </row>
    <row r="26" spans="3:62" x14ac:dyDescent="0.25">
      <c r="D26">
        <v>1022</v>
      </c>
      <c r="E26" t="s">
        <v>327</v>
      </c>
      <c r="F26" s="4">
        <v>0</v>
      </c>
      <c r="G26" s="4">
        <v>0</v>
      </c>
      <c r="H26" s="4">
        <v>0</v>
      </c>
      <c r="I26" s="4">
        <v>0</v>
      </c>
      <c r="J26" s="4">
        <v>0</v>
      </c>
      <c r="K26" s="4">
        <v>0</v>
      </c>
      <c r="L26" s="4">
        <v>0</v>
      </c>
      <c r="M26" s="4">
        <v>0</v>
      </c>
      <c r="N26" s="4">
        <v>0</v>
      </c>
      <c r="O26" s="4">
        <v>0</v>
      </c>
      <c r="P26" s="4">
        <v>0</v>
      </c>
      <c r="Q26" s="4">
        <v>0</v>
      </c>
      <c r="R26" s="4">
        <v>0</v>
      </c>
      <c r="S26" s="4">
        <v>0</v>
      </c>
      <c r="T26" s="4">
        <v>0</v>
      </c>
      <c r="U26" s="4">
        <v>0</v>
      </c>
      <c r="V26" s="4">
        <v>0</v>
      </c>
      <c r="W26" s="4">
        <v>0</v>
      </c>
      <c r="X26" s="4">
        <v>0</v>
      </c>
      <c r="Y26" s="4">
        <v>0</v>
      </c>
      <c r="Z26" s="4">
        <v>0</v>
      </c>
      <c r="AA26" s="4">
        <v>0</v>
      </c>
      <c r="AB26" s="4">
        <v>0</v>
      </c>
      <c r="AC26" s="4">
        <v>0</v>
      </c>
      <c r="AD26" s="4">
        <v>0</v>
      </c>
      <c r="AE26" s="4">
        <v>0</v>
      </c>
      <c r="AF26" s="4">
        <v>0</v>
      </c>
      <c r="AG26" s="4">
        <v>0</v>
      </c>
      <c r="AH26" s="4">
        <v>0</v>
      </c>
      <c r="AI26" s="4">
        <v>0</v>
      </c>
      <c r="AJ26" s="4">
        <v>0</v>
      </c>
      <c r="AK26" s="4">
        <v>0</v>
      </c>
      <c r="AL26" s="4">
        <v>0</v>
      </c>
      <c r="AM26" s="4">
        <v>0</v>
      </c>
      <c r="AN26" s="4">
        <v>0</v>
      </c>
      <c r="AO26" s="4">
        <v>0</v>
      </c>
      <c r="AP26" s="4">
        <v>0</v>
      </c>
      <c r="AQ26" s="4">
        <v>0</v>
      </c>
      <c r="AR26" s="4">
        <v>0</v>
      </c>
      <c r="AS26" s="4">
        <v>0</v>
      </c>
      <c r="AT26" s="4">
        <v>0</v>
      </c>
      <c r="AU26" s="4">
        <v>0</v>
      </c>
      <c r="AV26" s="4">
        <v>0</v>
      </c>
      <c r="AW26" s="4">
        <v>0</v>
      </c>
      <c r="AX26" s="4">
        <v>0</v>
      </c>
      <c r="AY26" s="4">
        <v>0</v>
      </c>
      <c r="AZ26" s="4">
        <v>0</v>
      </c>
      <c r="BA26" s="4">
        <v>0</v>
      </c>
      <c r="BB26" s="4">
        <v>0</v>
      </c>
      <c r="BC26" s="4">
        <v>0</v>
      </c>
      <c r="BD26" s="4">
        <v>0</v>
      </c>
      <c r="BE26" s="4">
        <v>0</v>
      </c>
      <c r="BF26" s="4">
        <v>0</v>
      </c>
      <c r="BG26" s="31">
        <f t="shared" si="6"/>
        <v>0</v>
      </c>
      <c r="BH26" s="31">
        <f t="shared" si="2"/>
        <v>0</v>
      </c>
      <c r="BI26" s="31">
        <f t="shared" si="3"/>
        <v>0</v>
      </c>
      <c r="BJ26" s="31">
        <f t="shared" si="4"/>
        <v>0</v>
      </c>
    </row>
    <row r="27" spans="3:62" x14ac:dyDescent="0.25">
      <c r="D27">
        <v>1023</v>
      </c>
      <c r="E27" t="s">
        <v>328</v>
      </c>
      <c r="F27" s="4">
        <v>0</v>
      </c>
      <c r="G27" s="4">
        <v>0</v>
      </c>
      <c r="H27" s="4">
        <v>0</v>
      </c>
      <c r="I27" s="4">
        <v>0</v>
      </c>
      <c r="J27" s="4">
        <v>0</v>
      </c>
      <c r="K27" s="4">
        <v>0</v>
      </c>
      <c r="L27" s="4">
        <v>0</v>
      </c>
      <c r="M27" s="4">
        <v>0</v>
      </c>
      <c r="N27" s="4">
        <v>0</v>
      </c>
      <c r="O27" s="4">
        <v>0</v>
      </c>
      <c r="P27" s="4">
        <v>0</v>
      </c>
      <c r="Q27" s="4">
        <v>0</v>
      </c>
      <c r="R27" s="4">
        <v>0</v>
      </c>
      <c r="S27" s="4">
        <v>0</v>
      </c>
      <c r="T27" s="4">
        <v>0</v>
      </c>
      <c r="U27" s="4">
        <v>0</v>
      </c>
      <c r="V27" s="4">
        <v>0</v>
      </c>
      <c r="W27" s="4">
        <v>0</v>
      </c>
      <c r="X27" s="4">
        <v>0</v>
      </c>
      <c r="Y27" s="4">
        <v>0</v>
      </c>
      <c r="Z27" s="4">
        <v>0</v>
      </c>
      <c r="AA27" s="4">
        <v>0</v>
      </c>
      <c r="AB27" s="4">
        <v>0</v>
      </c>
      <c r="AC27" s="4">
        <v>0</v>
      </c>
      <c r="AD27" s="4">
        <v>0</v>
      </c>
      <c r="AE27" s="4">
        <v>0</v>
      </c>
      <c r="AF27" s="4">
        <v>0</v>
      </c>
      <c r="AG27" s="4">
        <v>0</v>
      </c>
      <c r="AH27" s="4">
        <v>0</v>
      </c>
      <c r="AI27" s="4">
        <v>0</v>
      </c>
      <c r="AJ27" s="4">
        <v>0</v>
      </c>
      <c r="AK27" s="4">
        <v>0</v>
      </c>
      <c r="AL27" s="4">
        <v>0</v>
      </c>
      <c r="AM27" s="4">
        <v>0</v>
      </c>
      <c r="AN27" s="4">
        <v>0</v>
      </c>
      <c r="AO27" s="4">
        <v>0</v>
      </c>
      <c r="AP27" s="4">
        <v>0</v>
      </c>
      <c r="AQ27" s="4">
        <v>0</v>
      </c>
      <c r="AR27" s="4">
        <v>0</v>
      </c>
      <c r="AS27" s="4">
        <v>0</v>
      </c>
      <c r="AT27" s="4">
        <v>0</v>
      </c>
      <c r="AU27" s="4">
        <v>0</v>
      </c>
      <c r="AV27" s="4">
        <v>0</v>
      </c>
      <c r="AW27" s="4">
        <v>0</v>
      </c>
      <c r="AX27" s="4">
        <v>0</v>
      </c>
      <c r="AY27" s="4">
        <v>0</v>
      </c>
      <c r="AZ27" s="4">
        <v>0</v>
      </c>
      <c r="BA27" s="4">
        <v>0</v>
      </c>
      <c r="BB27" s="4">
        <v>0</v>
      </c>
      <c r="BC27" s="4">
        <v>0</v>
      </c>
      <c r="BD27" s="4">
        <v>0</v>
      </c>
      <c r="BE27" s="4">
        <v>0</v>
      </c>
      <c r="BF27" s="4">
        <v>0</v>
      </c>
      <c r="BG27" s="31">
        <f t="shared" si="6"/>
        <v>0</v>
      </c>
      <c r="BH27" s="31">
        <f t="shared" si="2"/>
        <v>0</v>
      </c>
      <c r="BI27" s="31">
        <f t="shared" si="3"/>
        <v>0</v>
      </c>
      <c r="BJ27" s="31">
        <f t="shared" si="4"/>
        <v>0</v>
      </c>
    </row>
    <row r="28" spans="3:62" x14ac:dyDescent="0.25">
      <c r="D28">
        <v>1029</v>
      </c>
      <c r="E28" t="s">
        <v>329</v>
      </c>
      <c r="F28" s="4">
        <v>0</v>
      </c>
      <c r="G28" s="4">
        <v>0</v>
      </c>
      <c r="H28" s="4">
        <v>0</v>
      </c>
      <c r="I28" s="4">
        <v>0</v>
      </c>
      <c r="J28" s="4">
        <v>0</v>
      </c>
      <c r="K28" s="4">
        <v>0</v>
      </c>
      <c r="L28" s="4">
        <v>0</v>
      </c>
      <c r="M28" s="4">
        <v>0</v>
      </c>
      <c r="N28" s="4">
        <v>0</v>
      </c>
      <c r="O28" s="4">
        <v>0</v>
      </c>
      <c r="P28" s="4">
        <v>0</v>
      </c>
      <c r="Q28" s="4">
        <v>0</v>
      </c>
      <c r="R28" s="4">
        <v>0</v>
      </c>
      <c r="S28" s="4">
        <v>0</v>
      </c>
      <c r="T28" s="4">
        <v>0</v>
      </c>
      <c r="U28" s="4">
        <v>0</v>
      </c>
      <c r="V28" s="4">
        <v>0</v>
      </c>
      <c r="W28" s="4">
        <v>0</v>
      </c>
      <c r="X28" s="4">
        <v>0</v>
      </c>
      <c r="Y28" s="4">
        <v>0</v>
      </c>
      <c r="Z28" s="4">
        <v>2000</v>
      </c>
      <c r="AA28" s="4">
        <v>0</v>
      </c>
      <c r="AB28" s="4">
        <v>0</v>
      </c>
      <c r="AC28" s="4">
        <v>0</v>
      </c>
      <c r="AD28" s="4">
        <v>0</v>
      </c>
      <c r="AE28" s="4">
        <v>0</v>
      </c>
      <c r="AF28" s="4">
        <v>0</v>
      </c>
      <c r="AG28" s="4">
        <v>0</v>
      </c>
      <c r="AH28" s="4">
        <v>0</v>
      </c>
      <c r="AI28" s="4">
        <v>0</v>
      </c>
      <c r="AJ28" s="4">
        <v>0</v>
      </c>
      <c r="AK28" s="4">
        <v>0</v>
      </c>
      <c r="AL28" s="4">
        <v>0</v>
      </c>
      <c r="AM28" s="4">
        <v>0</v>
      </c>
      <c r="AN28" s="4">
        <v>0</v>
      </c>
      <c r="AO28" s="4">
        <v>0</v>
      </c>
      <c r="AP28" s="4">
        <v>0</v>
      </c>
      <c r="AQ28" s="4">
        <v>0</v>
      </c>
      <c r="AR28" s="4">
        <v>0</v>
      </c>
      <c r="AS28" s="4">
        <v>0</v>
      </c>
      <c r="AT28" s="4">
        <v>0</v>
      </c>
      <c r="AU28" s="4">
        <v>0</v>
      </c>
      <c r="AV28" s="4">
        <v>0</v>
      </c>
      <c r="AW28" s="4">
        <v>0</v>
      </c>
      <c r="AX28" s="4">
        <v>0</v>
      </c>
      <c r="AY28" s="4">
        <v>0</v>
      </c>
      <c r="AZ28" s="4">
        <v>0</v>
      </c>
      <c r="BA28" s="4">
        <v>0</v>
      </c>
      <c r="BB28" s="4">
        <v>0</v>
      </c>
      <c r="BC28" s="4">
        <v>0</v>
      </c>
      <c r="BD28" s="4">
        <v>0</v>
      </c>
      <c r="BE28" s="4">
        <v>0</v>
      </c>
      <c r="BF28" s="4">
        <v>0</v>
      </c>
      <c r="BG28" s="31">
        <f t="shared" si="6"/>
        <v>2000</v>
      </c>
      <c r="BH28" s="31">
        <f t="shared" si="2"/>
        <v>0</v>
      </c>
      <c r="BI28" s="31">
        <f t="shared" si="3"/>
        <v>2000</v>
      </c>
      <c r="BJ28" s="31">
        <f t="shared" si="4"/>
        <v>0</v>
      </c>
    </row>
    <row r="29" spans="3:62" x14ac:dyDescent="0.25">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31"/>
      <c r="BH29" s="31"/>
      <c r="BI29" s="31"/>
      <c r="BJ29" s="31"/>
    </row>
    <row r="30" spans="3:62" x14ac:dyDescent="0.25">
      <c r="C30" s="56">
        <v>104</v>
      </c>
      <c r="D30" s="56"/>
      <c r="E30" s="56" t="s">
        <v>244</v>
      </c>
      <c r="F30" s="57">
        <f>F31+F32+F33+F34+F35+F36+F37+F38</f>
        <v>201236.19000000003</v>
      </c>
      <c r="G30" s="57">
        <f t="shared" ref="G30:BF30" si="9">G31+G32+G33+G34+G35+G36+G37+G38</f>
        <v>59735.76</v>
      </c>
      <c r="H30" s="57">
        <f t="shared" si="9"/>
        <v>997231.17</v>
      </c>
      <c r="I30" s="57">
        <f t="shared" si="9"/>
        <v>93910.13</v>
      </c>
      <c r="J30" s="57">
        <f t="shared" si="9"/>
        <v>2344663.4899999998</v>
      </c>
      <c r="K30" s="57">
        <f t="shared" si="9"/>
        <v>2293000.21</v>
      </c>
      <c r="L30" s="57">
        <f t="shared" si="9"/>
        <v>401740.55</v>
      </c>
      <c r="M30" s="57">
        <f t="shared" si="9"/>
        <v>6589497.6200000001</v>
      </c>
      <c r="N30" s="57">
        <f t="shared" si="9"/>
        <v>750960.63</v>
      </c>
      <c r="O30" s="57">
        <f t="shared" si="9"/>
        <v>66570.720000000001</v>
      </c>
      <c r="P30" s="57">
        <f t="shared" si="9"/>
        <v>1511145.43</v>
      </c>
      <c r="Q30" s="57">
        <f t="shared" si="9"/>
        <v>-13430.35</v>
      </c>
      <c r="R30" s="57">
        <f t="shared" si="9"/>
        <v>21015.24</v>
      </c>
      <c r="S30" s="57">
        <f t="shared" si="9"/>
        <v>26502.600000000002</v>
      </c>
      <c r="T30" s="57">
        <f t="shared" si="9"/>
        <v>112837.05</v>
      </c>
      <c r="U30" s="57">
        <f t="shared" si="9"/>
        <v>69361.7</v>
      </c>
      <c r="V30" s="57">
        <f t="shared" si="9"/>
        <v>34473.449999999997</v>
      </c>
      <c r="W30" s="57">
        <f t="shared" si="9"/>
        <v>437892.33</v>
      </c>
      <c r="X30" s="57">
        <f t="shared" si="9"/>
        <v>704296.98</v>
      </c>
      <c r="Y30" s="57">
        <f t="shared" si="9"/>
        <v>135595.99</v>
      </c>
      <c r="Z30" s="57">
        <f t="shared" si="9"/>
        <v>332025.37</v>
      </c>
      <c r="AA30" s="57">
        <f t="shared" si="9"/>
        <v>853733.95</v>
      </c>
      <c r="AB30" s="57">
        <f t="shared" si="9"/>
        <v>68645.539999999994</v>
      </c>
      <c r="AC30" s="57">
        <f t="shared" si="9"/>
        <v>19418.05</v>
      </c>
      <c r="AD30" s="57">
        <f t="shared" si="9"/>
        <v>34136.699999999997</v>
      </c>
      <c r="AE30" s="57">
        <f t="shared" si="9"/>
        <v>163025.15</v>
      </c>
      <c r="AF30" s="57">
        <f t="shared" si="9"/>
        <v>120928.5</v>
      </c>
      <c r="AG30" s="57">
        <f t="shared" si="9"/>
        <v>106382.35</v>
      </c>
      <c r="AH30" s="57">
        <f t="shared" si="9"/>
        <v>650724.59000000008</v>
      </c>
      <c r="AI30" s="57">
        <f t="shared" si="9"/>
        <v>929778.26</v>
      </c>
      <c r="AJ30" s="57">
        <f t="shared" si="9"/>
        <v>20043.68</v>
      </c>
      <c r="AK30" s="57">
        <f t="shared" si="9"/>
        <v>4474.05</v>
      </c>
      <c r="AL30" s="57">
        <f t="shared" si="9"/>
        <v>732577.51</v>
      </c>
      <c r="AM30" s="57">
        <f t="shared" si="9"/>
        <v>345359.52</v>
      </c>
      <c r="AN30" s="57">
        <f t="shared" si="9"/>
        <v>657311.57000000007</v>
      </c>
      <c r="AO30" s="57">
        <f t="shared" si="9"/>
        <v>56581.88</v>
      </c>
      <c r="AP30" s="57">
        <f t="shared" si="9"/>
        <v>460565.13</v>
      </c>
      <c r="AQ30" s="57">
        <f t="shared" si="9"/>
        <v>670826.10000000009</v>
      </c>
      <c r="AR30" s="57">
        <f t="shared" si="9"/>
        <v>216341.76000000001</v>
      </c>
      <c r="AS30" s="57">
        <f t="shared" si="9"/>
        <v>592362.59000000008</v>
      </c>
      <c r="AT30" s="57">
        <f t="shared" si="9"/>
        <v>26454.35</v>
      </c>
      <c r="AU30" s="57">
        <f t="shared" si="9"/>
        <v>331069.53999999998</v>
      </c>
      <c r="AV30" s="57">
        <f t="shared" si="9"/>
        <v>381482.53</v>
      </c>
      <c r="AW30" s="57">
        <f t="shared" si="9"/>
        <v>589909.60000000009</v>
      </c>
      <c r="AX30" s="57">
        <f t="shared" si="9"/>
        <v>126164.38</v>
      </c>
      <c r="AY30" s="57">
        <f t="shared" si="9"/>
        <v>16303.29</v>
      </c>
      <c r="AZ30" s="57">
        <f t="shared" si="9"/>
        <v>353631.85</v>
      </c>
      <c r="BA30" s="57">
        <f t="shared" si="9"/>
        <v>461292.5</v>
      </c>
      <c r="BB30" s="57">
        <f t="shared" si="9"/>
        <v>586650.25</v>
      </c>
      <c r="BC30" s="57">
        <f t="shared" si="9"/>
        <v>154798.39999999999</v>
      </c>
      <c r="BD30" s="57">
        <f t="shared" si="9"/>
        <v>2853.58</v>
      </c>
      <c r="BE30" s="57">
        <f t="shared" si="9"/>
        <v>2198853.5300000003</v>
      </c>
      <c r="BF30" s="57">
        <f t="shared" si="9"/>
        <v>154102.47</v>
      </c>
      <c r="BG30" s="57">
        <f t="shared" si="6"/>
        <v>29257045.410000004</v>
      </c>
      <c r="BH30" s="57">
        <f t="shared" si="2"/>
        <v>16702640.9</v>
      </c>
      <c r="BI30" s="57">
        <f t="shared" si="3"/>
        <v>3438912.18</v>
      </c>
      <c r="BJ30" s="57">
        <f t="shared" si="4"/>
        <v>9115492.3300000001</v>
      </c>
    </row>
    <row r="31" spans="3:62" x14ac:dyDescent="0.25">
      <c r="D31">
        <v>1040</v>
      </c>
      <c r="E31" t="s">
        <v>61</v>
      </c>
      <c r="F31" s="4">
        <v>0</v>
      </c>
      <c r="G31" s="4">
        <v>0</v>
      </c>
      <c r="H31" s="4">
        <v>0</v>
      </c>
      <c r="I31" s="4">
        <v>0</v>
      </c>
      <c r="J31" s="4">
        <v>0</v>
      </c>
      <c r="K31" s="4">
        <v>0</v>
      </c>
      <c r="L31" s="4">
        <v>0</v>
      </c>
      <c r="M31" s="4">
        <v>0</v>
      </c>
      <c r="N31" s="4">
        <v>0</v>
      </c>
      <c r="O31" s="4">
        <v>0</v>
      </c>
      <c r="P31" s="4">
        <v>0</v>
      </c>
      <c r="Q31" s="4">
        <v>0</v>
      </c>
      <c r="R31" s="4">
        <v>0</v>
      </c>
      <c r="S31" s="4">
        <v>0</v>
      </c>
      <c r="T31" s="4">
        <v>0</v>
      </c>
      <c r="U31" s="4">
        <v>-5550.3</v>
      </c>
      <c r="V31" s="4">
        <v>250</v>
      </c>
      <c r="W31" s="4">
        <v>-2875.5</v>
      </c>
      <c r="X31" s="4">
        <v>0</v>
      </c>
      <c r="Y31" s="4">
        <v>4775.95</v>
      </c>
      <c r="Z31" s="4">
        <v>0</v>
      </c>
      <c r="AA31" s="4">
        <v>0</v>
      </c>
      <c r="AB31" s="4">
        <v>0</v>
      </c>
      <c r="AC31" s="4">
        <v>0</v>
      </c>
      <c r="AD31" s="4">
        <v>0</v>
      </c>
      <c r="AE31" s="4">
        <v>69714.460000000006</v>
      </c>
      <c r="AF31" s="4">
        <v>0</v>
      </c>
      <c r="AG31" s="4">
        <v>0</v>
      </c>
      <c r="AH31" s="4">
        <v>0</v>
      </c>
      <c r="AI31" s="4">
        <v>26062.35</v>
      </c>
      <c r="AJ31" s="4">
        <v>0</v>
      </c>
      <c r="AK31" s="4">
        <v>0</v>
      </c>
      <c r="AL31" s="4">
        <v>0</v>
      </c>
      <c r="AM31" s="4">
        <v>0</v>
      </c>
      <c r="AN31" s="4">
        <v>0</v>
      </c>
      <c r="AO31" s="4">
        <v>0</v>
      </c>
      <c r="AP31" s="4">
        <v>0</v>
      </c>
      <c r="AQ31" s="4">
        <v>0</v>
      </c>
      <c r="AR31" s="4">
        <v>0</v>
      </c>
      <c r="AS31" s="4">
        <v>0</v>
      </c>
      <c r="AT31" s="4">
        <v>0</v>
      </c>
      <c r="AU31" s="4">
        <v>0</v>
      </c>
      <c r="AV31" s="4">
        <v>0</v>
      </c>
      <c r="AW31" s="4">
        <v>0</v>
      </c>
      <c r="AX31" s="4">
        <v>0</v>
      </c>
      <c r="AY31" s="4">
        <v>0</v>
      </c>
      <c r="AZ31" s="4">
        <v>0</v>
      </c>
      <c r="BA31" s="4">
        <v>0</v>
      </c>
      <c r="BB31" s="4">
        <v>0</v>
      </c>
      <c r="BC31" s="4">
        <v>0</v>
      </c>
      <c r="BD31" s="4">
        <v>0</v>
      </c>
      <c r="BE31" s="4">
        <v>44311.16</v>
      </c>
      <c r="BF31" s="4">
        <v>0</v>
      </c>
      <c r="BG31" s="31">
        <f t="shared" si="6"/>
        <v>136688.12</v>
      </c>
      <c r="BH31" s="31">
        <f t="shared" si="2"/>
        <v>-8175.8</v>
      </c>
      <c r="BI31" s="31">
        <f t="shared" si="3"/>
        <v>100552.76000000001</v>
      </c>
      <c r="BJ31" s="31">
        <f t="shared" si="4"/>
        <v>44311.16</v>
      </c>
    </row>
    <row r="32" spans="3:62" x14ac:dyDescent="0.25">
      <c r="D32">
        <v>1041</v>
      </c>
      <c r="E32" t="s">
        <v>330</v>
      </c>
      <c r="F32" s="4">
        <v>178325.95</v>
      </c>
      <c r="G32" s="4">
        <v>44080.86</v>
      </c>
      <c r="H32" s="4">
        <v>24052.22</v>
      </c>
      <c r="I32" s="4">
        <v>93900.05</v>
      </c>
      <c r="J32" s="4">
        <v>105517.1</v>
      </c>
      <c r="K32" s="4">
        <v>384559.4</v>
      </c>
      <c r="L32" s="4">
        <v>401740.55</v>
      </c>
      <c r="M32" s="4">
        <v>6589497.6200000001</v>
      </c>
      <c r="N32" s="4">
        <v>230296.27</v>
      </c>
      <c r="O32" s="4">
        <v>26570.720000000001</v>
      </c>
      <c r="P32" s="4">
        <v>194831.71</v>
      </c>
      <c r="Q32" s="4">
        <v>-13430.35</v>
      </c>
      <c r="R32" s="4">
        <v>21015.24</v>
      </c>
      <c r="S32" s="4">
        <v>26254.9</v>
      </c>
      <c r="T32" s="4">
        <v>112837.05</v>
      </c>
      <c r="U32" s="4">
        <v>74912</v>
      </c>
      <c r="V32" s="4">
        <v>2997.5</v>
      </c>
      <c r="W32" s="4">
        <v>138780.79999999999</v>
      </c>
      <c r="X32" s="4">
        <v>168682.12</v>
      </c>
      <c r="Y32" s="4">
        <v>27.3</v>
      </c>
      <c r="Z32" s="4">
        <v>130607.11</v>
      </c>
      <c r="AA32" s="4">
        <v>853733.95</v>
      </c>
      <c r="AB32" s="4">
        <v>68645.539999999994</v>
      </c>
      <c r="AC32" s="4">
        <v>1428.45</v>
      </c>
      <c r="AD32" s="4">
        <v>26666.25</v>
      </c>
      <c r="AE32" s="4">
        <v>1087.29</v>
      </c>
      <c r="AF32" s="4">
        <v>97779.3</v>
      </c>
      <c r="AG32" s="4">
        <v>104181.8</v>
      </c>
      <c r="AH32" s="4">
        <v>415829.59</v>
      </c>
      <c r="AI32" s="4">
        <v>7313.3</v>
      </c>
      <c r="AJ32" s="4">
        <v>3487.25</v>
      </c>
      <c r="AK32" s="4">
        <v>2877.4</v>
      </c>
      <c r="AL32" s="4">
        <v>0</v>
      </c>
      <c r="AM32" s="4">
        <v>345359.52</v>
      </c>
      <c r="AN32" s="4">
        <v>279394.38</v>
      </c>
      <c r="AO32" s="4">
        <v>18415.43</v>
      </c>
      <c r="AP32" s="4">
        <v>182155.3</v>
      </c>
      <c r="AQ32" s="4">
        <v>670729.05000000005</v>
      </c>
      <c r="AR32" s="4">
        <v>128725.15</v>
      </c>
      <c r="AS32" s="4">
        <v>0</v>
      </c>
      <c r="AT32" s="4">
        <v>26454.35</v>
      </c>
      <c r="AU32" s="4">
        <v>13332.05</v>
      </c>
      <c r="AV32" s="4">
        <v>28338.58</v>
      </c>
      <c r="AW32" s="4">
        <v>187783.51</v>
      </c>
      <c r="AX32" s="4">
        <v>126164.38</v>
      </c>
      <c r="AY32" s="4">
        <v>16303.29</v>
      </c>
      <c r="AZ32" s="4">
        <v>0</v>
      </c>
      <c r="BA32" s="4">
        <v>461292.5</v>
      </c>
      <c r="BB32" s="4">
        <v>259211.85</v>
      </c>
      <c r="BC32" s="4">
        <v>154798.39999999999</v>
      </c>
      <c r="BD32" s="4">
        <v>2853.58</v>
      </c>
      <c r="BE32" s="4">
        <v>786329.57</v>
      </c>
      <c r="BF32" s="4">
        <v>3409.8</v>
      </c>
      <c r="BG32" s="31">
        <f t="shared" si="6"/>
        <v>14210136.930000003</v>
      </c>
      <c r="BH32" s="31">
        <f t="shared" si="2"/>
        <v>8805421.7100000009</v>
      </c>
      <c r="BI32" s="31">
        <f t="shared" si="3"/>
        <v>1713664.53</v>
      </c>
      <c r="BJ32" s="31">
        <f t="shared" si="4"/>
        <v>3691050.69</v>
      </c>
    </row>
    <row r="33" spans="3:62" x14ac:dyDescent="0.25">
      <c r="D33">
        <v>1042</v>
      </c>
      <c r="E33" t="s">
        <v>331</v>
      </c>
      <c r="F33" s="4">
        <v>22910.2</v>
      </c>
      <c r="G33" s="4">
        <v>12336.55</v>
      </c>
      <c r="H33" s="4">
        <v>46986.39</v>
      </c>
      <c r="I33" s="4">
        <v>0</v>
      </c>
      <c r="J33" s="4">
        <v>52200.05</v>
      </c>
      <c r="K33" s="4">
        <v>621236.81000000006</v>
      </c>
      <c r="L33" s="4">
        <v>0</v>
      </c>
      <c r="M33" s="4">
        <v>0</v>
      </c>
      <c r="N33" s="4">
        <v>33397.85</v>
      </c>
      <c r="O33" s="4">
        <v>0</v>
      </c>
      <c r="P33" s="4">
        <v>1083905.32</v>
      </c>
      <c r="Q33" s="4">
        <v>0</v>
      </c>
      <c r="R33" s="4">
        <v>0</v>
      </c>
      <c r="S33" s="4">
        <v>247.7</v>
      </c>
      <c r="T33" s="4">
        <v>0</v>
      </c>
      <c r="U33" s="4">
        <v>0</v>
      </c>
      <c r="V33" s="4">
        <v>0</v>
      </c>
      <c r="W33" s="4">
        <v>1605.7</v>
      </c>
      <c r="X33" s="4">
        <v>417673.26</v>
      </c>
      <c r="Y33" s="4">
        <v>67442.34</v>
      </c>
      <c r="Z33" s="4">
        <v>267063.7</v>
      </c>
      <c r="AA33" s="4">
        <v>0</v>
      </c>
      <c r="AB33" s="4">
        <v>0</v>
      </c>
      <c r="AC33" s="4">
        <v>17989.599999999999</v>
      </c>
      <c r="AD33" s="4">
        <v>7470.45</v>
      </c>
      <c r="AE33" s="4">
        <v>14568.5</v>
      </c>
      <c r="AF33" s="4">
        <v>23149.200000000001</v>
      </c>
      <c r="AG33" s="4">
        <v>0</v>
      </c>
      <c r="AH33" s="4">
        <v>0</v>
      </c>
      <c r="AI33" s="4">
        <v>674798.89</v>
      </c>
      <c r="AJ33" s="4">
        <v>16556.43</v>
      </c>
      <c r="AK33" s="4">
        <v>896.65</v>
      </c>
      <c r="AL33" s="4">
        <v>17829.849999999999</v>
      </c>
      <c r="AM33" s="4">
        <v>0</v>
      </c>
      <c r="AN33" s="4">
        <v>0</v>
      </c>
      <c r="AO33" s="4">
        <v>38166.449999999997</v>
      </c>
      <c r="AP33" s="4">
        <v>278409.83</v>
      </c>
      <c r="AQ33" s="4">
        <v>97.05</v>
      </c>
      <c r="AR33" s="4">
        <v>0</v>
      </c>
      <c r="AS33" s="4">
        <v>0</v>
      </c>
      <c r="AT33" s="4">
        <v>0</v>
      </c>
      <c r="AU33" s="4">
        <v>98514.16</v>
      </c>
      <c r="AV33" s="4">
        <v>353143.95</v>
      </c>
      <c r="AW33" s="4">
        <v>351203.31</v>
      </c>
      <c r="AX33" s="4">
        <v>0</v>
      </c>
      <c r="AY33" s="4">
        <v>0</v>
      </c>
      <c r="AZ33" s="4">
        <v>0</v>
      </c>
      <c r="BA33" s="4">
        <v>0</v>
      </c>
      <c r="BB33" s="4">
        <v>0</v>
      </c>
      <c r="BC33" s="4">
        <v>0</v>
      </c>
      <c r="BD33" s="4">
        <v>0</v>
      </c>
      <c r="BE33" s="4">
        <v>0</v>
      </c>
      <c r="BF33" s="4">
        <v>89965.61</v>
      </c>
      <c r="BG33" s="31">
        <f t="shared" si="6"/>
        <v>4609765.8000000017</v>
      </c>
      <c r="BH33" s="31">
        <f t="shared" si="2"/>
        <v>2292499.83</v>
      </c>
      <c r="BI33" s="31">
        <f t="shared" si="3"/>
        <v>1089935.76</v>
      </c>
      <c r="BJ33" s="31">
        <f t="shared" si="4"/>
        <v>1227330.2100000002</v>
      </c>
    </row>
    <row r="34" spans="3:62" x14ac:dyDescent="0.25">
      <c r="D34">
        <v>1043</v>
      </c>
      <c r="E34" t="s">
        <v>332</v>
      </c>
      <c r="F34" s="4">
        <v>0.04</v>
      </c>
      <c r="G34" s="4">
        <v>3318.35</v>
      </c>
      <c r="H34" s="4">
        <v>28092.560000000001</v>
      </c>
      <c r="I34" s="4">
        <v>10.08</v>
      </c>
      <c r="J34" s="4">
        <v>970000</v>
      </c>
      <c r="K34" s="4">
        <v>1286808</v>
      </c>
      <c r="L34" s="4">
        <v>0</v>
      </c>
      <c r="M34" s="4">
        <v>0</v>
      </c>
      <c r="N34" s="4">
        <v>487266.51</v>
      </c>
      <c r="O34" s="4">
        <v>40000</v>
      </c>
      <c r="P34" s="4">
        <v>232408.4</v>
      </c>
      <c r="Q34" s="4">
        <v>0</v>
      </c>
      <c r="R34" s="4">
        <v>0</v>
      </c>
      <c r="S34" s="4">
        <v>0</v>
      </c>
      <c r="T34" s="4">
        <v>0</v>
      </c>
      <c r="U34" s="4">
        <v>0</v>
      </c>
      <c r="V34" s="4">
        <v>6634</v>
      </c>
      <c r="W34" s="4">
        <v>300381.33</v>
      </c>
      <c r="X34" s="4">
        <v>87390.9</v>
      </c>
      <c r="Y34" s="4">
        <v>27839.05</v>
      </c>
      <c r="Z34" s="4">
        <v>-65645.440000000002</v>
      </c>
      <c r="AA34" s="4">
        <v>0</v>
      </c>
      <c r="AB34" s="4">
        <v>0</v>
      </c>
      <c r="AC34" s="4">
        <v>0</v>
      </c>
      <c r="AD34" s="4">
        <v>0</v>
      </c>
      <c r="AE34" s="4">
        <v>77654.899999999994</v>
      </c>
      <c r="AF34" s="4">
        <v>0</v>
      </c>
      <c r="AG34" s="4">
        <v>2200.5500000000002</v>
      </c>
      <c r="AH34" s="4">
        <v>234895</v>
      </c>
      <c r="AI34" s="4">
        <v>205935.64</v>
      </c>
      <c r="AJ34" s="4">
        <v>0</v>
      </c>
      <c r="AK34" s="4">
        <v>0</v>
      </c>
      <c r="AL34" s="4">
        <v>714747.66</v>
      </c>
      <c r="AM34" s="4">
        <v>0</v>
      </c>
      <c r="AN34" s="4">
        <v>377917.19</v>
      </c>
      <c r="AO34" s="4">
        <v>0</v>
      </c>
      <c r="AP34" s="4">
        <v>0</v>
      </c>
      <c r="AQ34" s="4">
        <v>0</v>
      </c>
      <c r="AR34" s="4">
        <v>0</v>
      </c>
      <c r="AS34" s="4">
        <v>0</v>
      </c>
      <c r="AT34" s="4">
        <v>0</v>
      </c>
      <c r="AU34" s="4">
        <v>219223.33</v>
      </c>
      <c r="AV34" s="4">
        <v>0</v>
      </c>
      <c r="AW34" s="4">
        <v>0</v>
      </c>
      <c r="AX34" s="4">
        <v>0</v>
      </c>
      <c r="AY34" s="4">
        <v>0</v>
      </c>
      <c r="AZ34" s="4">
        <v>353470</v>
      </c>
      <c r="BA34" s="4">
        <v>0</v>
      </c>
      <c r="BB34" s="4">
        <v>0</v>
      </c>
      <c r="BC34" s="4">
        <v>0</v>
      </c>
      <c r="BD34" s="4">
        <v>0</v>
      </c>
      <c r="BE34" s="4">
        <v>1368212.8</v>
      </c>
      <c r="BF34" s="4">
        <v>60727.06</v>
      </c>
      <c r="BG34" s="31">
        <f t="shared" si="6"/>
        <v>7019487.9099999992</v>
      </c>
      <c r="BH34" s="31">
        <f t="shared" si="2"/>
        <v>3442310.17</v>
      </c>
      <c r="BI34" s="31">
        <f t="shared" si="3"/>
        <v>482879.7</v>
      </c>
      <c r="BJ34" s="31">
        <f t="shared" si="4"/>
        <v>3094298.0400000005</v>
      </c>
    </row>
    <row r="35" spans="3:62" x14ac:dyDescent="0.25">
      <c r="D35">
        <v>1044</v>
      </c>
      <c r="E35" t="s">
        <v>333</v>
      </c>
      <c r="F35" s="4">
        <v>0</v>
      </c>
      <c r="G35" s="4">
        <v>0</v>
      </c>
      <c r="H35" s="4">
        <v>0</v>
      </c>
      <c r="I35" s="4">
        <v>0</v>
      </c>
      <c r="J35" s="4">
        <v>23013.15</v>
      </c>
      <c r="K35" s="4">
        <v>396</v>
      </c>
      <c r="L35" s="4">
        <v>0</v>
      </c>
      <c r="M35" s="4">
        <v>0</v>
      </c>
      <c r="N35" s="4">
        <v>0</v>
      </c>
      <c r="O35" s="4">
        <v>0</v>
      </c>
      <c r="P35" s="4">
        <v>0</v>
      </c>
      <c r="Q35" s="4">
        <v>0</v>
      </c>
      <c r="R35" s="4">
        <v>0</v>
      </c>
      <c r="S35" s="4">
        <v>0</v>
      </c>
      <c r="T35" s="4">
        <v>0</v>
      </c>
      <c r="U35" s="4">
        <v>0</v>
      </c>
      <c r="V35" s="4">
        <v>24591.95</v>
      </c>
      <c r="W35" s="4">
        <v>0</v>
      </c>
      <c r="X35" s="4">
        <v>30550.7</v>
      </c>
      <c r="Y35" s="4">
        <v>581.45000000000005</v>
      </c>
      <c r="Z35" s="4">
        <v>0</v>
      </c>
      <c r="AA35" s="4">
        <v>0</v>
      </c>
      <c r="AB35" s="4">
        <v>0</v>
      </c>
      <c r="AC35" s="4">
        <v>0</v>
      </c>
      <c r="AD35" s="4">
        <v>0</v>
      </c>
      <c r="AE35" s="4">
        <v>0</v>
      </c>
      <c r="AF35" s="4">
        <v>0</v>
      </c>
      <c r="AG35" s="4">
        <v>0</v>
      </c>
      <c r="AH35" s="4">
        <v>0</v>
      </c>
      <c r="AI35" s="4">
        <v>0</v>
      </c>
      <c r="AJ35" s="4">
        <v>0</v>
      </c>
      <c r="AK35" s="4">
        <v>700</v>
      </c>
      <c r="AL35" s="4">
        <v>0</v>
      </c>
      <c r="AM35" s="4">
        <v>0</v>
      </c>
      <c r="AN35" s="4">
        <v>0</v>
      </c>
      <c r="AO35" s="4">
        <v>0</v>
      </c>
      <c r="AP35" s="4">
        <v>0</v>
      </c>
      <c r="AQ35" s="4">
        <v>0</v>
      </c>
      <c r="AR35" s="4">
        <v>87616.61</v>
      </c>
      <c r="AS35" s="4">
        <v>0</v>
      </c>
      <c r="AT35" s="4">
        <v>0</v>
      </c>
      <c r="AU35" s="4">
        <v>0</v>
      </c>
      <c r="AV35" s="4">
        <v>0</v>
      </c>
      <c r="AW35" s="4">
        <v>0</v>
      </c>
      <c r="AX35" s="4">
        <v>0</v>
      </c>
      <c r="AY35" s="4">
        <v>0</v>
      </c>
      <c r="AZ35" s="4">
        <v>161.85</v>
      </c>
      <c r="BA35" s="4">
        <v>0</v>
      </c>
      <c r="BB35" s="4">
        <v>0</v>
      </c>
      <c r="BC35" s="4">
        <v>0</v>
      </c>
      <c r="BD35" s="4">
        <v>0</v>
      </c>
      <c r="BE35" s="4">
        <v>0</v>
      </c>
      <c r="BF35" s="4">
        <v>0</v>
      </c>
      <c r="BG35" s="31">
        <f t="shared" si="6"/>
        <v>167611.71</v>
      </c>
      <c r="BH35" s="31">
        <f t="shared" si="2"/>
        <v>78551.8</v>
      </c>
      <c r="BI35" s="31">
        <f t="shared" si="3"/>
        <v>1281.45</v>
      </c>
      <c r="BJ35" s="31">
        <f t="shared" si="4"/>
        <v>87778.46</v>
      </c>
    </row>
    <row r="36" spans="3:62" x14ac:dyDescent="0.25">
      <c r="D36">
        <v>1045</v>
      </c>
      <c r="E36" t="s">
        <v>334</v>
      </c>
      <c r="F36" s="4">
        <v>0</v>
      </c>
      <c r="G36" s="4">
        <v>0</v>
      </c>
      <c r="H36" s="4">
        <v>0</v>
      </c>
      <c r="I36" s="4">
        <v>0</v>
      </c>
      <c r="J36" s="4">
        <v>0</v>
      </c>
      <c r="K36" s="4">
        <v>0</v>
      </c>
      <c r="L36" s="4">
        <v>0</v>
      </c>
      <c r="M36" s="4">
        <v>0</v>
      </c>
      <c r="N36" s="4">
        <v>0</v>
      </c>
      <c r="O36" s="4">
        <v>0</v>
      </c>
      <c r="P36" s="4">
        <v>0</v>
      </c>
      <c r="Q36" s="4">
        <v>0</v>
      </c>
      <c r="R36" s="4">
        <v>0</v>
      </c>
      <c r="S36" s="4">
        <v>0</v>
      </c>
      <c r="T36" s="4">
        <v>0</v>
      </c>
      <c r="U36" s="4">
        <v>0</v>
      </c>
      <c r="V36" s="4">
        <v>0</v>
      </c>
      <c r="W36" s="4">
        <v>0</v>
      </c>
      <c r="X36" s="4">
        <v>0</v>
      </c>
      <c r="Y36" s="4">
        <v>34472.85</v>
      </c>
      <c r="Z36" s="4">
        <v>0</v>
      </c>
      <c r="AA36" s="4">
        <v>0</v>
      </c>
      <c r="AB36" s="4">
        <v>0</v>
      </c>
      <c r="AC36" s="4">
        <v>0</v>
      </c>
      <c r="AD36" s="4">
        <v>0</v>
      </c>
      <c r="AE36" s="4">
        <v>0</v>
      </c>
      <c r="AF36" s="4">
        <v>0</v>
      </c>
      <c r="AG36" s="4">
        <v>0</v>
      </c>
      <c r="AH36" s="4">
        <v>0</v>
      </c>
      <c r="AI36" s="4">
        <v>10418.08</v>
      </c>
      <c r="AJ36" s="4">
        <v>0</v>
      </c>
      <c r="AK36" s="4">
        <v>0</v>
      </c>
      <c r="AL36" s="4">
        <v>0</v>
      </c>
      <c r="AM36" s="4">
        <v>0</v>
      </c>
      <c r="AN36" s="4">
        <v>0</v>
      </c>
      <c r="AO36" s="4">
        <v>0</v>
      </c>
      <c r="AP36" s="4">
        <v>0</v>
      </c>
      <c r="AQ36" s="4">
        <v>0</v>
      </c>
      <c r="AR36" s="4">
        <v>0</v>
      </c>
      <c r="AS36" s="4">
        <v>592309.54</v>
      </c>
      <c r="AT36" s="4">
        <v>0</v>
      </c>
      <c r="AU36" s="4">
        <v>0</v>
      </c>
      <c r="AV36" s="4">
        <v>0</v>
      </c>
      <c r="AW36" s="4">
        <v>50922.78</v>
      </c>
      <c r="AX36" s="4">
        <v>0</v>
      </c>
      <c r="AY36" s="4">
        <v>0</v>
      </c>
      <c r="AZ36" s="4">
        <v>0</v>
      </c>
      <c r="BA36" s="4">
        <v>0</v>
      </c>
      <c r="BB36" s="4">
        <v>0</v>
      </c>
      <c r="BC36" s="4">
        <v>0</v>
      </c>
      <c r="BD36" s="4">
        <v>0</v>
      </c>
      <c r="BE36" s="4">
        <v>0</v>
      </c>
      <c r="BF36" s="4">
        <v>0</v>
      </c>
      <c r="BG36" s="31">
        <f t="shared" si="6"/>
        <v>688123.25000000012</v>
      </c>
      <c r="BH36" s="31">
        <f t="shared" si="2"/>
        <v>0</v>
      </c>
      <c r="BI36" s="31">
        <f t="shared" si="3"/>
        <v>44890.93</v>
      </c>
      <c r="BJ36" s="31">
        <f t="shared" si="4"/>
        <v>643232.32000000007</v>
      </c>
    </row>
    <row r="37" spans="3:62" x14ac:dyDescent="0.25">
      <c r="D37">
        <v>1046</v>
      </c>
      <c r="E37" t="s">
        <v>335</v>
      </c>
      <c r="F37" s="4">
        <v>0</v>
      </c>
      <c r="G37" s="4">
        <v>0</v>
      </c>
      <c r="H37" s="4">
        <v>898100</v>
      </c>
      <c r="I37" s="4">
        <v>0</v>
      </c>
      <c r="J37" s="4">
        <v>0</v>
      </c>
      <c r="K37" s="4">
        <v>0</v>
      </c>
      <c r="L37" s="4">
        <v>0</v>
      </c>
      <c r="M37" s="4">
        <v>0</v>
      </c>
      <c r="N37" s="4">
        <v>0</v>
      </c>
      <c r="O37" s="4">
        <v>0</v>
      </c>
      <c r="P37" s="4">
        <v>0</v>
      </c>
      <c r="Q37" s="4">
        <v>0</v>
      </c>
      <c r="R37" s="4">
        <v>0</v>
      </c>
      <c r="S37" s="4">
        <v>0</v>
      </c>
      <c r="T37" s="4">
        <v>0</v>
      </c>
      <c r="U37" s="4">
        <v>0</v>
      </c>
      <c r="V37" s="4">
        <v>0</v>
      </c>
      <c r="W37" s="4">
        <v>0</v>
      </c>
      <c r="X37" s="4">
        <v>0</v>
      </c>
      <c r="Y37" s="4">
        <v>457.05</v>
      </c>
      <c r="Z37" s="4">
        <v>0</v>
      </c>
      <c r="AA37" s="4">
        <v>0</v>
      </c>
      <c r="AB37" s="4">
        <v>0</v>
      </c>
      <c r="AC37" s="4">
        <v>0</v>
      </c>
      <c r="AD37" s="4">
        <v>0</v>
      </c>
      <c r="AE37" s="4">
        <v>0</v>
      </c>
      <c r="AF37" s="4">
        <v>0</v>
      </c>
      <c r="AG37" s="4">
        <v>0</v>
      </c>
      <c r="AH37" s="4">
        <v>0</v>
      </c>
      <c r="AI37" s="4">
        <v>5250</v>
      </c>
      <c r="AJ37" s="4">
        <v>0</v>
      </c>
      <c r="AK37" s="4">
        <v>0</v>
      </c>
      <c r="AL37" s="4">
        <v>0</v>
      </c>
      <c r="AM37" s="4">
        <v>0</v>
      </c>
      <c r="AN37" s="4">
        <v>0</v>
      </c>
      <c r="AO37" s="4">
        <v>0</v>
      </c>
      <c r="AP37" s="4">
        <v>0</v>
      </c>
      <c r="AQ37" s="4">
        <v>0</v>
      </c>
      <c r="AR37" s="4">
        <v>0</v>
      </c>
      <c r="AS37" s="4">
        <v>0</v>
      </c>
      <c r="AT37" s="4">
        <v>0</v>
      </c>
      <c r="AU37" s="4">
        <v>0</v>
      </c>
      <c r="AV37" s="4">
        <v>0</v>
      </c>
      <c r="AW37" s="4">
        <v>0</v>
      </c>
      <c r="AX37" s="4">
        <v>0</v>
      </c>
      <c r="AY37" s="4">
        <v>0</v>
      </c>
      <c r="AZ37" s="4">
        <v>0</v>
      </c>
      <c r="BA37" s="4">
        <v>0</v>
      </c>
      <c r="BB37" s="4">
        <v>0</v>
      </c>
      <c r="BC37" s="4">
        <v>0</v>
      </c>
      <c r="BD37" s="4">
        <v>0</v>
      </c>
      <c r="BE37" s="4">
        <v>0</v>
      </c>
      <c r="BF37" s="4">
        <v>0</v>
      </c>
      <c r="BG37" s="31">
        <f t="shared" si="6"/>
        <v>903807.05</v>
      </c>
      <c r="BH37" s="31">
        <f t="shared" si="2"/>
        <v>898100</v>
      </c>
      <c r="BI37" s="31">
        <f t="shared" si="3"/>
        <v>5707.05</v>
      </c>
      <c r="BJ37" s="31">
        <f t="shared" si="4"/>
        <v>0</v>
      </c>
    </row>
    <row r="38" spans="3:62" x14ac:dyDescent="0.25">
      <c r="D38">
        <v>1049</v>
      </c>
      <c r="E38" t="s">
        <v>336</v>
      </c>
      <c r="F38" s="4">
        <v>0</v>
      </c>
      <c r="G38" s="4">
        <v>0</v>
      </c>
      <c r="H38" s="4">
        <v>0</v>
      </c>
      <c r="I38" s="4">
        <v>0</v>
      </c>
      <c r="J38" s="4">
        <v>1193933.19</v>
      </c>
      <c r="K38" s="4">
        <v>0</v>
      </c>
      <c r="L38" s="4">
        <v>0</v>
      </c>
      <c r="M38" s="4">
        <v>0</v>
      </c>
      <c r="N38" s="4">
        <v>0</v>
      </c>
      <c r="O38" s="4">
        <v>0</v>
      </c>
      <c r="P38" s="4">
        <v>0</v>
      </c>
      <c r="Q38" s="4">
        <v>0</v>
      </c>
      <c r="R38" s="4">
        <v>0</v>
      </c>
      <c r="S38" s="4">
        <v>0</v>
      </c>
      <c r="T38" s="4">
        <v>0</v>
      </c>
      <c r="U38" s="4">
        <v>0</v>
      </c>
      <c r="V38" s="4">
        <v>0</v>
      </c>
      <c r="W38" s="4">
        <v>0</v>
      </c>
      <c r="X38" s="4">
        <v>0</v>
      </c>
      <c r="Y38" s="4">
        <v>0</v>
      </c>
      <c r="Z38" s="4">
        <v>0</v>
      </c>
      <c r="AA38" s="4">
        <v>0</v>
      </c>
      <c r="AB38" s="4">
        <v>0</v>
      </c>
      <c r="AC38" s="4">
        <v>0</v>
      </c>
      <c r="AD38" s="4">
        <v>0</v>
      </c>
      <c r="AE38" s="4">
        <v>0</v>
      </c>
      <c r="AF38" s="4">
        <v>0</v>
      </c>
      <c r="AG38" s="4">
        <v>0</v>
      </c>
      <c r="AH38" s="4">
        <v>0</v>
      </c>
      <c r="AI38" s="4">
        <v>0</v>
      </c>
      <c r="AJ38" s="4">
        <v>0</v>
      </c>
      <c r="AK38" s="4">
        <v>0</v>
      </c>
      <c r="AL38" s="4">
        <v>0</v>
      </c>
      <c r="AM38" s="4">
        <v>0</v>
      </c>
      <c r="AN38" s="4">
        <v>0</v>
      </c>
      <c r="AO38" s="4">
        <v>0</v>
      </c>
      <c r="AP38" s="4">
        <v>0</v>
      </c>
      <c r="AQ38" s="4">
        <v>0</v>
      </c>
      <c r="AR38" s="4">
        <v>0</v>
      </c>
      <c r="AS38" s="4">
        <v>53.05</v>
      </c>
      <c r="AT38" s="4">
        <v>0</v>
      </c>
      <c r="AU38" s="4">
        <v>0</v>
      </c>
      <c r="AV38" s="4">
        <v>0</v>
      </c>
      <c r="AW38" s="4">
        <v>0</v>
      </c>
      <c r="AX38" s="4">
        <v>0</v>
      </c>
      <c r="AY38" s="4">
        <v>0</v>
      </c>
      <c r="AZ38" s="4">
        <v>0</v>
      </c>
      <c r="BA38" s="4">
        <v>0</v>
      </c>
      <c r="BB38" s="4">
        <v>327438.40000000002</v>
      </c>
      <c r="BC38" s="4">
        <v>0</v>
      </c>
      <c r="BD38" s="4">
        <v>0</v>
      </c>
      <c r="BE38" s="4">
        <v>0</v>
      </c>
      <c r="BF38" s="4">
        <v>0</v>
      </c>
      <c r="BG38" s="31">
        <f t="shared" si="6"/>
        <v>1521424.6400000001</v>
      </c>
      <c r="BH38" s="31">
        <f t="shared" si="2"/>
        <v>1193933.19</v>
      </c>
      <c r="BI38" s="31">
        <f t="shared" si="3"/>
        <v>0</v>
      </c>
      <c r="BJ38" s="31">
        <f t="shared" si="4"/>
        <v>327491.45</v>
      </c>
    </row>
    <row r="39" spans="3:62" x14ac:dyDescent="0.25">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31"/>
      <c r="BH39" s="31"/>
      <c r="BI39" s="31"/>
      <c r="BJ39" s="31"/>
    </row>
    <row r="40" spans="3:62" x14ac:dyDescent="0.25">
      <c r="C40" s="56">
        <v>106</v>
      </c>
      <c r="D40" s="56"/>
      <c r="E40" s="56" t="s">
        <v>245</v>
      </c>
      <c r="F40" s="57">
        <f>F41+F42+F43+F44+F45</f>
        <v>0</v>
      </c>
      <c r="G40" s="57">
        <f t="shared" ref="G40:BF40" si="10">G41+G42+G43+G44+G45</f>
        <v>0</v>
      </c>
      <c r="H40" s="57">
        <f t="shared" si="10"/>
        <v>0</v>
      </c>
      <c r="I40" s="57">
        <f t="shared" si="10"/>
        <v>0</v>
      </c>
      <c r="J40" s="57">
        <f t="shared" si="10"/>
        <v>0</v>
      </c>
      <c r="K40" s="57">
        <f t="shared" si="10"/>
        <v>0</v>
      </c>
      <c r="L40" s="57">
        <f t="shared" si="10"/>
        <v>0</v>
      </c>
      <c r="M40" s="57">
        <f t="shared" si="10"/>
        <v>474981.55</v>
      </c>
      <c r="N40" s="57">
        <f t="shared" si="10"/>
        <v>0</v>
      </c>
      <c r="O40" s="57">
        <f t="shared" si="10"/>
        <v>0</v>
      </c>
      <c r="P40" s="57">
        <f t="shared" si="10"/>
        <v>227560</v>
      </c>
      <c r="Q40" s="57">
        <f t="shared" si="10"/>
        <v>0</v>
      </c>
      <c r="R40" s="57">
        <f t="shared" si="10"/>
        <v>0</v>
      </c>
      <c r="S40" s="57">
        <f t="shared" si="10"/>
        <v>0</v>
      </c>
      <c r="T40" s="57">
        <f t="shared" si="10"/>
        <v>0</v>
      </c>
      <c r="U40" s="57">
        <f t="shared" si="10"/>
        <v>0</v>
      </c>
      <c r="V40" s="57">
        <f t="shared" si="10"/>
        <v>0</v>
      </c>
      <c r="W40" s="57">
        <f t="shared" si="10"/>
        <v>3241.25</v>
      </c>
      <c r="X40" s="57">
        <f t="shared" si="10"/>
        <v>3200</v>
      </c>
      <c r="Y40" s="57">
        <f t="shared" si="10"/>
        <v>0</v>
      </c>
      <c r="Z40" s="57">
        <f t="shared" si="10"/>
        <v>0</v>
      </c>
      <c r="AA40" s="57">
        <f t="shared" si="10"/>
        <v>0</v>
      </c>
      <c r="AB40" s="57">
        <f t="shared" si="10"/>
        <v>0</v>
      </c>
      <c r="AC40" s="57">
        <f t="shared" si="10"/>
        <v>11150.9</v>
      </c>
      <c r="AD40" s="57">
        <f t="shared" si="10"/>
        <v>0</v>
      </c>
      <c r="AE40" s="57">
        <f t="shared" si="10"/>
        <v>2356.75</v>
      </c>
      <c r="AF40" s="57">
        <f t="shared" si="10"/>
        <v>0</v>
      </c>
      <c r="AG40" s="57">
        <f t="shared" si="10"/>
        <v>0</v>
      </c>
      <c r="AH40" s="57">
        <f t="shared" si="10"/>
        <v>762211.9</v>
      </c>
      <c r="AI40" s="57">
        <f t="shared" si="10"/>
        <v>0</v>
      </c>
      <c r="AJ40" s="57">
        <f t="shared" si="10"/>
        <v>0</v>
      </c>
      <c r="AK40" s="57">
        <f t="shared" si="10"/>
        <v>11998.4</v>
      </c>
      <c r="AL40" s="57">
        <f t="shared" si="10"/>
        <v>0</v>
      </c>
      <c r="AM40" s="57">
        <f t="shared" si="10"/>
        <v>0</v>
      </c>
      <c r="AN40" s="57">
        <f t="shared" si="10"/>
        <v>2664.88</v>
      </c>
      <c r="AO40" s="57">
        <f t="shared" si="10"/>
        <v>0</v>
      </c>
      <c r="AP40" s="57">
        <f t="shared" si="10"/>
        <v>0</v>
      </c>
      <c r="AQ40" s="57">
        <f t="shared" si="10"/>
        <v>0</v>
      </c>
      <c r="AR40" s="57">
        <f t="shared" si="10"/>
        <v>0</v>
      </c>
      <c r="AS40" s="57">
        <f t="shared" si="10"/>
        <v>0</v>
      </c>
      <c r="AT40" s="57">
        <f t="shared" si="10"/>
        <v>0</v>
      </c>
      <c r="AU40" s="57">
        <f t="shared" si="10"/>
        <v>0</v>
      </c>
      <c r="AV40" s="57">
        <f t="shared" si="10"/>
        <v>0</v>
      </c>
      <c r="AW40" s="57">
        <f t="shared" si="10"/>
        <v>0</v>
      </c>
      <c r="AX40" s="57">
        <f t="shared" si="10"/>
        <v>0</v>
      </c>
      <c r="AY40" s="57">
        <f t="shared" si="10"/>
        <v>0</v>
      </c>
      <c r="AZ40" s="57">
        <f t="shared" si="10"/>
        <v>0</v>
      </c>
      <c r="BA40" s="57">
        <f t="shared" si="10"/>
        <v>0</v>
      </c>
      <c r="BB40" s="57">
        <f t="shared" si="10"/>
        <v>0</v>
      </c>
      <c r="BC40" s="57">
        <f t="shared" si="10"/>
        <v>25832</v>
      </c>
      <c r="BD40" s="57">
        <f t="shared" si="10"/>
        <v>0</v>
      </c>
      <c r="BE40" s="57">
        <f t="shared" si="10"/>
        <v>21795.25</v>
      </c>
      <c r="BF40" s="57">
        <f t="shared" si="10"/>
        <v>0</v>
      </c>
      <c r="BG40" s="57">
        <f t="shared" si="6"/>
        <v>1546992.88</v>
      </c>
      <c r="BH40" s="57">
        <f t="shared" si="2"/>
        <v>708982.8</v>
      </c>
      <c r="BI40" s="57">
        <f t="shared" si="3"/>
        <v>787717.95000000007</v>
      </c>
      <c r="BJ40" s="57">
        <f t="shared" si="4"/>
        <v>50292.130000000005</v>
      </c>
    </row>
    <row r="41" spans="3:62" x14ac:dyDescent="0.25">
      <c r="D41">
        <v>1060</v>
      </c>
      <c r="E41" t="s">
        <v>337</v>
      </c>
      <c r="F41" s="4">
        <v>0</v>
      </c>
      <c r="G41" s="4">
        <v>0</v>
      </c>
      <c r="H41" s="4">
        <v>0</v>
      </c>
      <c r="I41" s="4">
        <v>0</v>
      </c>
      <c r="J41" s="4">
        <v>0</v>
      </c>
      <c r="K41" s="4">
        <v>0</v>
      </c>
      <c r="L41" s="4">
        <v>0</v>
      </c>
      <c r="M41" s="4">
        <v>0</v>
      </c>
      <c r="N41" s="4">
        <v>0</v>
      </c>
      <c r="O41" s="4">
        <v>0</v>
      </c>
      <c r="P41" s="4">
        <v>0</v>
      </c>
      <c r="Q41" s="4">
        <v>0</v>
      </c>
      <c r="R41" s="4">
        <v>0</v>
      </c>
      <c r="S41" s="4">
        <v>0</v>
      </c>
      <c r="T41" s="4">
        <v>0</v>
      </c>
      <c r="U41" s="4">
        <v>0</v>
      </c>
      <c r="V41" s="4">
        <v>0</v>
      </c>
      <c r="W41" s="4">
        <v>3241.25</v>
      </c>
      <c r="X41" s="4">
        <v>0</v>
      </c>
      <c r="Y41" s="4">
        <v>0</v>
      </c>
      <c r="Z41" s="4">
        <v>0</v>
      </c>
      <c r="AA41" s="4">
        <v>0</v>
      </c>
      <c r="AB41" s="4">
        <v>0</v>
      </c>
      <c r="AC41" s="4">
        <v>6229.5</v>
      </c>
      <c r="AD41" s="4">
        <v>0</v>
      </c>
      <c r="AE41" s="4">
        <v>2356.75</v>
      </c>
      <c r="AF41" s="4">
        <v>0</v>
      </c>
      <c r="AG41" s="4">
        <v>0</v>
      </c>
      <c r="AH41" s="4">
        <v>1136.8</v>
      </c>
      <c r="AI41" s="4">
        <v>0</v>
      </c>
      <c r="AJ41" s="4">
        <v>0</v>
      </c>
      <c r="AK41" s="4">
        <v>4444</v>
      </c>
      <c r="AL41" s="4">
        <v>0</v>
      </c>
      <c r="AM41" s="4">
        <v>0</v>
      </c>
      <c r="AN41" s="4">
        <v>2664.88</v>
      </c>
      <c r="AO41" s="4">
        <v>0</v>
      </c>
      <c r="AP41" s="4">
        <v>0</v>
      </c>
      <c r="AQ41" s="4">
        <v>0</v>
      </c>
      <c r="AR41" s="4">
        <v>0</v>
      </c>
      <c r="AS41" s="4">
        <v>0</v>
      </c>
      <c r="AT41" s="4">
        <v>0</v>
      </c>
      <c r="AU41" s="4">
        <v>0</v>
      </c>
      <c r="AV41" s="4">
        <v>0</v>
      </c>
      <c r="AW41" s="4">
        <v>0</v>
      </c>
      <c r="AX41" s="4">
        <v>0</v>
      </c>
      <c r="AY41" s="4">
        <v>0</v>
      </c>
      <c r="AZ41" s="4">
        <v>0</v>
      </c>
      <c r="BA41" s="4">
        <v>0</v>
      </c>
      <c r="BB41" s="4">
        <v>0</v>
      </c>
      <c r="BC41" s="4">
        <v>0</v>
      </c>
      <c r="BD41" s="4">
        <v>0</v>
      </c>
      <c r="BE41" s="4">
        <v>21795.25</v>
      </c>
      <c r="BF41" s="4">
        <v>0</v>
      </c>
      <c r="BG41" s="31">
        <f t="shared" si="6"/>
        <v>41868.43</v>
      </c>
      <c r="BH41" s="31">
        <f t="shared" si="2"/>
        <v>3241.25</v>
      </c>
      <c r="BI41" s="31">
        <f t="shared" si="3"/>
        <v>14167.05</v>
      </c>
      <c r="BJ41" s="31">
        <f t="shared" si="4"/>
        <v>24460.13</v>
      </c>
    </row>
    <row r="42" spans="3:62" x14ac:dyDescent="0.25">
      <c r="D42">
        <v>1061</v>
      </c>
      <c r="E42" t="s">
        <v>338</v>
      </c>
      <c r="F42" s="4">
        <v>0</v>
      </c>
      <c r="G42" s="4">
        <v>0</v>
      </c>
      <c r="H42" s="4">
        <v>0</v>
      </c>
      <c r="I42" s="4">
        <v>0</v>
      </c>
      <c r="J42" s="4">
        <v>0</v>
      </c>
      <c r="K42" s="4">
        <v>0</v>
      </c>
      <c r="L42" s="4">
        <v>0</v>
      </c>
      <c r="M42" s="4">
        <v>474981.55</v>
      </c>
      <c r="N42" s="4">
        <v>0</v>
      </c>
      <c r="O42" s="4">
        <v>0</v>
      </c>
      <c r="P42" s="4">
        <v>178560</v>
      </c>
      <c r="Q42" s="4">
        <v>0</v>
      </c>
      <c r="R42" s="4">
        <v>0</v>
      </c>
      <c r="S42" s="4">
        <v>0</v>
      </c>
      <c r="T42" s="4">
        <v>0</v>
      </c>
      <c r="U42" s="4">
        <v>0</v>
      </c>
      <c r="V42" s="4">
        <v>0</v>
      </c>
      <c r="W42" s="4">
        <v>0</v>
      </c>
      <c r="X42" s="4">
        <v>3200</v>
      </c>
      <c r="Y42" s="4">
        <v>0</v>
      </c>
      <c r="Z42" s="4">
        <v>0</v>
      </c>
      <c r="AA42" s="4">
        <v>0</v>
      </c>
      <c r="AB42" s="4">
        <v>0</v>
      </c>
      <c r="AC42" s="4">
        <v>4921.3999999999996</v>
      </c>
      <c r="AD42" s="4">
        <v>0</v>
      </c>
      <c r="AE42" s="4">
        <v>0</v>
      </c>
      <c r="AF42" s="4">
        <v>0</v>
      </c>
      <c r="AG42" s="4">
        <v>0</v>
      </c>
      <c r="AH42" s="4">
        <v>0</v>
      </c>
      <c r="AI42" s="4">
        <v>0</v>
      </c>
      <c r="AJ42" s="4">
        <v>0</v>
      </c>
      <c r="AK42" s="4">
        <v>7554.4</v>
      </c>
      <c r="AL42" s="4">
        <v>0</v>
      </c>
      <c r="AM42" s="4">
        <v>0</v>
      </c>
      <c r="AN42" s="4">
        <v>0</v>
      </c>
      <c r="AO42" s="4">
        <v>0</v>
      </c>
      <c r="AP42" s="4">
        <v>0</v>
      </c>
      <c r="AQ42" s="4">
        <v>0</v>
      </c>
      <c r="AR42" s="4">
        <v>0</v>
      </c>
      <c r="AS42" s="4">
        <v>0</v>
      </c>
      <c r="AT42" s="4">
        <v>0</v>
      </c>
      <c r="AU42" s="4">
        <v>0</v>
      </c>
      <c r="AV42" s="4">
        <v>0</v>
      </c>
      <c r="AW42" s="4">
        <v>0</v>
      </c>
      <c r="AX42" s="4">
        <v>0</v>
      </c>
      <c r="AY42" s="4">
        <v>0</v>
      </c>
      <c r="AZ42" s="4">
        <v>0</v>
      </c>
      <c r="BA42" s="4">
        <v>0</v>
      </c>
      <c r="BB42" s="4">
        <v>0</v>
      </c>
      <c r="BC42" s="4">
        <v>25832</v>
      </c>
      <c r="BD42" s="4">
        <v>0</v>
      </c>
      <c r="BE42" s="4">
        <v>0</v>
      </c>
      <c r="BF42" s="4">
        <v>0</v>
      </c>
      <c r="BG42" s="31">
        <f t="shared" si="6"/>
        <v>695049.35000000009</v>
      </c>
      <c r="BH42" s="31">
        <f t="shared" si="2"/>
        <v>656741.55000000005</v>
      </c>
      <c r="BI42" s="31">
        <f t="shared" si="3"/>
        <v>12475.8</v>
      </c>
      <c r="BJ42" s="31">
        <f t="shared" si="4"/>
        <v>25832</v>
      </c>
    </row>
    <row r="43" spans="3:62" x14ac:dyDescent="0.25">
      <c r="D43">
        <v>1062</v>
      </c>
      <c r="E43" t="s">
        <v>339</v>
      </c>
      <c r="F43" s="4">
        <v>0</v>
      </c>
      <c r="G43" s="4">
        <v>0</v>
      </c>
      <c r="H43" s="4">
        <v>0</v>
      </c>
      <c r="I43" s="4">
        <v>0</v>
      </c>
      <c r="J43" s="4">
        <v>0</v>
      </c>
      <c r="K43" s="4">
        <v>0</v>
      </c>
      <c r="L43" s="4">
        <v>0</v>
      </c>
      <c r="M43" s="4">
        <v>0</v>
      </c>
      <c r="N43" s="4">
        <v>0</v>
      </c>
      <c r="O43" s="4">
        <v>0</v>
      </c>
      <c r="P43" s="4">
        <v>0</v>
      </c>
      <c r="Q43" s="4">
        <v>0</v>
      </c>
      <c r="R43" s="4">
        <v>0</v>
      </c>
      <c r="S43" s="4">
        <v>0</v>
      </c>
      <c r="T43" s="4">
        <v>0</v>
      </c>
      <c r="U43" s="4">
        <v>0</v>
      </c>
      <c r="V43" s="4">
        <v>0</v>
      </c>
      <c r="W43" s="4">
        <v>0</v>
      </c>
      <c r="X43" s="4">
        <v>0</v>
      </c>
      <c r="Y43" s="4">
        <v>0</v>
      </c>
      <c r="Z43" s="4">
        <v>0</v>
      </c>
      <c r="AA43" s="4">
        <v>0</v>
      </c>
      <c r="AB43" s="4">
        <v>0</v>
      </c>
      <c r="AC43" s="4">
        <v>0</v>
      </c>
      <c r="AD43" s="4">
        <v>0</v>
      </c>
      <c r="AE43" s="4">
        <v>0</v>
      </c>
      <c r="AF43" s="4">
        <v>0</v>
      </c>
      <c r="AG43" s="4">
        <v>0</v>
      </c>
      <c r="AH43" s="4">
        <v>0</v>
      </c>
      <c r="AI43" s="4">
        <v>0</v>
      </c>
      <c r="AJ43" s="4">
        <v>0</v>
      </c>
      <c r="AK43" s="4">
        <v>0</v>
      </c>
      <c r="AL43" s="4">
        <v>0</v>
      </c>
      <c r="AM43" s="4">
        <v>0</v>
      </c>
      <c r="AN43" s="4">
        <v>0</v>
      </c>
      <c r="AO43" s="4">
        <v>0</v>
      </c>
      <c r="AP43" s="4">
        <v>0</v>
      </c>
      <c r="AQ43" s="4">
        <v>0</v>
      </c>
      <c r="AR43" s="4">
        <v>0</v>
      </c>
      <c r="AS43" s="4">
        <v>0</v>
      </c>
      <c r="AT43" s="4">
        <v>0</v>
      </c>
      <c r="AU43" s="4">
        <v>0</v>
      </c>
      <c r="AV43" s="4">
        <v>0</v>
      </c>
      <c r="AW43" s="4">
        <v>0</v>
      </c>
      <c r="AX43" s="4">
        <v>0</v>
      </c>
      <c r="AY43" s="4">
        <v>0</v>
      </c>
      <c r="AZ43" s="4">
        <v>0</v>
      </c>
      <c r="BA43" s="4">
        <v>0</v>
      </c>
      <c r="BB43" s="4">
        <v>0</v>
      </c>
      <c r="BC43" s="4">
        <v>0</v>
      </c>
      <c r="BD43" s="4">
        <v>0</v>
      </c>
      <c r="BE43" s="4">
        <v>0</v>
      </c>
      <c r="BF43" s="4">
        <v>0</v>
      </c>
      <c r="BG43" s="31">
        <f t="shared" si="6"/>
        <v>0</v>
      </c>
      <c r="BH43" s="31">
        <f t="shared" si="2"/>
        <v>0</v>
      </c>
      <c r="BI43" s="31">
        <f t="shared" si="3"/>
        <v>0</v>
      </c>
      <c r="BJ43" s="31">
        <f t="shared" si="4"/>
        <v>0</v>
      </c>
    </row>
    <row r="44" spans="3:62" x14ac:dyDescent="0.25">
      <c r="D44">
        <v>1063</v>
      </c>
      <c r="E44" t="s">
        <v>340</v>
      </c>
      <c r="F44" s="4">
        <v>0</v>
      </c>
      <c r="G44" s="4">
        <v>0</v>
      </c>
      <c r="H44" s="4">
        <v>0</v>
      </c>
      <c r="I44" s="4">
        <v>0</v>
      </c>
      <c r="J44" s="4">
        <v>0</v>
      </c>
      <c r="K44" s="4">
        <v>0</v>
      </c>
      <c r="L44" s="4">
        <v>0</v>
      </c>
      <c r="M44" s="4">
        <v>0</v>
      </c>
      <c r="N44" s="4">
        <v>0</v>
      </c>
      <c r="O44" s="4">
        <v>0</v>
      </c>
      <c r="P44" s="4">
        <v>49000</v>
      </c>
      <c r="Q44" s="4">
        <v>0</v>
      </c>
      <c r="R44" s="4">
        <v>0</v>
      </c>
      <c r="S44" s="4">
        <v>0</v>
      </c>
      <c r="T44" s="4">
        <v>0</v>
      </c>
      <c r="U44" s="4">
        <v>0</v>
      </c>
      <c r="V44" s="4">
        <v>0</v>
      </c>
      <c r="W44" s="4">
        <v>0</v>
      </c>
      <c r="X44" s="4">
        <v>0</v>
      </c>
      <c r="Y44" s="4">
        <v>0</v>
      </c>
      <c r="Z44" s="4">
        <v>0</v>
      </c>
      <c r="AA44" s="4">
        <v>0</v>
      </c>
      <c r="AB44" s="4">
        <v>0</v>
      </c>
      <c r="AC44" s="4">
        <v>0</v>
      </c>
      <c r="AD44" s="4">
        <v>0</v>
      </c>
      <c r="AE44" s="4">
        <v>0</v>
      </c>
      <c r="AF44" s="4">
        <v>0</v>
      </c>
      <c r="AG44" s="4">
        <v>0</v>
      </c>
      <c r="AH44" s="4">
        <v>761075.1</v>
      </c>
      <c r="AI44" s="4">
        <v>0</v>
      </c>
      <c r="AJ44" s="4">
        <v>0</v>
      </c>
      <c r="AK44" s="4">
        <v>0</v>
      </c>
      <c r="AL44" s="4">
        <v>0</v>
      </c>
      <c r="AM44" s="4">
        <v>0</v>
      </c>
      <c r="AN44" s="4">
        <v>0</v>
      </c>
      <c r="AO44" s="4">
        <v>0</v>
      </c>
      <c r="AP44" s="4">
        <v>0</v>
      </c>
      <c r="AQ44" s="4">
        <v>0</v>
      </c>
      <c r="AR44" s="4">
        <v>0</v>
      </c>
      <c r="AS44" s="4">
        <v>0</v>
      </c>
      <c r="AT44" s="4">
        <v>0</v>
      </c>
      <c r="AU44" s="4">
        <v>0</v>
      </c>
      <c r="AV44" s="4">
        <v>0</v>
      </c>
      <c r="AW44" s="4">
        <v>0</v>
      </c>
      <c r="AX44" s="4">
        <v>0</v>
      </c>
      <c r="AY44" s="4">
        <v>0</v>
      </c>
      <c r="AZ44" s="4">
        <v>0</v>
      </c>
      <c r="BA44" s="4">
        <v>0</v>
      </c>
      <c r="BB44" s="4">
        <v>0</v>
      </c>
      <c r="BC44" s="4">
        <v>0</v>
      </c>
      <c r="BD44" s="4">
        <v>0</v>
      </c>
      <c r="BE44" s="4">
        <v>0</v>
      </c>
      <c r="BF44" s="4">
        <v>0</v>
      </c>
      <c r="BG44" s="31">
        <f t="shared" si="6"/>
        <v>810075.1</v>
      </c>
      <c r="BH44" s="31">
        <f t="shared" si="2"/>
        <v>49000</v>
      </c>
      <c r="BI44" s="31">
        <f t="shared" si="3"/>
        <v>761075.1</v>
      </c>
      <c r="BJ44" s="31">
        <f t="shared" si="4"/>
        <v>0</v>
      </c>
    </row>
    <row r="45" spans="3:62" x14ac:dyDescent="0.25">
      <c r="D45">
        <v>1068</v>
      </c>
      <c r="E45" t="s">
        <v>341</v>
      </c>
      <c r="F45" s="4">
        <v>0</v>
      </c>
      <c r="G45" s="4">
        <v>0</v>
      </c>
      <c r="H45" s="4">
        <v>0</v>
      </c>
      <c r="I45" s="4">
        <v>0</v>
      </c>
      <c r="J45" s="4">
        <v>0</v>
      </c>
      <c r="K45" s="4">
        <v>0</v>
      </c>
      <c r="L45" s="4">
        <v>0</v>
      </c>
      <c r="M45" s="4">
        <v>0</v>
      </c>
      <c r="N45" s="4">
        <v>0</v>
      </c>
      <c r="O45" s="4">
        <v>0</v>
      </c>
      <c r="P45" s="4">
        <v>0</v>
      </c>
      <c r="Q45" s="4">
        <v>0</v>
      </c>
      <c r="R45" s="4">
        <v>0</v>
      </c>
      <c r="S45" s="4">
        <v>0</v>
      </c>
      <c r="T45" s="4">
        <v>0</v>
      </c>
      <c r="U45" s="4">
        <v>0</v>
      </c>
      <c r="V45" s="4">
        <v>0</v>
      </c>
      <c r="W45" s="4">
        <v>0</v>
      </c>
      <c r="X45" s="4">
        <v>0</v>
      </c>
      <c r="Y45" s="4">
        <v>0</v>
      </c>
      <c r="Z45" s="4">
        <v>0</v>
      </c>
      <c r="AA45" s="4">
        <v>0</v>
      </c>
      <c r="AB45" s="4">
        <v>0</v>
      </c>
      <c r="AC45" s="4">
        <v>0</v>
      </c>
      <c r="AD45" s="4">
        <v>0</v>
      </c>
      <c r="AE45" s="4">
        <v>0</v>
      </c>
      <c r="AF45" s="4">
        <v>0</v>
      </c>
      <c r="AG45" s="4">
        <v>0</v>
      </c>
      <c r="AH45" s="4">
        <v>0</v>
      </c>
      <c r="AI45" s="4">
        <v>0</v>
      </c>
      <c r="AJ45" s="4">
        <v>0</v>
      </c>
      <c r="AK45" s="4">
        <v>0</v>
      </c>
      <c r="AL45" s="4">
        <v>0</v>
      </c>
      <c r="AM45" s="4">
        <v>0</v>
      </c>
      <c r="AN45" s="4">
        <v>0</v>
      </c>
      <c r="AO45" s="4">
        <v>0</v>
      </c>
      <c r="AP45" s="4">
        <v>0</v>
      </c>
      <c r="AQ45" s="4">
        <v>0</v>
      </c>
      <c r="AR45" s="4">
        <v>0</v>
      </c>
      <c r="AS45" s="4">
        <v>0</v>
      </c>
      <c r="AT45" s="4">
        <v>0</v>
      </c>
      <c r="AU45" s="4">
        <v>0</v>
      </c>
      <c r="AV45" s="4">
        <v>0</v>
      </c>
      <c r="AW45" s="4">
        <v>0</v>
      </c>
      <c r="AX45" s="4">
        <v>0</v>
      </c>
      <c r="AY45" s="4">
        <v>0</v>
      </c>
      <c r="AZ45" s="4">
        <v>0</v>
      </c>
      <c r="BA45" s="4">
        <v>0</v>
      </c>
      <c r="BB45" s="4">
        <v>0</v>
      </c>
      <c r="BC45" s="4">
        <v>0</v>
      </c>
      <c r="BD45" s="4">
        <v>0</v>
      </c>
      <c r="BE45" s="4">
        <v>0</v>
      </c>
      <c r="BF45" s="4">
        <v>0</v>
      </c>
      <c r="BG45" s="31">
        <f t="shared" si="6"/>
        <v>0</v>
      </c>
      <c r="BH45" s="31">
        <f t="shared" si="2"/>
        <v>0</v>
      </c>
      <c r="BI45" s="31">
        <f t="shared" si="3"/>
        <v>0</v>
      </c>
      <c r="BJ45" s="31">
        <f t="shared" si="4"/>
        <v>0</v>
      </c>
    </row>
    <row r="46" spans="3:62" x14ac:dyDescent="0.25">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31"/>
      <c r="BH46" s="31"/>
      <c r="BI46" s="31"/>
      <c r="BJ46" s="31"/>
    </row>
    <row r="47" spans="3:62" x14ac:dyDescent="0.25">
      <c r="C47" s="56">
        <v>107</v>
      </c>
      <c r="D47" s="56"/>
      <c r="E47" s="56" t="s">
        <v>346</v>
      </c>
      <c r="F47" s="57">
        <f>F48+F49+F50+F51</f>
        <v>2601</v>
      </c>
      <c r="G47" s="57">
        <f t="shared" ref="G47:BF47" si="11">G48+G49+G50+G51</f>
        <v>200</v>
      </c>
      <c r="H47" s="57">
        <f t="shared" si="11"/>
        <v>0</v>
      </c>
      <c r="I47" s="57">
        <f t="shared" si="11"/>
        <v>2695</v>
      </c>
      <c r="J47" s="57">
        <f t="shared" si="11"/>
        <v>307817</v>
      </c>
      <c r="K47" s="57">
        <f t="shared" si="11"/>
        <v>1250</v>
      </c>
      <c r="L47" s="57">
        <f t="shared" si="11"/>
        <v>21400</v>
      </c>
      <c r="M47" s="57">
        <f t="shared" si="11"/>
        <v>1760135</v>
      </c>
      <c r="N47" s="57">
        <f t="shared" si="11"/>
        <v>1250</v>
      </c>
      <c r="O47" s="57">
        <f t="shared" si="11"/>
        <v>0</v>
      </c>
      <c r="P47" s="57">
        <f t="shared" si="11"/>
        <v>274683.5</v>
      </c>
      <c r="Q47" s="57">
        <f t="shared" si="11"/>
        <v>2102</v>
      </c>
      <c r="R47" s="57">
        <f t="shared" si="11"/>
        <v>13225</v>
      </c>
      <c r="S47" s="57">
        <f t="shared" si="11"/>
        <v>200</v>
      </c>
      <c r="T47" s="57">
        <f t="shared" si="11"/>
        <v>200</v>
      </c>
      <c r="U47" s="57">
        <f t="shared" si="11"/>
        <v>20800</v>
      </c>
      <c r="V47" s="57">
        <f t="shared" si="11"/>
        <v>0</v>
      </c>
      <c r="W47" s="57">
        <f t="shared" si="11"/>
        <v>950.55</v>
      </c>
      <c r="X47" s="57">
        <f t="shared" si="11"/>
        <v>5607</v>
      </c>
      <c r="Y47" s="57">
        <f t="shared" si="11"/>
        <v>0</v>
      </c>
      <c r="Z47" s="57">
        <f t="shared" si="11"/>
        <v>124417.84</v>
      </c>
      <c r="AA47" s="57">
        <f t="shared" si="11"/>
        <v>10450994.1</v>
      </c>
      <c r="AB47" s="57">
        <f t="shared" si="11"/>
        <v>249606.79</v>
      </c>
      <c r="AC47" s="57">
        <f t="shared" si="11"/>
        <v>76362.399999999994</v>
      </c>
      <c r="AD47" s="57">
        <f t="shared" si="11"/>
        <v>47440</v>
      </c>
      <c r="AE47" s="57">
        <f t="shared" si="11"/>
        <v>747</v>
      </c>
      <c r="AF47" s="57">
        <f t="shared" si="11"/>
        <v>2625</v>
      </c>
      <c r="AG47" s="57">
        <f t="shared" si="11"/>
        <v>0</v>
      </c>
      <c r="AH47" s="57">
        <f t="shared" si="11"/>
        <v>407020</v>
      </c>
      <c r="AI47" s="57">
        <f t="shared" si="11"/>
        <v>126835</v>
      </c>
      <c r="AJ47" s="57">
        <f t="shared" si="11"/>
        <v>4160</v>
      </c>
      <c r="AK47" s="57">
        <f t="shared" si="11"/>
        <v>37935</v>
      </c>
      <c r="AL47" s="57">
        <f t="shared" si="11"/>
        <v>17200</v>
      </c>
      <c r="AM47" s="57">
        <f t="shared" si="11"/>
        <v>71366</v>
      </c>
      <c r="AN47" s="57">
        <f t="shared" si="11"/>
        <v>0</v>
      </c>
      <c r="AO47" s="57">
        <f t="shared" si="11"/>
        <v>200</v>
      </c>
      <c r="AP47" s="57">
        <f t="shared" si="11"/>
        <v>2000</v>
      </c>
      <c r="AQ47" s="57">
        <f t="shared" si="11"/>
        <v>200</v>
      </c>
      <c r="AR47" s="57">
        <f t="shared" si="11"/>
        <v>200</v>
      </c>
      <c r="AS47" s="57">
        <f t="shared" si="11"/>
        <v>7080</v>
      </c>
      <c r="AT47" s="57">
        <f t="shared" si="11"/>
        <v>296500</v>
      </c>
      <c r="AU47" s="57">
        <f t="shared" si="11"/>
        <v>0</v>
      </c>
      <c r="AV47" s="57">
        <f t="shared" si="11"/>
        <v>1</v>
      </c>
      <c r="AW47" s="57">
        <f t="shared" si="11"/>
        <v>9</v>
      </c>
      <c r="AX47" s="57">
        <f t="shared" si="11"/>
        <v>94880</v>
      </c>
      <c r="AY47" s="57">
        <f t="shared" si="11"/>
        <v>1</v>
      </c>
      <c r="AZ47" s="57">
        <f t="shared" si="11"/>
        <v>1505</v>
      </c>
      <c r="BA47" s="57">
        <f t="shared" si="11"/>
        <v>131525</v>
      </c>
      <c r="BB47" s="57">
        <f t="shared" si="11"/>
        <v>1200</v>
      </c>
      <c r="BC47" s="57">
        <f t="shared" si="11"/>
        <v>61615</v>
      </c>
      <c r="BD47" s="57">
        <f t="shared" si="11"/>
        <v>504</v>
      </c>
      <c r="BE47" s="57">
        <f t="shared" si="11"/>
        <v>711666.2</v>
      </c>
      <c r="BF47" s="57">
        <f t="shared" si="11"/>
        <v>5</v>
      </c>
      <c r="BG47" s="57">
        <f t="shared" si="6"/>
        <v>15340916.379999997</v>
      </c>
      <c r="BH47" s="57">
        <f t="shared" si="2"/>
        <v>2415116.0499999998</v>
      </c>
      <c r="BI47" s="57">
        <f t="shared" si="3"/>
        <v>11528143.129999999</v>
      </c>
      <c r="BJ47" s="57">
        <f t="shared" si="4"/>
        <v>1397657.2</v>
      </c>
    </row>
    <row r="48" spans="3:62" x14ac:dyDescent="0.25">
      <c r="D48">
        <v>1070</v>
      </c>
      <c r="E48" t="s">
        <v>342</v>
      </c>
      <c r="F48" s="4">
        <v>2601</v>
      </c>
      <c r="G48" s="4">
        <v>200</v>
      </c>
      <c r="H48" s="4">
        <v>0</v>
      </c>
      <c r="I48" s="4">
        <v>2695</v>
      </c>
      <c r="J48" s="4">
        <v>279692</v>
      </c>
      <c r="K48" s="4">
        <v>1250</v>
      </c>
      <c r="L48" s="4">
        <v>21400</v>
      </c>
      <c r="M48" s="4">
        <v>806035</v>
      </c>
      <c r="N48" s="4">
        <v>1250</v>
      </c>
      <c r="O48" s="4">
        <v>0</v>
      </c>
      <c r="P48" s="4">
        <v>274683.5</v>
      </c>
      <c r="Q48" s="4">
        <v>2102</v>
      </c>
      <c r="R48" s="4">
        <v>13225</v>
      </c>
      <c r="S48" s="4">
        <v>200</v>
      </c>
      <c r="T48" s="4">
        <v>200</v>
      </c>
      <c r="U48" s="4">
        <v>20800</v>
      </c>
      <c r="V48" s="4">
        <v>0</v>
      </c>
      <c r="W48" s="4">
        <v>950.55</v>
      </c>
      <c r="X48" s="4">
        <v>5607</v>
      </c>
      <c r="Y48" s="4">
        <v>0</v>
      </c>
      <c r="Z48" s="4">
        <v>611</v>
      </c>
      <c r="AA48" s="4">
        <v>952056</v>
      </c>
      <c r="AB48" s="4">
        <v>201</v>
      </c>
      <c r="AC48" s="4">
        <v>73171</v>
      </c>
      <c r="AD48" s="4">
        <v>47440</v>
      </c>
      <c r="AE48" s="4">
        <v>747</v>
      </c>
      <c r="AF48" s="4">
        <v>2625</v>
      </c>
      <c r="AG48" s="4">
        <v>0</v>
      </c>
      <c r="AH48" s="4">
        <v>407020</v>
      </c>
      <c r="AI48" s="4">
        <v>126835</v>
      </c>
      <c r="AJ48" s="4">
        <v>4160</v>
      </c>
      <c r="AK48" s="4">
        <v>37935</v>
      </c>
      <c r="AL48" s="4">
        <v>17200</v>
      </c>
      <c r="AM48" s="4">
        <v>71366</v>
      </c>
      <c r="AN48" s="4">
        <v>0</v>
      </c>
      <c r="AO48" s="4">
        <v>200</v>
      </c>
      <c r="AP48" s="4">
        <v>2000</v>
      </c>
      <c r="AQ48" s="4">
        <v>200</v>
      </c>
      <c r="AR48" s="4">
        <v>200</v>
      </c>
      <c r="AS48" s="4">
        <v>7080</v>
      </c>
      <c r="AT48" s="4">
        <v>296500</v>
      </c>
      <c r="AU48" s="4">
        <v>0</v>
      </c>
      <c r="AV48" s="4">
        <v>1</v>
      </c>
      <c r="AW48" s="4">
        <v>9</v>
      </c>
      <c r="AX48" s="4">
        <v>94880</v>
      </c>
      <c r="AY48" s="4">
        <v>1</v>
      </c>
      <c r="AZ48" s="4">
        <v>1505</v>
      </c>
      <c r="BA48" s="4">
        <v>131525</v>
      </c>
      <c r="BB48" s="4">
        <v>1200</v>
      </c>
      <c r="BC48" s="4">
        <v>61615</v>
      </c>
      <c r="BD48" s="4">
        <v>504</v>
      </c>
      <c r="BE48" s="4">
        <v>711666.2</v>
      </c>
      <c r="BF48" s="4">
        <v>5</v>
      </c>
      <c r="BG48" s="31">
        <f t="shared" si="6"/>
        <v>4483349.25</v>
      </c>
      <c r="BH48" s="31">
        <f t="shared" si="2"/>
        <v>1432891.05</v>
      </c>
      <c r="BI48" s="31">
        <f t="shared" si="3"/>
        <v>1652801</v>
      </c>
      <c r="BJ48" s="31">
        <f t="shared" si="4"/>
        <v>1397657.2</v>
      </c>
    </row>
    <row r="49" spans="3:62" x14ac:dyDescent="0.25">
      <c r="D49">
        <v>1071</v>
      </c>
      <c r="E49" t="s">
        <v>343</v>
      </c>
      <c r="F49" s="4">
        <v>0</v>
      </c>
      <c r="G49" s="4">
        <v>0</v>
      </c>
      <c r="H49" s="4">
        <v>0</v>
      </c>
      <c r="I49" s="4">
        <v>0</v>
      </c>
      <c r="J49" s="4">
        <v>28125</v>
      </c>
      <c r="K49" s="4">
        <v>0</v>
      </c>
      <c r="L49" s="4">
        <v>0</v>
      </c>
      <c r="M49" s="4">
        <v>954100</v>
      </c>
      <c r="N49" s="4">
        <v>0</v>
      </c>
      <c r="O49" s="4">
        <v>0</v>
      </c>
      <c r="P49" s="4">
        <v>0</v>
      </c>
      <c r="Q49" s="4">
        <v>0</v>
      </c>
      <c r="R49" s="4">
        <v>0</v>
      </c>
      <c r="S49" s="4">
        <v>0</v>
      </c>
      <c r="T49" s="4">
        <v>0</v>
      </c>
      <c r="U49" s="4">
        <v>0</v>
      </c>
      <c r="V49" s="4">
        <v>0</v>
      </c>
      <c r="W49" s="4">
        <v>0</v>
      </c>
      <c r="X49" s="4">
        <v>0</v>
      </c>
      <c r="Y49" s="4">
        <v>0</v>
      </c>
      <c r="Z49" s="4">
        <v>123806.84</v>
      </c>
      <c r="AA49" s="4">
        <v>9498938.0999999996</v>
      </c>
      <c r="AB49" s="4">
        <v>249405.79</v>
      </c>
      <c r="AC49" s="4">
        <v>3191.4</v>
      </c>
      <c r="AD49" s="4">
        <v>0</v>
      </c>
      <c r="AE49" s="4">
        <v>0</v>
      </c>
      <c r="AF49" s="4">
        <v>0</v>
      </c>
      <c r="AG49" s="4">
        <v>0</v>
      </c>
      <c r="AH49" s="4">
        <v>0</v>
      </c>
      <c r="AI49" s="4">
        <v>0</v>
      </c>
      <c r="AJ49" s="4">
        <v>0</v>
      </c>
      <c r="AK49" s="4">
        <v>0</v>
      </c>
      <c r="AL49" s="4">
        <v>0</v>
      </c>
      <c r="AM49" s="4">
        <v>0</v>
      </c>
      <c r="AN49" s="4">
        <v>0</v>
      </c>
      <c r="AO49" s="4">
        <v>0</v>
      </c>
      <c r="AP49" s="4">
        <v>0</v>
      </c>
      <c r="AQ49" s="4">
        <v>0</v>
      </c>
      <c r="AR49" s="4">
        <v>0</v>
      </c>
      <c r="AS49" s="4">
        <v>0</v>
      </c>
      <c r="AT49" s="4">
        <v>0</v>
      </c>
      <c r="AU49" s="4">
        <v>0</v>
      </c>
      <c r="AV49" s="4">
        <v>0</v>
      </c>
      <c r="AW49" s="4">
        <v>0</v>
      </c>
      <c r="AX49" s="4">
        <v>0</v>
      </c>
      <c r="AY49" s="4">
        <v>0</v>
      </c>
      <c r="AZ49" s="4">
        <v>0</v>
      </c>
      <c r="BA49" s="4">
        <v>0</v>
      </c>
      <c r="BB49" s="4">
        <v>0</v>
      </c>
      <c r="BC49" s="4">
        <v>0</v>
      </c>
      <c r="BD49" s="4">
        <v>0</v>
      </c>
      <c r="BE49" s="4">
        <v>0</v>
      </c>
      <c r="BF49" s="4">
        <v>0</v>
      </c>
      <c r="BG49" s="31">
        <f t="shared" si="6"/>
        <v>10857567.129999999</v>
      </c>
      <c r="BH49" s="31">
        <f t="shared" si="2"/>
        <v>982225</v>
      </c>
      <c r="BI49" s="31">
        <f t="shared" si="3"/>
        <v>9875342.129999999</v>
      </c>
      <c r="BJ49" s="31">
        <f t="shared" si="4"/>
        <v>0</v>
      </c>
    </row>
    <row r="50" spans="3:62" x14ac:dyDescent="0.25">
      <c r="D50">
        <v>1072</v>
      </c>
      <c r="E50" t="s">
        <v>344</v>
      </c>
      <c r="F50" s="4">
        <v>0</v>
      </c>
      <c r="G50" s="4">
        <v>0</v>
      </c>
      <c r="H50" s="4">
        <v>0</v>
      </c>
      <c r="I50" s="4">
        <v>0</v>
      </c>
      <c r="J50" s="4">
        <v>0</v>
      </c>
      <c r="K50" s="4">
        <v>0</v>
      </c>
      <c r="L50" s="4">
        <v>0</v>
      </c>
      <c r="M50" s="4">
        <v>0</v>
      </c>
      <c r="N50" s="4">
        <v>0</v>
      </c>
      <c r="O50" s="4">
        <v>0</v>
      </c>
      <c r="P50" s="4">
        <v>0</v>
      </c>
      <c r="Q50" s="4">
        <v>0</v>
      </c>
      <c r="R50" s="4">
        <v>0</v>
      </c>
      <c r="S50" s="4">
        <v>0</v>
      </c>
      <c r="T50" s="4">
        <v>0</v>
      </c>
      <c r="U50" s="4">
        <v>0</v>
      </c>
      <c r="V50" s="4">
        <v>0</v>
      </c>
      <c r="W50" s="4">
        <v>0</v>
      </c>
      <c r="X50" s="4">
        <v>0</v>
      </c>
      <c r="Y50" s="4">
        <v>0</v>
      </c>
      <c r="Z50" s="4">
        <v>0</v>
      </c>
      <c r="AA50" s="4">
        <v>0</v>
      </c>
      <c r="AB50" s="4">
        <v>0</v>
      </c>
      <c r="AC50" s="4">
        <v>0</v>
      </c>
      <c r="AD50" s="4">
        <v>0</v>
      </c>
      <c r="AE50" s="4">
        <v>0</v>
      </c>
      <c r="AF50" s="4">
        <v>0</v>
      </c>
      <c r="AG50" s="4">
        <v>0</v>
      </c>
      <c r="AH50" s="4">
        <v>0</v>
      </c>
      <c r="AI50" s="4">
        <v>0</v>
      </c>
      <c r="AJ50" s="4">
        <v>0</v>
      </c>
      <c r="AK50" s="4">
        <v>0</v>
      </c>
      <c r="AL50" s="4">
        <v>0</v>
      </c>
      <c r="AM50" s="4">
        <v>0</v>
      </c>
      <c r="AN50" s="4">
        <v>0</v>
      </c>
      <c r="AO50" s="4">
        <v>0</v>
      </c>
      <c r="AP50" s="4">
        <v>0</v>
      </c>
      <c r="AQ50" s="4">
        <v>0</v>
      </c>
      <c r="AR50" s="4">
        <v>0</v>
      </c>
      <c r="AS50" s="4">
        <v>0</v>
      </c>
      <c r="AT50" s="4">
        <v>0</v>
      </c>
      <c r="AU50" s="4">
        <v>0</v>
      </c>
      <c r="AV50" s="4">
        <v>0</v>
      </c>
      <c r="AW50" s="4">
        <v>0</v>
      </c>
      <c r="AX50" s="4">
        <v>0</v>
      </c>
      <c r="AY50" s="4">
        <v>0</v>
      </c>
      <c r="AZ50" s="4">
        <v>0</v>
      </c>
      <c r="BA50" s="4">
        <v>0</v>
      </c>
      <c r="BB50" s="4">
        <v>0</v>
      </c>
      <c r="BC50" s="4">
        <v>0</v>
      </c>
      <c r="BD50" s="4">
        <v>0</v>
      </c>
      <c r="BE50" s="4">
        <v>0</v>
      </c>
      <c r="BF50" s="4">
        <v>0</v>
      </c>
      <c r="BG50" s="31">
        <f t="shared" si="6"/>
        <v>0</v>
      </c>
      <c r="BH50" s="31">
        <f t="shared" si="2"/>
        <v>0</v>
      </c>
      <c r="BI50" s="31">
        <f t="shared" si="3"/>
        <v>0</v>
      </c>
      <c r="BJ50" s="31">
        <f t="shared" si="4"/>
        <v>0</v>
      </c>
    </row>
    <row r="51" spans="3:62" x14ac:dyDescent="0.25">
      <c r="D51">
        <v>1079</v>
      </c>
      <c r="E51" t="s">
        <v>345</v>
      </c>
      <c r="F51" s="4">
        <v>0</v>
      </c>
      <c r="G51" s="4">
        <v>0</v>
      </c>
      <c r="H51" s="4">
        <v>0</v>
      </c>
      <c r="I51" s="4">
        <v>0</v>
      </c>
      <c r="J51" s="4">
        <v>0</v>
      </c>
      <c r="K51" s="4">
        <v>0</v>
      </c>
      <c r="L51" s="4">
        <v>0</v>
      </c>
      <c r="M51" s="4">
        <v>0</v>
      </c>
      <c r="N51" s="4">
        <v>0</v>
      </c>
      <c r="O51" s="4">
        <v>0</v>
      </c>
      <c r="P51" s="4">
        <v>0</v>
      </c>
      <c r="Q51" s="4">
        <v>0</v>
      </c>
      <c r="R51" s="4">
        <v>0</v>
      </c>
      <c r="S51" s="4">
        <v>0</v>
      </c>
      <c r="T51" s="4">
        <v>0</v>
      </c>
      <c r="U51" s="4">
        <v>0</v>
      </c>
      <c r="V51" s="4">
        <v>0</v>
      </c>
      <c r="W51" s="4">
        <v>0</v>
      </c>
      <c r="X51" s="4">
        <v>0</v>
      </c>
      <c r="Y51" s="4">
        <v>0</v>
      </c>
      <c r="Z51" s="4">
        <v>0</v>
      </c>
      <c r="AA51" s="4">
        <v>0</v>
      </c>
      <c r="AB51" s="4">
        <v>0</v>
      </c>
      <c r="AC51" s="4">
        <v>0</v>
      </c>
      <c r="AD51" s="4">
        <v>0</v>
      </c>
      <c r="AE51" s="4">
        <v>0</v>
      </c>
      <c r="AF51" s="4">
        <v>0</v>
      </c>
      <c r="AG51" s="4">
        <v>0</v>
      </c>
      <c r="AH51" s="4">
        <v>0</v>
      </c>
      <c r="AI51" s="4">
        <v>0</v>
      </c>
      <c r="AJ51" s="4">
        <v>0</v>
      </c>
      <c r="AK51" s="4">
        <v>0</v>
      </c>
      <c r="AL51" s="4">
        <v>0</v>
      </c>
      <c r="AM51" s="4">
        <v>0</v>
      </c>
      <c r="AN51" s="4">
        <v>0</v>
      </c>
      <c r="AO51" s="4">
        <v>0</v>
      </c>
      <c r="AP51" s="4">
        <v>0</v>
      </c>
      <c r="AQ51" s="4">
        <v>0</v>
      </c>
      <c r="AR51" s="4">
        <v>0</v>
      </c>
      <c r="AS51" s="4">
        <v>0</v>
      </c>
      <c r="AT51" s="4">
        <v>0</v>
      </c>
      <c r="AU51" s="4">
        <v>0</v>
      </c>
      <c r="AV51" s="4">
        <v>0</v>
      </c>
      <c r="AW51" s="4">
        <v>0</v>
      </c>
      <c r="AX51" s="4">
        <v>0</v>
      </c>
      <c r="AY51" s="4">
        <v>0</v>
      </c>
      <c r="AZ51" s="4">
        <v>0</v>
      </c>
      <c r="BA51" s="4">
        <v>0</v>
      </c>
      <c r="BB51" s="4">
        <v>0</v>
      </c>
      <c r="BC51" s="4">
        <v>0</v>
      </c>
      <c r="BD51" s="4">
        <v>0</v>
      </c>
      <c r="BE51" s="4">
        <v>0</v>
      </c>
      <c r="BF51" s="4">
        <v>0</v>
      </c>
      <c r="BG51" s="31">
        <f t="shared" si="6"/>
        <v>0</v>
      </c>
      <c r="BH51" s="31">
        <f t="shared" si="2"/>
        <v>0</v>
      </c>
      <c r="BI51" s="31">
        <f t="shared" si="3"/>
        <v>0</v>
      </c>
      <c r="BJ51" s="31">
        <f t="shared" si="4"/>
        <v>0</v>
      </c>
    </row>
    <row r="52" spans="3:62" x14ac:dyDescent="0.25">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31"/>
      <c r="BH52" s="31"/>
      <c r="BI52" s="31"/>
      <c r="BJ52" s="31"/>
    </row>
    <row r="53" spans="3:62" x14ac:dyDescent="0.25">
      <c r="C53" s="56">
        <v>108</v>
      </c>
      <c r="D53" s="56"/>
      <c r="E53" s="56" t="s">
        <v>246</v>
      </c>
      <c r="F53" s="57">
        <f>F54+F55+F56+F57+F58+F59</f>
        <v>262154.7</v>
      </c>
      <c r="G53" s="57">
        <f t="shared" ref="G53:BF53" si="12">G54+G55+G56+G57+G58+G59</f>
        <v>660485.85</v>
      </c>
      <c r="H53" s="57">
        <f t="shared" si="12"/>
        <v>1414949</v>
      </c>
      <c r="I53" s="57">
        <f t="shared" si="12"/>
        <v>2480829.15</v>
      </c>
      <c r="J53" s="57">
        <f t="shared" si="12"/>
        <v>7418070</v>
      </c>
      <c r="K53" s="57">
        <f t="shared" si="12"/>
        <v>3017950</v>
      </c>
      <c r="L53" s="57">
        <f t="shared" si="12"/>
        <v>4472753</v>
      </c>
      <c r="M53" s="57">
        <f t="shared" si="12"/>
        <v>17026806.600000001</v>
      </c>
      <c r="N53" s="57">
        <f t="shared" si="12"/>
        <v>1032168</v>
      </c>
      <c r="O53" s="57">
        <f t="shared" si="12"/>
        <v>0</v>
      </c>
      <c r="P53" s="57">
        <f t="shared" si="12"/>
        <v>5983187.71</v>
      </c>
      <c r="Q53" s="57">
        <f t="shared" si="12"/>
        <v>1021197.1200000001</v>
      </c>
      <c r="R53" s="57">
        <f t="shared" si="12"/>
        <v>173100</v>
      </c>
      <c r="S53" s="57">
        <f t="shared" si="12"/>
        <v>544800</v>
      </c>
      <c r="T53" s="57">
        <f t="shared" si="12"/>
        <v>385983.25</v>
      </c>
      <c r="U53" s="57">
        <f t="shared" si="12"/>
        <v>2713585.15</v>
      </c>
      <c r="V53" s="57">
        <f t="shared" si="12"/>
        <v>448000</v>
      </c>
      <c r="W53" s="57">
        <f t="shared" si="12"/>
        <v>320000</v>
      </c>
      <c r="X53" s="57">
        <f t="shared" si="12"/>
        <v>1111221</v>
      </c>
      <c r="Y53" s="57">
        <f t="shared" si="12"/>
        <v>0</v>
      </c>
      <c r="Z53" s="57">
        <f t="shared" si="12"/>
        <v>167860</v>
      </c>
      <c r="AA53" s="57">
        <f t="shared" si="12"/>
        <v>1126577.45</v>
      </c>
      <c r="AB53" s="57">
        <f t="shared" si="12"/>
        <v>180906.95</v>
      </c>
      <c r="AC53" s="57">
        <f t="shared" si="12"/>
        <v>350219.05</v>
      </c>
      <c r="AD53" s="57">
        <f t="shared" si="12"/>
        <v>1562918.2999999998</v>
      </c>
      <c r="AE53" s="57">
        <f t="shared" si="12"/>
        <v>1534290.85</v>
      </c>
      <c r="AF53" s="57">
        <f t="shared" si="12"/>
        <v>0</v>
      </c>
      <c r="AG53" s="57">
        <f t="shared" si="12"/>
        <v>560878.15</v>
      </c>
      <c r="AH53" s="57">
        <f t="shared" si="12"/>
        <v>2202232.7999999998</v>
      </c>
      <c r="AI53" s="57">
        <f t="shared" si="12"/>
        <v>600000</v>
      </c>
      <c r="AJ53" s="57">
        <f t="shared" si="12"/>
        <v>0</v>
      </c>
      <c r="AK53" s="57">
        <f t="shared" si="12"/>
        <v>893750</v>
      </c>
      <c r="AL53" s="57">
        <f t="shared" si="12"/>
        <v>420000</v>
      </c>
      <c r="AM53" s="57">
        <f t="shared" si="12"/>
        <v>1311484.3</v>
      </c>
      <c r="AN53" s="57">
        <f t="shared" si="12"/>
        <v>1833684</v>
      </c>
      <c r="AO53" s="57">
        <f t="shared" si="12"/>
        <v>631637.14</v>
      </c>
      <c r="AP53" s="57">
        <f t="shared" si="12"/>
        <v>9747285</v>
      </c>
      <c r="AQ53" s="57">
        <f t="shared" si="12"/>
        <v>698220</v>
      </c>
      <c r="AR53" s="57">
        <f t="shared" si="12"/>
        <v>294546</v>
      </c>
      <c r="AS53" s="57">
        <f t="shared" si="12"/>
        <v>7127649.3499999996</v>
      </c>
      <c r="AT53" s="57">
        <f t="shared" si="12"/>
        <v>554697</v>
      </c>
      <c r="AU53" s="57">
        <f t="shared" si="12"/>
        <v>723170</v>
      </c>
      <c r="AV53" s="57">
        <f t="shared" si="12"/>
        <v>136322.20000000001</v>
      </c>
      <c r="AW53" s="57">
        <f t="shared" si="12"/>
        <v>0</v>
      </c>
      <c r="AX53" s="57">
        <f t="shared" si="12"/>
        <v>1054581.05</v>
      </c>
      <c r="AY53" s="57">
        <f t="shared" si="12"/>
        <v>116236</v>
      </c>
      <c r="AZ53" s="57">
        <f t="shared" si="12"/>
        <v>207450</v>
      </c>
      <c r="BA53" s="57">
        <f t="shared" si="12"/>
        <v>1230521</v>
      </c>
      <c r="BB53" s="57">
        <f t="shared" si="12"/>
        <v>398785</v>
      </c>
      <c r="BC53" s="57">
        <f t="shared" si="12"/>
        <v>2547238.5999999996</v>
      </c>
      <c r="BD53" s="57">
        <f t="shared" si="12"/>
        <v>5340</v>
      </c>
      <c r="BE53" s="57">
        <f t="shared" si="12"/>
        <v>8969582.9000000004</v>
      </c>
      <c r="BF53" s="57">
        <f t="shared" si="12"/>
        <v>895335</v>
      </c>
      <c r="BG53" s="57">
        <f t="shared" si="6"/>
        <v>98570638.619999975</v>
      </c>
      <c r="BH53" s="57">
        <f t="shared" si="2"/>
        <v>50487240.529999994</v>
      </c>
      <c r="BI53" s="57">
        <f t="shared" si="3"/>
        <v>9179633.5500000007</v>
      </c>
      <c r="BJ53" s="57">
        <f t="shared" si="4"/>
        <v>38903764.539999999</v>
      </c>
    </row>
    <row r="54" spans="3:62" x14ac:dyDescent="0.25">
      <c r="D54">
        <v>1080</v>
      </c>
      <c r="E54" t="s">
        <v>347</v>
      </c>
      <c r="F54" s="4">
        <v>0</v>
      </c>
      <c r="G54" s="4">
        <v>87280</v>
      </c>
      <c r="H54" s="4">
        <v>169116</v>
      </c>
      <c r="I54" s="4">
        <v>199365</v>
      </c>
      <c r="J54" s="4">
        <v>784520</v>
      </c>
      <c r="K54" s="4">
        <v>257950</v>
      </c>
      <c r="L54" s="4">
        <v>971953</v>
      </c>
      <c r="M54" s="4">
        <v>10813326.6</v>
      </c>
      <c r="N54" s="4">
        <v>581618</v>
      </c>
      <c r="O54" s="4">
        <v>0</v>
      </c>
      <c r="P54" s="4">
        <v>2236396.37</v>
      </c>
      <c r="Q54" s="4">
        <v>334222.57</v>
      </c>
      <c r="R54" s="4">
        <v>0</v>
      </c>
      <c r="S54" s="4">
        <v>0</v>
      </c>
      <c r="T54" s="4">
        <v>385983.25</v>
      </c>
      <c r="U54" s="4">
        <v>2713585.15</v>
      </c>
      <c r="V54" s="4">
        <v>0</v>
      </c>
      <c r="W54" s="4">
        <v>0</v>
      </c>
      <c r="X54" s="4">
        <v>553320</v>
      </c>
      <c r="Y54" s="4">
        <v>0</v>
      </c>
      <c r="Z54" s="4">
        <v>167860</v>
      </c>
      <c r="AA54" s="4">
        <v>848477.45</v>
      </c>
      <c r="AB54" s="4">
        <v>0</v>
      </c>
      <c r="AC54" s="4">
        <v>30</v>
      </c>
      <c r="AD54" s="4">
        <v>88237</v>
      </c>
      <c r="AE54" s="4">
        <v>269430.84999999998</v>
      </c>
      <c r="AF54" s="4">
        <v>0</v>
      </c>
      <c r="AG54" s="4">
        <v>0</v>
      </c>
      <c r="AH54" s="4">
        <v>647232.80000000005</v>
      </c>
      <c r="AI54" s="4">
        <v>0</v>
      </c>
      <c r="AJ54" s="4">
        <v>0</v>
      </c>
      <c r="AK54" s="4">
        <v>8710</v>
      </c>
      <c r="AL54" s="4">
        <v>0</v>
      </c>
      <c r="AM54" s="4">
        <v>590157</v>
      </c>
      <c r="AN54" s="4">
        <v>569067</v>
      </c>
      <c r="AO54" s="4">
        <v>631637.14</v>
      </c>
      <c r="AP54" s="4">
        <v>7209095</v>
      </c>
      <c r="AQ54" s="4">
        <v>83490</v>
      </c>
      <c r="AR54" s="4">
        <v>294546</v>
      </c>
      <c r="AS54" s="4">
        <v>170920</v>
      </c>
      <c r="AT54" s="4">
        <v>55797</v>
      </c>
      <c r="AU54" s="4">
        <v>3680</v>
      </c>
      <c r="AV54" s="4">
        <v>136322.20000000001</v>
      </c>
      <c r="AW54" s="4">
        <v>0</v>
      </c>
      <c r="AX54" s="4">
        <v>594692.15</v>
      </c>
      <c r="AY54" s="4">
        <v>116236</v>
      </c>
      <c r="AZ54" s="4">
        <v>49450</v>
      </c>
      <c r="BA54" s="4">
        <v>721691</v>
      </c>
      <c r="BB54" s="4">
        <v>158785</v>
      </c>
      <c r="BC54" s="4">
        <v>888072</v>
      </c>
      <c r="BD54" s="4">
        <v>5340</v>
      </c>
      <c r="BE54" s="4">
        <v>6294903.5499999998</v>
      </c>
      <c r="BF54" s="4">
        <v>185335</v>
      </c>
      <c r="BG54" s="31">
        <f t="shared" si="6"/>
        <v>40877830.079999998</v>
      </c>
      <c r="BH54" s="31">
        <f t="shared" si="2"/>
        <v>20088635.939999998</v>
      </c>
      <c r="BI54" s="31">
        <f t="shared" si="3"/>
        <v>2029978.0999999999</v>
      </c>
      <c r="BJ54" s="31">
        <f t="shared" si="4"/>
        <v>18759216.039999999</v>
      </c>
    </row>
    <row r="55" spans="3:62" x14ac:dyDescent="0.25">
      <c r="D55">
        <v>1084</v>
      </c>
      <c r="E55" t="s">
        <v>348</v>
      </c>
      <c r="F55" s="4">
        <v>262154.7</v>
      </c>
      <c r="G55" s="4">
        <v>565900</v>
      </c>
      <c r="H55" s="4">
        <v>1245833</v>
      </c>
      <c r="I55" s="4">
        <v>2281464.15</v>
      </c>
      <c r="J55" s="4">
        <v>6633550</v>
      </c>
      <c r="K55" s="4">
        <v>2760000</v>
      </c>
      <c r="L55" s="4">
        <v>3500800</v>
      </c>
      <c r="M55" s="4">
        <v>6213480</v>
      </c>
      <c r="N55" s="4">
        <v>450550</v>
      </c>
      <c r="O55" s="4">
        <v>0</v>
      </c>
      <c r="P55" s="4">
        <v>1124850</v>
      </c>
      <c r="Q55" s="4">
        <v>686974.55</v>
      </c>
      <c r="R55" s="4">
        <v>173100</v>
      </c>
      <c r="S55" s="4">
        <v>544800</v>
      </c>
      <c r="T55" s="4">
        <v>0</v>
      </c>
      <c r="U55" s="4">
        <v>0</v>
      </c>
      <c r="V55" s="4">
        <v>448000</v>
      </c>
      <c r="W55" s="4">
        <v>320000</v>
      </c>
      <c r="X55" s="4">
        <v>557901</v>
      </c>
      <c r="Y55" s="4">
        <v>0</v>
      </c>
      <c r="Z55" s="4">
        <v>0</v>
      </c>
      <c r="AA55" s="4">
        <v>278100</v>
      </c>
      <c r="AB55" s="4">
        <v>0</v>
      </c>
      <c r="AC55" s="4">
        <v>350189.05</v>
      </c>
      <c r="AD55" s="4">
        <v>1067436.8999999999</v>
      </c>
      <c r="AE55" s="4">
        <v>1264860</v>
      </c>
      <c r="AF55" s="4">
        <v>0</v>
      </c>
      <c r="AG55" s="4">
        <v>560878.15</v>
      </c>
      <c r="AH55" s="4">
        <v>1555000</v>
      </c>
      <c r="AI55" s="4">
        <v>600000</v>
      </c>
      <c r="AJ55" s="4">
        <v>0</v>
      </c>
      <c r="AK55" s="4">
        <v>885040</v>
      </c>
      <c r="AL55" s="4">
        <v>420000</v>
      </c>
      <c r="AM55" s="4">
        <v>721327.3</v>
      </c>
      <c r="AN55" s="4">
        <v>1264617</v>
      </c>
      <c r="AO55" s="4">
        <v>0</v>
      </c>
      <c r="AP55" s="4">
        <v>2538190</v>
      </c>
      <c r="AQ55" s="4">
        <v>614730</v>
      </c>
      <c r="AR55" s="4">
        <v>0</v>
      </c>
      <c r="AS55" s="4">
        <v>6211325.8499999996</v>
      </c>
      <c r="AT55" s="4">
        <v>498900</v>
      </c>
      <c r="AU55" s="4">
        <v>719490</v>
      </c>
      <c r="AV55" s="4">
        <v>0</v>
      </c>
      <c r="AW55" s="4">
        <v>0</v>
      </c>
      <c r="AX55" s="4">
        <v>416600</v>
      </c>
      <c r="AY55" s="4">
        <v>0</v>
      </c>
      <c r="AZ55" s="4">
        <v>158000</v>
      </c>
      <c r="BA55" s="4">
        <v>508830</v>
      </c>
      <c r="BB55" s="4">
        <v>240000</v>
      </c>
      <c r="BC55" s="4">
        <v>1637172.3</v>
      </c>
      <c r="BD55" s="4">
        <v>0</v>
      </c>
      <c r="BE55" s="4">
        <v>2629350.7000000002</v>
      </c>
      <c r="BF55" s="4">
        <v>710000</v>
      </c>
      <c r="BG55" s="31">
        <f t="shared" si="6"/>
        <v>53619394.649999999</v>
      </c>
      <c r="BH55" s="31">
        <f t="shared" si="2"/>
        <v>27769357.400000002</v>
      </c>
      <c r="BI55" s="31">
        <f t="shared" si="3"/>
        <v>6561504.0999999996</v>
      </c>
      <c r="BJ55" s="31">
        <f t="shared" si="4"/>
        <v>19288533.149999999</v>
      </c>
    </row>
    <row r="56" spans="3:62" x14ac:dyDescent="0.25">
      <c r="D56">
        <v>1086</v>
      </c>
      <c r="E56" t="s">
        <v>349</v>
      </c>
      <c r="F56" s="4">
        <v>0</v>
      </c>
      <c r="G56" s="4">
        <v>0</v>
      </c>
      <c r="H56" s="4">
        <v>0</v>
      </c>
      <c r="I56" s="4">
        <v>0</v>
      </c>
      <c r="J56" s="4">
        <v>0</v>
      </c>
      <c r="K56" s="4">
        <v>0</v>
      </c>
      <c r="L56" s="4">
        <v>0</v>
      </c>
      <c r="M56" s="4">
        <v>0</v>
      </c>
      <c r="N56" s="4">
        <v>0</v>
      </c>
      <c r="O56" s="4">
        <v>0</v>
      </c>
      <c r="P56" s="4">
        <v>0</v>
      </c>
      <c r="Q56" s="4">
        <v>0</v>
      </c>
      <c r="R56" s="4">
        <v>0</v>
      </c>
      <c r="S56" s="4">
        <v>0</v>
      </c>
      <c r="T56" s="4">
        <v>0</v>
      </c>
      <c r="U56" s="4">
        <v>0</v>
      </c>
      <c r="V56" s="4">
        <v>0</v>
      </c>
      <c r="W56" s="4">
        <v>0</v>
      </c>
      <c r="X56" s="4">
        <v>0</v>
      </c>
      <c r="Y56" s="4">
        <v>0</v>
      </c>
      <c r="Z56" s="4">
        <v>0</v>
      </c>
      <c r="AA56" s="4">
        <v>0</v>
      </c>
      <c r="AB56" s="4">
        <v>0</v>
      </c>
      <c r="AC56" s="4">
        <v>0</v>
      </c>
      <c r="AD56" s="4">
        <v>0</v>
      </c>
      <c r="AE56" s="4">
        <v>0</v>
      </c>
      <c r="AF56" s="4">
        <v>0</v>
      </c>
      <c r="AG56" s="4">
        <v>0</v>
      </c>
      <c r="AH56" s="4">
        <v>0</v>
      </c>
      <c r="AI56" s="4">
        <v>0</v>
      </c>
      <c r="AJ56" s="4">
        <v>0</v>
      </c>
      <c r="AK56" s="4">
        <v>0</v>
      </c>
      <c r="AL56" s="4">
        <v>0</v>
      </c>
      <c r="AM56" s="4">
        <v>0</v>
      </c>
      <c r="AN56" s="4">
        <v>0</v>
      </c>
      <c r="AO56" s="4">
        <v>0</v>
      </c>
      <c r="AP56" s="4">
        <v>0</v>
      </c>
      <c r="AQ56" s="4">
        <v>0</v>
      </c>
      <c r="AR56" s="4">
        <v>0</v>
      </c>
      <c r="AS56" s="4">
        <v>0</v>
      </c>
      <c r="AT56" s="4">
        <v>0</v>
      </c>
      <c r="AU56" s="4">
        <v>0</v>
      </c>
      <c r="AV56" s="4">
        <v>0</v>
      </c>
      <c r="AW56" s="4">
        <v>0</v>
      </c>
      <c r="AX56" s="4">
        <v>0</v>
      </c>
      <c r="AY56" s="4">
        <v>0</v>
      </c>
      <c r="AZ56" s="4">
        <v>0</v>
      </c>
      <c r="BA56" s="4">
        <v>0</v>
      </c>
      <c r="BB56" s="4">
        <v>0</v>
      </c>
      <c r="BC56" s="4">
        <v>0</v>
      </c>
      <c r="BD56" s="4">
        <v>0</v>
      </c>
      <c r="BE56" s="4">
        <v>0</v>
      </c>
      <c r="BF56" s="4">
        <v>0</v>
      </c>
      <c r="BG56" s="31">
        <f t="shared" si="6"/>
        <v>0</v>
      </c>
      <c r="BH56" s="31">
        <f t="shared" si="2"/>
        <v>0</v>
      </c>
      <c r="BI56" s="31">
        <f t="shared" si="3"/>
        <v>0</v>
      </c>
      <c r="BJ56" s="31">
        <f t="shared" si="4"/>
        <v>0</v>
      </c>
    </row>
    <row r="57" spans="3:62" x14ac:dyDescent="0.25">
      <c r="D57">
        <v>1087</v>
      </c>
      <c r="E57" t="s">
        <v>350</v>
      </c>
      <c r="F57" s="4">
        <v>0</v>
      </c>
      <c r="G57" s="4">
        <v>7305.85</v>
      </c>
      <c r="H57" s="4">
        <v>0</v>
      </c>
      <c r="I57" s="4">
        <v>0</v>
      </c>
      <c r="J57" s="4">
        <v>0</v>
      </c>
      <c r="K57" s="4">
        <v>0</v>
      </c>
      <c r="L57" s="4">
        <v>0</v>
      </c>
      <c r="M57" s="4">
        <v>0</v>
      </c>
      <c r="N57" s="4">
        <v>0</v>
      </c>
      <c r="O57" s="4">
        <v>0</v>
      </c>
      <c r="P57" s="4">
        <v>2621941.34</v>
      </c>
      <c r="Q57" s="4">
        <v>0</v>
      </c>
      <c r="R57" s="4">
        <v>0</v>
      </c>
      <c r="S57" s="4">
        <v>0</v>
      </c>
      <c r="T57" s="4">
        <v>0</v>
      </c>
      <c r="U57" s="4">
        <v>0</v>
      </c>
      <c r="V57" s="4">
        <v>0</v>
      </c>
      <c r="W57" s="4">
        <v>0</v>
      </c>
      <c r="X57" s="4">
        <v>0</v>
      </c>
      <c r="Y57" s="4">
        <v>0</v>
      </c>
      <c r="Z57" s="4">
        <v>0</v>
      </c>
      <c r="AA57" s="4">
        <v>0</v>
      </c>
      <c r="AB57" s="4">
        <v>180906.95</v>
      </c>
      <c r="AC57" s="4">
        <v>0</v>
      </c>
      <c r="AD57" s="4">
        <v>407244.4</v>
      </c>
      <c r="AE57" s="4">
        <v>0</v>
      </c>
      <c r="AF57" s="4">
        <v>0</v>
      </c>
      <c r="AG57" s="4">
        <v>0</v>
      </c>
      <c r="AH57" s="4">
        <v>0</v>
      </c>
      <c r="AI57" s="4">
        <v>0</v>
      </c>
      <c r="AJ57" s="4">
        <v>0</v>
      </c>
      <c r="AK57" s="4">
        <v>0</v>
      </c>
      <c r="AL57" s="4">
        <v>0</v>
      </c>
      <c r="AM57" s="4">
        <v>0</v>
      </c>
      <c r="AN57" s="4">
        <v>0</v>
      </c>
      <c r="AO57" s="4">
        <v>0</v>
      </c>
      <c r="AP57" s="4">
        <v>0</v>
      </c>
      <c r="AQ57" s="4">
        <v>0</v>
      </c>
      <c r="AR57" s="4">
        <v>0</v>
      </c>
      <c r="AS57" s="4">
        <v>745403.5</v>
      </c>
      <c r="AT57" s="4">
        <v>0</v>
      </c>
      <c r="AU57" s="4">
        <v>0</v>
      </c>
      <c r="AV57" s="4">
        <v>0</v>
      </c>
      <c r="AW57" s="4">
        <v>0</v>
      </c>
      <c r="AX57" s="4">
        <v>43288.9</v>
      </c>
      <c r="AY57" s="4">
        <v>0</v>
      </c>
      <c r="AZ57" s="4">
        <v>0</v>
      </c>
      <c r="BA57" s="4">
        <v>0</v>
      </c>
      <c r="BB57" s="4">
        <v>0</v>
      </c>
      <c r="BC57" s="4">
        <v>21994.3</v>
      </c>
      <c r="BD57" s="4">
        <v>0</v>
      </c>
      <c r="BE57" s="4">
        <v>45328.65</v>
      </c>
      <c r="BF57" s="4">
        <v>0</v>
      </c>
      <c r="BG57" s="31">
        <f t="shared" si="6"/>
        <v>4073413.8899999997</v>
      </c>
      <c r="BH57" s="31">
        <f t="shared" si="2"/>
        <v>2629247.19</v>
      </c>
      <c r="BI57" s="31">
        <f t="shared" si="3"/>
        <v>588151.35000000009</v>
      </c>
      <c r="BJ57" s="31">
        <f t="shared" si="4"/>
        <v>856015.35000000009</v>
      </c>
    </row>
    <row r="58" spans="3:62" x14ac:dyDescent="0.25">
      <c r="D58">
        <v>1088</v>
      </c>
      <c r="E58" t="s">
        <v>351</v>
      </c>
      <c r="F58" s="4">
        <v>0</v>
      </c>
      <c r="G58" s="4">
        <v>0</v>
      </c>
      <c r="H58" s="4">
        <v>0</v>
      </c>
      <c r="I58" s="4">
        <v>0</v>
      </c>
      <c r="J58" s="4">
        <v>0</v>
      </c>
      <c r="K58" s="4">
        <v>0</v>
      </c>
      <c r="L58" s="4">
        <v>0</v>
      </c>
      <c r="M58" s="4">
        <v>0</v>
      </c>
      <c r="N58" s="4">
        <v>0</v>
      </c>
      <c r="O58" s="4">
        <v>0</v>
      </c>
      <c r="P58" s="4">
        <v>0</v>
      </c>
      <c r="Q58" s="4">
        <v>0</v>
      </c>
      <c r="R58" s="4">
        <v>0</v>
      </c>
      <c r="S58" s="4">
        <v>0</v>
      </c>
      <c r="T58" s="4">
        <v>0</v>
      </c>
      <c r="U58" s="4">
        <v>0</v>
      </c>
      <c r="V58" s="4">
        <v>0</v>
      </c>
      <c r="W58" s="4">
        <v>0</v>
      </c>
      <c r="X58" s="4">
        <v>0</v>
      </c>
      <c r="Y58" s="4">
        <v>0</v>
      </c>
      <c r="Z58" s="4">
        <v>0</v>
      </c>
      <c r="AA58" s="4">
        <v>0</v>
      </c>
      <c r="AB58" s="4">
        <v>0</v>
      </c>
      <c r="AC58" s="4">
        <v>0</v>
      </c>
      <c r="AD58" s="4">
        <v>0</v>
      </c>
      <c r="AE58" s="4">
        <v>0</v>
      </c>
      <c r="AF58" s="4">
        <v>0</v>
      </c>
      <c r="AG58" s="4">
        <v>0</v>
      </c>
      <c r="AH58" s="4">
        <v>0</v>
      </c>
      <c r="AI58" s="4">
        <v>0</v>
      </c>
      <c r="AJ58" s="4">
        <v>0</v>
      </c>
      <c r="AK58" s="4">
        <v>0</v>
      </c>
      <c r="AL58" s="4">
        <v>0</v>
      </c>
      <c r="AM58" s="4">
        <v>0</v>
      </c>
      <c r="AN58" s="4">
        <v>0</v>
      </c>
      <c r="AO58" s="4">
        <v>0</v>
      </c>
      <c r="AP58" s="4">
        <v>0</v>
      </c>
      <c r="AQ58" s="4">
        <v>0</v>
      </c>
      <c r="AR58" s="4">
        <v>0</v>
      </c>
      <c r="AS58" s="4">
        <v>0</v>
      </c>
      <c r="AT58" s="4">
        <v>0</v>
      </c>
      <c r="AU58" s="4">
        <v>0</v>
      </c>
      <c r="AV58" s="4">
        <v>0</v>
      </c>
      <c r="AW58" s="4">
        <v>0</v>
      </c>
      <c r="AX58" s="4">
        <v>0</v>
      </c>
      <c r="AY58" s="4">
        <v>0</v>
      </c>
      <c r="AZ58" s="4">
        <v>0</v>
      </c>
      <c r="BA58" s="4">
        <v>0</v>
      </c>
      <c r="BB58" s="4">
        <v>0</v>
      </c>
      <c r="BC58" s="4">
        <v>0</v>
      </c>
      <c r="BD58" s="4">
        <v>0</v>
      </c>
      <c r="BE58" s="4">
        <v>0</v>
      </c>
      <c r="BF58" s="4">
        <v>0</v>
      </c>
      <c r="BG58" s="31">
        <f t="shared" si="6"/>
        <v>0</v>
      </c>
      <c r="BH58" s="31">
        <f t="shared" si="2"/>
        <v>0</v>
      </c>
      <c r="BI58" s="31">
        <f t="shared" si="3"/>
        <v>0</v>
      </c>
      <c r="BJ58" s="31">
        <f t="shared" si="4"/>
        <v>0</v>
      </c>
    </row>
    <row r="59" spans="3:62" x14ac:dyDescent="0.25">
      <c r="D59">
        <v>1089</v>
      </c>
      <c r="E59" t="s">
        <v>352</v>
      </c>
      <c r="F59" s="4">
        <v>0</v>
      </c>
      <c r="G59" s="4">
        <v>0</v>
      </c>
      <c r="H59" s="4">
        <v>0</v>
      </c>
      <c r="I59" s="4">
        <v>0</v>
      </c>
      <c r="J59" s="4">
        <v>0</v>
      </c>
      <c r="K59" s="4">
        <v>0</v>
      </c>
      <c r="L59" s="4">
        <v>0</v>
      </c>
      <c r="M59" s="4">
        <v>0</v>
      </c>
      <c r="N59" s="4">
        <v>0</v>
      </c>
      <c r="O59" s="4">
        <v>0</v>
      </c>
      <c r="P59" s="4">
        <v>0</v>
      </c>
      <c r="Q59" s="4">
        <v>0</v>
      </c>
      <c r="R59" s="4">
        <v>0</v>
      </c>
      <c r="S59" s="4">
        <v>0</v>
      </c>
      <c r="T59" s="4">
        <v>0</v>
      </c>
      <c r="U59" s="4">
        <v>0</v>
      </c>
      <c r="V59" s="4">
        <v>0</v>
      </c>
      <c r="W59" s="4">
        <v>0</v>
      </c>
      <c r="X59" s="4">
        <v>0</v>
      </c>
      <c r="Y59" s="4">
        <v>0</v>
      </c>
      <c r="Z59" s="4">
        <v>0</v>
      </c>
      <c r="AA59" s="4">
        <v>0</v>
      </c>
      <c r="AB59" s="4">
        <v>0</v>
      </c>
      <c r="AC59" s="4">
        <v>0</v>
      </c>
      <c r="AD59" s="4">
        <v>0</v>
      </c>
      <c r="AE59" s="4">
        <v>0</v>
      </c>
      <c r="AF59" s="4">
        <v>0</v>
      </c>
      <c r="AG59" s="4">
        <v>0</v>
      </c>
      <c r="AH59" s="4">
        <v>0</v>
      </c>
      <c r="AI59" s="4">
        <v>0</v>
      </c>
      <c r="AJ59" s="4">
        <v>0</v>
      </c>
      <c r="AK59" s="4">
        <v>0</v>
      </c>
      <c r="AL59" s="4">
        <v>0</v>
      </c>
      <c r="AM59" s="4">
        <v>0</v>
      </c>
      <c r="AN59" s="4">
        <v>0</v>
      </c>
      <c r="AO59" s="4">
        <v>0</v>
      </c>
      <c r="AP59" s="4">
        <v>0</v>
      </c>
      <c r="AQ59" s="4">
        <v>0</v>
      </c>
      <c r="AR59" s="4">
        <v>0</v>
      </c>
      <c r="AS59" s="4">
        <v>0</v>
      </c>
      <c r="AT59" s="4">
        <v>0</v>
      </c>
      <c r="AU59" s="4">
        <v>0</v>
      </c>
      <c r="AV59" s="4">
        <v>0</v>
      </c>
      <c r="AW59" s="4">
        <v>0</v>
      </c>
      <c r="AX59" s="4">
        <v>0</v>
      </c>
      <c r="AY59" s="4">
        <v>0</v>
      </c>
      <c r="AZ59" s="4">
        <v>0</v>
      </c>
      <c r="BA59" s="4">
        <v>0</v>
      </c>
      <c r="BB59" s="4">
        <v>0</v>
      </c>
      <c r="BC59" s="4">
        <v>0</v>
      </c>
      <c r="BD59" s="4">
        <v>0</v>
      </c>
      <c r="BE59" s="4">
        <v>0</v>
      </c>
      <c r="BF59" s="4">
        <v>0</v>
      </c>
      <c r="BG59" s="31">
        <f t="shared" si="6"/>
        <v>0</v>
      </c>
      <c r="BH59" s="31">
        <f t="shared" si="2"/>
        <v>0</v>
      </c>
      <c r="BI59" s="31">
        <f t="shared" si="3"/>
        <v>0</v>
      </c>
      <c r="BJ59" s="31">
        <f t="shared" si="4"/>
        <v>0</v>
      </c>
    </row>
    <row r="60" spans="3:62" x14ac:dyDescent="0.25">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31"/>
      <c r="BH60" s="31"/>
      <c r="BI60" s="31"/>
      <c r="BJ60" s="31"/>
    </row>
    <row r="61" spans="3:62" x14ac:dyDescent="0.25">
      <c r="C61" s="56">
        <v>109</v>
      </c>
      <c r="D61" s="56"/>
      <c r="E61" s="56" t="s">
        <v>353</v>
      </c>
      <c r="F61" s="57">
        <f>F62+F63+F64+F65</f>
        <v>0</v>
      </c>
      <c r="G61" s="57">
        <f t="shared" ref="G61:BF61" si="13">G62+G63+G64+G65</f>
        <v>0</v>
      </c>
      <c r="H61" s="57">
        <f t="shared" si="13"/>
        <v>0</v>
      </c>
      <c r="I61" s="57">
        <f t="shared" si="13"/>
        <v>0</v>
      </c>
      <c r="J61" s="57">
        <f t="shared" si="13"/>
        <v>0</v>
      </c>
      <c r="K61" s="57">
        <f t="shared" si="13"/>
        <v>0</v>
      </c>
      <c r="L61" s="57">
        <f t="shared" si="13"/>
        <v>0</v>
      </c>
      <c r="M61" s="57">
        <f t="shared" si="13"/>
        <v>0</v>
      </c>
      <c r="N61" s="57">
        <f t="shared" si="13"/>
        <v>0</v>
      </c>
      <c r="O61" s="57">
        <f t="shared" si="13"/>
        <v>0</v>
      </c>
      <c r="P61" s="57">
        <f t="shared" si="13"/>
        <v>0</v>
      </c>
      <c r="Q61" s="57">
        <f t="shared" si="13"/>
        <v>0</v>
      </c>
      <c r="R61" s="57">
        <f t="shared" si="13"/>
        <v>0</v>
      </c>
      <c r="S61" s="57">
        <f t="shared" si="13"/>
        <v>0</v>
      </c>
      <c r="T61" s="57">
        <f t="shared" si="13"/>
        <v>0</v>
      </c>
      <c r="U61" s="57">
        <f t="shared" si="13"/>
        <v>0</v>
      </c>
      <c r="V61" s="57">
        <f t="shared" si="13"/>
        <v>0</v>
      </c>
      <c r="W61" s="57">
        <f t="shared" si="13"/>
        <v>0</v>
      </c>
      <c r="X61" s="57">
        <f t="shared" si="13"/>
        <v>0</v>
      </c>
      <c r="Y61" s="57">
        <f t="shared" si="13"/>
        <v>0</v>
      </c>
      <c r="Z61" s="57">
        <f t="shared" si="13"/>
        <v>0</v>
      </c>
      <c r="AA61" s="57">
        <f t="shared" si="13"/>
        <v>0</v>
      </c>
      <c r="AB61" s="57">
        <f t="shared" si="13"/>
        <v>0</v>
      </c>
      <c r="AC61" s="57">
        <f t="shared" si="13"/>
        <v>0</v>
      </c>
      <c r="AD61" s="57">
        <f t="shared" si="13"/>
        <v>0</v>
      </c>
      <c r="AE61" s="57">
        <f t="shared" si="13"/>
        <v>0</v>
      </c>
      <c r="AF61" s="57">
        <f t="shared" si="13"/>
        <v>0</v>
      </c>
      <c r="AG61" s="57">
        <f t="shared" si="13"/>
        <v>0</v>
      </c>
      <c r="AH61" s="57">
        <f t="shared" si="13"/>
        <v>0</v>
      </c>
      <c r="AI61" s="57">
        <f t="shared" si="13"/>
        <v>0</v>
      </c>
      <c r="AJ61" s="57">
        <f t="shared" si="13"/>
        <v>0</v>
      </c>
      <c r="AK61" s="57">
        <f t="shared" si="13"/>
        <v>0</v>
      </c>
      <c r="AL61" s="57">
        <f t="shared" si="13"/>
        <v>0</v>
      </c>
      <c r="AM61" s="57">
        <f t="shared" si="13"/>
        <v>0</v>
      </c>
      <c r="AN61" s="57">
        <f t="shared" si="13"/>
        <v>0</v>
      </c>
      <c r="AO61" s="57">
        <f t="shared" si="13"/>
        <v>0</v>
      </c>
      <c r="AP61" s="57">
        <f t="shared" si="13"/>
        <v>0</v>
      </c>
      <c r="AQ61" s="57">
        <f t="shared" si="13"/>
        <v>0</v>
      </c>
      <c r="AR61" s="57">
        <f t="shared" si="13"/>
        <v>0</v>
      </c>
      <c r="AS61" s="57">
        <f t="shared" si="13"/>
        <v>0</v>
      </c>
      <c r="AT61" s="57">
        <f t="shared" si="13"/>
        <v>0</v>
      </c>
      <c r="AU61" s="57">
        <f t="shared" si="13"/>
        <v>0</v>
      </c>
      <c r="AV61" s="57">
        <f t="shared" si="13"/>
        <v>0</v>
      </c>
      <c r="AW61" s="57">
        <f t="shared" si="13"/>
        <v>0</v>
      </c>
      <c r="AX61" s="57">
        <f t="shared" si="13"/>
        <v>0</v>
      </c>
      <c r="AY61" s="57">
        <f t="shared" si="13"/>
        <v>0</v>
      </c>
      <c r="AZ61" s="57">
        <f t="shared" si="13"/>
        <v>0</v>
      </c>
      <c r="BA61" s="57">
        <f t="shared" si="13"/>
        <v>0</v>
      </c>
      <c r="BB61" s="57">
        <f t="shared" si="13"/>
        <v>0</v>
      </c>
      <c r="BC61" s="57">
        <f t="shared" si="13"/>
        <v>0</v>
      </c>
      <c r="BD61" s="57">
        <f t="shared" si="13"/>
        <v>0</v>
      </c>
      <c r="BE61" s="57">
        <f t="shared" si="13"/>
        <v>0</v>
      </c>
      <c r="BF61" s="57">
        <f t="shared" si="13"/>
        <v>0</v>
      </c>
      <c r="BG61" s="57">
        <f t="shared" si="6"/>
        <v>0</v>
      </c>
      <c r="BH61" s="57">
        <f t="shared" si="2"/>
        <v>0</v>
      </c>
      <c r="BI61" s="57">
        <f t="shared" si="3"/>
        <v>0</v>
      </c>
      <c r="BJ61" s="57">
        <f t="shared" si="4"/>
        <v>0</v>
      </c>
    </row>
    <row r="62" spans="3:62" x14ac:dyDescent="0.25">
      <c r="D62">
        <v>1090</v>
      </c>
      <c r="E62" t="s">
        <v>353</v>
      </c>
      <c r="F62" s="4">
        <v>0</v>
      </c>
      <c r="G62" s="4">
        <v>0</v>
      </c>
      <c r="H62" s="4">
        <v>0</v>
      </c>
      <c r="I62" s="4">
        <v>0</v>
      </c>
      <c r="J62" s="4">
        <v>0</v>
      </c>
      <c r="K62" s="4">
        <v>0</v>
      </c>
      <c r="L62" s="4">
        <v>0</v>
      </c>
      <c r="M62" s="4">
        <v>0</v>
      </c>
      <c r="N62" s="4">
        <v>0</v>
      </c>
      <c r="O62" s="4">
        <v>0</v>
      </c>
      <c r="P62" s="4">
        <v>0</v>
      </c>
      <c r="Q62" s="4">
        <v>0</v>
      </c>
      <c r="R62" s="4">
        <v>0</v>
      </c>
      <c r="S62" s="4">
        <v>0</v>
      </c>
      <c r="T62" s="4">
        <v>0</v>
      </c>
      <c r="U62" s="4">
        <v>0</v>
      </c>
      <c r="V62" s="4">
        <v>0</v>
      </c>
      <c r="W62" s="4">
        <v>0</v>
      </c>
      <c r="X62" s="4">
        <v>0</v>
      </c>
      <c r="Y62" s="4">
        <v>0</v>
      </c>
      <c r="Z62" s="4">
        <v>0</v>
      </c>
      <c r="AA62" s="4">
        <v>0</v>
      </c>
      <c r="AB62" s="4">
        <v>0</v>
      </c>
      <c r="AC62" s="4">
        <v>0</v>
      </c>
      <c r="AD62" s="4">
        <v>0</v>
      </c>
      <c r="AE62" s="4">
        <v>0</v>
      </c>
      <c r="AF62" s="4">
        <v>0</v>
      </c>
      <c r="AG62" s="4">
        <v>0</v>
      </c>
      <c r="AH62" s="4">
        <v>0</v>
      </c>
      <c r="AI62" s="4">
        <v>0</v>
      </c>
      <c r="AJ62" s="4">
        <v>0</v>
      </c>
      <c r="AK62" s="4">
        <v>0</v>
      </c>
      <c r="AL62" s="4">
        <v>0</v>
      </c>
      <c r="AM62" s="4">
        <v>0</v>
      </c>
      <c r="AN62" s="4">
        <v>0</v>
      </c>
      <c r="AO62" s="4">
        <v>0</v>
      </c>
      <c r="AP62" s="4">
        <v>0</v>
      </c>
      <c r="AQ62" s="4">
        <v>0</v>
      </c>
      <c r="AR62" s="4">
        <v>0</v>
      </c>
      <c r="AS62" s="4">
        <v>0</v>
      </c>
      <c r="AT62" s="4">
        <v>0</v>
      </c>
      <c r="AU62" s="4">
        <v>0</v>
      </c>
      <c r="AV62" s="4">
        <v>0</v>
      </c>
      <c r="AW62" s="4">
        <v>0</v>
      </c>
      <c r="AX62" s="4">
        <v>0</v>
      </c>
      <c r="AY62" s="4">
        <v>0</v>
      </c>
      <c r="AZ62" s="4">
        <v>0</v>
      </c>
      <c r="BA62" s="4">
        <v>0</v>
      </c>
      <c r="BB62" s="4">
        <v>0</v>
      </c>
      <c r="BC62" s="4">
        <v>0</v>
      </c>
      <c r="BD62" s="4">
        <v>0</v>
      </c>
      <c r="BE62" s="4">
        <v>0</v>
      </c>
      <c r="BF62" s="4">
        <v>0</v>
      </c>
      <c r="BG62" s="31">
        <f t="shared" si="6"/>
        <v>0</v>
      </c>
      <c r="BH62" s="31">
        <f t="shared" si="2"/>
        <v>0</v>
      </c>
      <c r="BI62" s="31">
        <f t="shared" si="3"/>
        <v>0</v>
      </c>
      <c r="BJ62" s="31">
        <f t="shared" si="4"/>
        <v>0</v>
      </c>
    </row>
    <row r="63" spans="3:62" x14ac:dyDescent="0.25">
      <c r="D63">
        <v>1091</v>
      </c>
      <c r="E63" t="s">
        <v>354</v>
      </c>
      <c r="F63" s="4">
        <v>0</v>
      </c>
      <c r="G63" s="4">
        <v>0</v>
      </c>
      <c r="H63" s="4">
        <v>0</v>
      </c>
      <c r="I63" s="4">
        <v>0</v>
      </c>
      <c r="J63" s="4">
        <v>0</v>
      </c>
      <c r="K63" s="4">
        <v>0</v>
      </c>
      <c r="L63" s="4">
        <v>0</v>
      </c>
      <c r="M63" s="4">
        <v>0</v>
      </c>
      <c r="N63" s="4">
        <v>0</v>
      </c>
      <c r="O63" s="4">
        <v>0</v>
      </c>
      <c r="P63" s="4">
        <v>0</v>
      </c>
      <c r="Q63" s="4">
        <v>0</v>
      </c>
      <c r="R63" s="4">
        <v>0</v>
      </c>
      <c r="S63" s="4">
        <v>0</v>
      </c>
      <c r="T63" s="4">
        <v>0</v>
      </c>
      <c r="U63" s="4">
        <v>0</v>
      </c>
      <c r="V63" s="4">
        <v>0</v>
      </c>
      <c r="W63" s="4">
        <v>0</v>
      </c>
      <c r="X63" s="4">
        <v>0</v>
      </c>
      <c r="Y63" s="4">
        <v>0</v>
      </c>
      <c r="Z63" s="4">
        <v>0</v>
      </c>
      <c r="AA63" s="4">
        <v>0</v>
      </c>
      <c r="AB63" s="4">
        <v>0</v>
      </c>
      <c r="AC63" s="4">
        <v>0</v>
      </c>
      <c r="AD63" s="4">
        <v>0</v>
      </c>
      <c r="AE63" s="4">
        <v>0</v>
      </c>
      <c r="AF63" s="4">
        <v>0</v>
      </c>
      <c r="AG63" s="4">
        <v>0</v>
      </c>
      <c r="AH63" s="4">
        <v>0</v>
      </c>
      <c r="AI63" s="4">
        <v>0</v>
      </c>
      <c r="AJ63" s="4">
        <v>0</v>
      </c>
      <c r="AK63" s="4">
        <v>0</v>
      </c>
      <c r="AL63" s="4">
        <v>0</v>
      </c>
      <c r="AM63" s="4">
        <v>0</v>
      </c>
      <c r="AN63" s="4">
        <v>0</v>
      </c>
      <c r="AO63" s="4">
        <v>0</v>
      </c>
      <c r="AP63" s="4">
        <v>0</v>
      </c>
      <c r="AQ63" s="4">
        <v>0</v>
      </c>
      <c r="AR63" s="4">
        <v>0</v>
      </c>
      <c r="AS63" s="4">
        <v>0</v>
      </c>
      <c r="AT63" s="4">
        <v>0</v>
      </c>
      <c r="AU63" s="4">
        <v>0</v>
      </c>
      <c r="AV63" s="4">
        <v>0</v>
      </c>
      <c r="AW63" s="4">
        <v>0</v>
      </c>
      <c r="AX63" s="4">
        <v>0</v>
      </c>
      <c r="AY63" s="4">
        <v>0</v>
      </c>
      <c r="AZ63" s="4">
        <v>0</v>
      </c>
      <c r="BA63" s="4">
        <v>0</v>
      </c>
      <c r="BB63" s="4">
        <v>0</v>
      </c>
      <c r="BC63" s="4">
        <v>0</v>
      </c>
      <c r="BD63" s="4">
        <v>0</v>
      </c>
      <c r="BE63" s="4">
        <v>0</v>
      </c>
      <c r="BF63" s="4">
        <v>0</v>
      </c>
      <c r="BG63" s="31">
        <f t="shared" si="6"/>
        <v>0</v>
      </c>
      <c r="BH63" s="31">
        <f t="shared" si="2"/>
        <v>0</v>
      </c>
      <c r="BI63" s="31">
        <f t="shared" si="3"/>
        <v>0</v>
      </c>
      <c r="BJ63" s="31">
        <f t="shared" si="4"/>
        <v>0</v>
      </c>
    </row>
    <row r="64" spans="3:62" x14ac:dyDescent="0.25">
      <c r="D64">
        <v>1092</v>
      </c>
      <c r="E64" t="s">
        <v>355</v>
      </c>
      <c r="F64" s="4">
        <v>0</v>
      </c>
      <c r="G64" s="4">
        <v>0</v>
      </c>
      <c r="H64" s="4">
        <v>0</v>
      </c>
      <c r="I64" s="4">
        <v>0</v>
      </c>
      <c r="J64" s="4">
        <v>0</v>
      </c>
      <c r="K64" s="4">
        <v>0</v>
      </c>
      <c r="L64" s="4">
        <v>0</v>
      </c>
      <c r="M64" s="4">
        <v>0</v>
      </c>
      <c r="N64" s="4">
        <v>0</v>
      </c>
      <c r="O64" s="4">
        <v>0</v>
      </c>
      <c r="P64" s="4">
        <v>0</v>
      </c>
      <c r="Q64" s="4">
        <v>0</v>
      </c>
      <c r="R64" s="4">
        <v>0</v>
      </c>
      <c r="S64" s="4">
        <v>0</v>
      </c>
      <c r="T64" s="4">
        <v>0</v>
      </c>
      <c r="U64" s="4">
        <v>0</v>
      </c>
      <c r="V64" s="4">
        <v>0</v>
      </c>
      <c r="W64" s="4">
        <v>0</v>
      </c>
      <c r="X64" s="4">
        <v>0</v>
      </c>
      <c r="Y64" s="4">
        <v>0</v>
      </c>
      <c r="Z64" s="4">
        <v>0</v>
      </c>
      <c r="AA64" s="4">
        <v>0</v>
      </c>
      <c r="AB64" s="4">
        <v>0</v>
      </c>
      <c r="AC64" s="4">
        <v>0</v>
      </c>
      <c r="AD64" s="4">
        <v>0</v>
      </c>
      <c r="AE64" s="4">
        <v>0</v>
      </c>
      <c r="AF64" s="4">
        <v>0</v>
      </c>
      <c r="AG64" s="4">
        <v>0</v>
      </c>
      <c r="AH64" s="4">
        <v>0</v>
      </c>
      <c r="AI64" s="4">
        <v>0</v>
      </c>
      <c r="AJ64" s="4">
        <v>0</v>
      </c>
      <c r="AK64" s="4">
        <v>0</v>
      </c>
      <c r="AL64" s="4">
        <v>0</v>
      </c>
      <c r="AM64" s="4">
        <v>0</v>
      </c>
      <c r="AN64" s="4">
        <v>0</v>
      </c>
      <c r="AO64" s="4">
        <v>0</v>
      </c>
      <c r="AP64" s="4">
        <v>0</v>
      </c>
      <c r="AQ64" s="4">
        <v>0</v>
      </c>
      <c r="AR64" s="4">
        <v>0</v>
      </c>
      <c r="AS64" s="4">
        <v>0</v>
      </c>
      <c r="AT64" s="4">
        <v>0</v>
      </c>
      <c r="AU64" s="4">
        <v>0</v>
      </c>
      <c r="AV64" s="4">
        <v>0</v>
      </c>
      <c r="AW64" s="4">
        <v>0</v>
      </c>
      <c r="AX64" s="4">
        <v>0</v>
      </c>
      <c r="AY64" s="4">
        <v>0</v>
      </c>
      <c r="AZ64" s="4">
        <v>0</v>
      </c>
      <c r="BA64" s="4">
        <v>0</v>
      </c>
      <c r="BB64" s="4">
        <v>0</v>
      </c>
      <c r="BC64" s="4">
        <v>0</v>
      </c>
      <c r="BD64" s="4">
        <v>0</v>
      </c>
      <c r="BE64" s="4">
        <v>0</v>
      </c>
      <c r="BF64" s="4">
        <v>0</v>
      </c>
      <c r="BG64" s="31">
        <f t="shared" si="6"/>
        <v>0</v>
      </c>
      <c r="BH64" s="31">
        <f t="shared" si="2"/>
        <v>0</v>
      </c>
      <c r="BI64" s="31">
        <f t="shared" si="3"/>
        <v>0</v>
      </c>
      <c r="BJ64" s="31">
        <f t="shared" si="4"/>
        <v>0</v>
      </c>
    </row>
    <row r="65" spans="2:63" x14ac:dyDescent="0.25">
      <c r="D65">
        <v>1093</v>
      </c>
      <c r="E65" t="s">
        <v>356</v>
      </c>
      <c r="F65" s="4">
        <v>0</v>
      </c>
      <c r="G65" s="4">
        <v>0</v>
      </c>
      <c r="H65" s="4">
        <v>0</v>
      </c>
      <c r="I65" s="4">
        <v>0</v>
      </c>
      <c r="J65" s="4">
        <v>0</v>
      </c>
      <c r="K65" s="4">
        <v>0</v>
      </c>
      <c r="L65" s="4">
        <v>0</v>
      </c>
      <c r="M65" s="4">
        <v>0</v>
      </c>
      <c r="N65" s="4">
        <v>0</v>
      </c>
      <c r="O65" s="4">
        <v>0</v>
      </c>
      <c r="P65" s="4">
        <v>0</v>
      </c>
      <c r="Q65" s="4">
        <v>0</v>
      </c>
      <c r="R65" s="4">
        <v>0</v>
      </c>
      <c r="S65" s="4">
        <v>0</v>
      </c>
      <c r="T65" s="4">
        <v>0</v>
      </c>
      <c r="U65" s="4">
        <v>0</v>
      </c>
      <c r="V65" s="4">
        <v>0</v>
      </c>
      <c r="W65" s="4">
        <v>0</v>
      </c>
      <c r="X65" s="4">
        <v>0</v>
      </c>
      <c r="Y65" s="4">
        <v>0</v>
      </c>
      <c r="Z65" s="4">
        <v>0</v>
      </c>
      <c r="AA65" s="4">
        <v>0</v>
      </c>
      <c r="AB65" s="4">
        <v>0</v>
      </c>
      <c r="AC65" s="4">
        <v>0</v>
      </c>
      <c r="AD65" s="4">
        <v>0</v>
      </c>
      <c r="AE65" s="4">
        <v>0</v>
      </c>
      <c r="AF65" s="4">
        <v>0</v>
      </c>
      <c r="AG65" s="4">
        <v>0</v>
      </c>
      <c r="AH65" s="4">
        <v>0</v>
      </c>
      <c r="AI65" s="4">
        <v>0</v>
      </c>
      <c r="AJ65" s="4">
        <v>0</v>
      </c>
      <c r="AK65" s="4">
        <v>0</v>
      </c>
      <c r="AL65" s="4">
        <v>0</v>
      </c>
      <c r="AM65" s="4">
        <v>0</v>
      </c>
      <c r="AN65" s="4">
        <v>0</v>
      </c>
      <c r="AO65" s="4">
        <v>0</v>
      </c>
      <c r="AP65" s="4">
        <v>0</v>
      </c>
      <c r="AQ65" s="4">
        <v>0</v>
      </c>
      <c r="AR65" s="4">
        <v>0</v>
      </c>
      <c r="AS65" s="4">
        <v>0</v>
      </c>
      <c r="AT65" s="4">
        <v>0</v>
      </c>
      <c r="AU65" s="4">
        <v>0</v>
      </c>
      <c r="AV65" s="4">
        <v>0</v>
      </c>
      <c r="AW65" s="4">
        <v>0</v>
      </c>
      <c r="AX65" s="4">
        <v>0</v>
      </c>
      <c r="AY65" s="4">
        <v>0</v>
      </c>
      <c r="AZ65" s="4">
        <v>0</v>
      </c>
      <c r="BA65" s="4">
        <v>0</v>
      </c>
      <c r="BB65" s="4">
        <v>0</v>
      </c>
      <c r="BC65" s="4">
        <v>0</v>
      </c>
      <c r="BD65" s="4">
        <v>0</v>
      </c>
      <c r="BE65" s="4">
        <v>0</v>
      </c>
      <c r="BF65" s="4">
        <v>0</v>
      </c>
      <c r="BG65" s="31">
        <f t="shared" si="6"/>
        <v>0</v>
      </c>
      <c r="BH65" s="31">
        <f t="shared" si="2"/>
        <v>0</v>
      </c>
      <c r="BI65" s="31">
        <f t="shared" si="3"/>
        <v>0</v>
      </c>
      <c r="BJ65" s="31">
        <f t="shared" si="4"/>
        <v>0</v>
      </c>
    </row>
    <row r="66" spans="2:63" x14ac:dyDescent="0.25">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31"/>
      <c r="BH66" s="31"/>
      <c r="BI66" s="31"/>
      <c r="BJ66" s="31"/>
    </row>
    <row r="67" spans="2:63" x14ac:dyDescent="0.25">
      <c r="B67" s="62">
        <v>14</v>
      </c>
      <c r="C67" s="62"/>
      <c r="D67" s="62"/>
      <c r="E67" s="62" t="s">
        <v>247</v>
      </c>
      <c r="F67" s="63">
        <f>F68+F79+F85+F96+F107</f>
        <v>8972927.5099999998</v>
      </c>
      <c r="G67" s="63">
        <f t="shared" ref="G67:BF67" si="14">G68+G79+G85+G96+G107</f>
        <v>1824121.8399999999</v>
      </c>
      <c r="H67" s="63">
        <f t="shared" si="14"/>
        <v>2736553.0599999996</v>
      </c>
      <c r="I67" s="63">
        <f t="shared" si="14"/>
        <v>2637819.1999999997</v>
      </c>
      <c r="J67" s="63">
        <f t="shared" si="14"/>
        <v>20475712.490000002</v>
      </c>
      <c r="K67" s="63">
        <f t="shared" si="14"/>
        <v>23602692.329999998</v>
      </c>
      <c r="L67" s="63">
        <f t="shared" si="14"/>
        <v>10515554.360000001</v>
      </c>
      <c r="M67" s="63">
        <f t="shared" si="14"/>
        <v>126875591.09999999</v>
      </c>
      <c r="N67" s="63">
        <f t="shared" si="14"/>
        <v>7386815.2000000002</v>
      </c>
      <c r="O67" s="63">
        <f t="shared" si="14"/>
        <v>1249167.92</v>
      </c>
      <c r="P67" s="63">
        <f t="shared" si="14"/>
        <v>34850932.899999999</v>
      </c>
      <c r="Q67" s="63">
        <f t="shared" si="14"/>
        <v>2676262.19</v>
      </c>
      <c r="R67" s="63">
        <f t="shared" si="14"/>
        <v>259871.90000000002</v>
      </c>
      <c r="S67" s="63">
        <f t="shared" si="14"/>
        <v>2595505.3499999996</v>
      </c>
      <c r="T67" s="63">
        <f t="shared" si="14"/>
        <v>2995244.05</v>
      </c>
      <c r="U67" s="63">
        <f t="shared" si="14"/>
        <v>2777960.58</v>
      </c>
      <c r="V67" s="63">
        <f t="shared" si="14"/>
        <v>1074130</v>
      </c>
      <c r="W67" s="63">
        <f t="shared" si="14"/>
        <v>2685557.83</v>
      </c>
      <c r="X67" s="63">
        <f t="shared" si="14"/>
        <v>16516678.619999999</v>
      </c>
      <c r="Y67" s="63">
        <f t="shared" si="14"/>
        <v>2070694.95</v>
      </c>
      <c r="Z67" s="63">
        <f t="shared" si="14"/>
        <v>10443550.630000001</v>
      </c>
      <c r="AA67" s="63">
        <f t="shared" si="14"/>
        <v>8266344</v>
      </c>
      <c r="AB67" s="63">
        <f t="shared" si="14"/>
        <v>860665</v>
      </c>
      <c r="AC67" s="63">
        <f t="shared" si="14"/>
        <v>1432707.55</v>
      </c>
      <c r="AD67" s="63">
        <f t="shared" si="14"/>
        <v>3003187.7</v>
      </c>
      <c r="AE67" s="63">
        <f t="shared" si="14"/>
        <v>6308732.9199999999</v>
      </c>
      <c r="AF67" s="63">
        <f t="shared" si="14"/>
        <v>4277534.5</v>
      </c>
      <c r="AG67" s="63">
        <f t="shared" si="14"/>
        <v>4375593.75</v>
      </c>
      <c r="AH67" s="63">
        <f t="shared" si="14"/>
        <v>7895809.3899999997</v>
      </c>
      <c r="AI67" s="63">
        <f t="shared" si="14"/>
        <v>17618801.880000003</v>
      </c>
      <c r="AJ67" s="63">
        <f t="shared" si="14"/>
        <v>2021357.72</v>
      </c>
      <c r="AK67" s="63">
        <f t="shared" si="14"/>
        <v>1144823.8</v>
      </c>
      <c r="AL67" s="63">
        <f t="shared" si="14"/>
        <v>16899818.619999997</v>
      </c>
      <c r="AM67" s="63">
        <f t="shared" si="14"/>
        <v>10327268</v>
      </c>
      <c r="AN67" s="63">
        <f t="shared" si="14"/>
        <v>9936473.7599999979</v>
      </c>
      <c r="AO67" s="63">
        <f t="shared" si="14"/>
        <v>1285941.98</v>
      </c>
      <c r="AP67" s="63">
        <f t="shared" si="14"/>
        <v>16510979.25</v>
      </c>
      <c r="AQ67" s="63">
        <f t="shared" si="14"/>
        <v>4257388.4000000004</v>
      </c>
      <c r="AR67" s="63">
        <f t="shared" si="14"/>
        <v>3884766.68</v>
      </c>
      <c r="AS67" s="63">
        <f t="shared" si="14"/>
        <v>10706170.180000002</v>
      </c>
      <c r="AT67" s="63">
        <f t="shared" si="14"/>
        <v>5315004.45</v>
      </c>
      <c r="AU67" s="63">
        <f t="shared" si="14"/>
        <v>6785997.79</v>
      </c>
      <c r="AV67" s="63">
        <f t="shared" si="14"/>
        <v>2710423.5999999996</v>
      </c>
      <c r="AW67" s="63">
        <f t="shared" si="14"/>
        <v>15315653.25</v>
      </c>
      <c r="AX67" s="63">
        <f t="shared" si="14"/>
        <v>5531530.8299999991</v>
      </c>
      <c r="AY67" s="63">
        <f t="shared" si="14"/>
        <v>835660</v>
      </c>
      <c r="AZ67" s="63">
        <f t="shared" si="14"/>
        <v>1406493.3</v>
      </c>
      <c r="BA67" s="63">
        <f t="shared" si="14"/>
        <v>18728138.899999999</v>
      </c>
      <c r="BB67" s="63">
        <f t="shared" si="14"/>
        <v>2426562.4699999997</v>
      </c>
      <c r="BC67" s="63">
        <f t="shared" si="14"/>
        <v>10501551.530000001</v>
      </c>
      <c r="BD67" s="63">
        <f t="shared" si="14"/>
        <v>705324.45</v>
      </c>
      <c r="BE67" s="63">
        <f t="shared" si="14"/>
        <v>52839980.530000001</v>
      </c>
      <c r="BF67" s="63">
        <f t="shared" si="14"/>
        <v>3546507.7</v>
      </c>
      <c r="BG67" s="63">
        <f t="shared" si="6"/>
        <v>542886537.8900001</v>
      </c>
      <c r="BH67" s="63">
        <f t="shared" si="2"/>
        <v>272709098.43000001</v>
      </c>
      <c r="BI67" s="63">
        <f t="shared" si="3"/>
        <v>69719803.790000007</v>
      </c>
      <c r="BJ67" s="63">
        <f t="shared" si="4"/>
        <v>200457635.66999996</v>
      </c>
      <c r="BK67" s="31"/>
    </row>
    <row r="68" spans="2:63" x14ac:dyDescent="0.25">
      <c r="C68" s="56">
        <v>140</v>
      </c>
      <c r="D68" s="56"/>
      <c r="E68" s="56" t="s">
        <v>249</v>
      </c>
      <c r="F68" s="57">
        <f>F69+F70+F71+F72+F73+F74+F75+F76+F77</f>
        <v>8956624.5600000005</v>
      </c>
      <c r="G68" s="57">
        <f t="shared" ref="G68:BF68" si="15">G69+G70+G71+G72+G73+G74+G75+G76+G77</f>
        <v>1714274.89</v>
      </c>
      <c r="H68" s="57">
        <f t="shared" si="15"/>
        <v>2719088.26</v>
      </c>
      <c r="I68" s="57">
        <f t="shared" si="15"/>
        <v>2564066.5499999998</v>
      </c>
      <c r="J68" s="57">
        <f t="shared" si="15"/>
        <v>19948055.390000004</v>
      </c>
      <c r="K68" s="57">
        <f t="shared" si="15"/>
        <v>22820110.129999999</v>
      </c>
      <c r="L68" s="57">
        <f t="shared" si="15"/>
        <v>10106681.060000001</v>
      </c>
      <c r="M68" s="57">
        <f t="shared" si="15"/>
        <v>124585180.3</v>
      </c>
      <c r="N68" s="57">
        <f t="shared" si="15"/>
        <v>7124528.4000000004</v>
      </c>
      <c r="O68" s="57">
        <f t="shared" si="15"/>
        <v>1249167.92</v>
      </c>
      <c r="P68" s="57">
        <f t="shared" si="15"/>
        <v>34309216.649999999</v>
      </c>
      <c r="Q68" s="57">
        <f t="shared" si="15"/>
        <v>2676262.19</v>
      </c>
      <c r="R68" s="57">
        <f t="shared" si="15"/>
        <v>208134.90000000002</v>
      </c>
      <c r="S68" s="57">
        <f t="shared" si="15"/>
        <v>2595505.3499999996</v>
      </c>
      <c r="T68" s="57">
        <f t="shared" si="15"/>
        <v>2990244.05</v>
      </c>
      <c r="U68" s="57">
        <f t="shared" si="15"/>
        <v>2777959.58</v>
      </c>
      <c r="V68" s="57">
        <f t="shared" si="15"/>
        <v>969430</v>
      </c>
      <c r="W68" s="57">
        <f t="shared" si="15"/>
        <v>2536107.38</v>
      </c>
      <c r="X68" s="57">
        <f t="shared" si="15"/>
        <v>15912410.02</v>
      </c>
      <c r="Y68" s="57">
        <f t="shared" si="15"/>
        <v>2070683.95</v>
      </c>
      <c r="Z68" s="57">
        <f t="shared" si="15"/>
        <v>9862898.2300000004</v>
      </c>
      <c r="AA68" s="57">
        <f t="shared" si="15"/>
        <v>8266344</v>
      </c>
      <c r="AB68" s="57">
        <f t="shared" si="15"/>
        <v>692465</v>
      </c>
      <c r="AC68" s="57">
        <f t="shared" si="15"/>
        <v>1432707.55</v>
      </c>
      <c r="AD68" s="57">
        <f t="shared" si="15"/>
        <v>2624928</v>
      </c>
      <c r="AE68" s="57">
        <f t="shared" si="15"/>
        <v>6291981.8200000003</v>
      </c>
      <c r="AF68" s="57">
        <f t="shared" si="15"/>
        <v>4203524.5</v>
      </c>
      <c r="AG68" s="57">
        <f t="shared" si="15"/>
        <v>4225583.75</v>
      </c>
      <c r="AH68" s="57">
        <f t="shared" si="15"/>
        <v>7689351.54</v>
      </c>
      <c r="AI68" s="57">
        <f t="shared" si="15"/>
        <v>16931814.630000003</v>
      </c>
      <c r="AJ68" s="57">
        <f t="shared" si="15"/>
        <v>1751810.45</v>
      </c>
      <c r="AK68" s="57">
        <f t="shared" si="15"/>
        <v>1144823.8</v>
      </c>
      <c r="AL68" s="57">
        <f t="shared" si="15"/>
        <v>16538103.119999999</v>
      </c>
      <c r="AM68" s="57">
        <f t="shared" si="15"/>
        <v>10327268</v>
      </c>
      <c r="AN68" s="57">
        <f t="shared" si="15"/>
        <v>9321149.3099999987</v>
      </c>
      <c r="AO68" s="57">
        <f t="shared" si="15"/>
        <v>1283033.98</v>
      </c>
      <c r="AP68" s="57">
        <f t="shared" si="15"/>
        <v>16401195.449999999</v>
      </c>
      <c r="AQ68" s="57">
        <f t="shared" si="15"/>
        <v>3816036.8000000003</v>
      </c>
      <c r="AR68" s="57">
        <f t="shared" si="15"/>
        <v>3751762.68</v>
      </c>
      <c r="AS68" s="57">
        <f t="shared" si="15"/>
        <v>10208121.380000001</v>
      </c>
      <c r="AT68" s="57">
        <f t="shared" si="15"/>
        <v>5154132.6500000004</v>
      </c>
      <c r="AU68" s="57">
        <f t="shared" si="15"/>
        <v>6491007.04</v>
      </c>
      <c r="AV68" s="57">
        <f t="shared" si="15"/>
        <v>2686265.3</v>
      </c>
      <c r="AW68" s="57">
        <f t="shared" si="15"/>
        <v>14924180.6</v>
      </c>
      <c r="AX68" s="57">
        <f t="shared" si="15"/>
        <v>5463519.6199999992</v>
      </c>
      <c r="AY68" s="57">
        <f t="shared" si="15"/>
        <v>835660</v>
      </c>
      <c r="AZ68" s="57">
        <f t="shared" si="15"/>
        <v>1375830</v>
      </c>
      <c r="BA68" s="57">
        <f t="shared" si="15"/>
        <v>18021959.199999999</v>
      </c>
      <c r="BB68" s="57">
        <f t="shared" si="15"/>
        <v>2250722.4699999997</v>
      </c>
      <c r="BC68" s="57">
        <f t="shared" si="15"/>
        <v>10029804.640000001</v>
      </c>
      <c r="BD68" s="57">
        <f t="shared" si="15"/>
        <v>705324.45</v>
      </c>
      <c r="BE68" s="57">
        <f t="shared" si="15"/>
        <v>47584068.810000002</v>
      </c>
      <c r="BF68" s="57">
        <f t="shared" si="15"/>
        <v>3487453</v>
      </c>
      <c r="BG68" s="57">
        <f t="shared" si="6"/>
        <v>524608563.30000013</v>
      </c>
      <c r="BH68" s="57">
        <f t="shared" si="2"/>
        <v>266763047.58000001</v>
      </c>
      <c r="BI68" s="57">
        <f t="shared" si="3"/>
        <v>67188917.219999999</v>
      </c>
      <c r="BJ68" s="57">
        <f t="shared" si="4"/>
        <v>190656598.5</v>
      </c>
    </row>
    <row r="69" spans="2:63" x14ac:dyDescent="0.25">
      <c r="D69">
        <v>1400</v>
      </c>
      <c r="E69" t="s">
        <v>357</v>
      </c>
      <c r="F69" s="4">
        <v>141467</v>
      </c>
      <c r="G69" s="4">
        <v>0</v>
      </c>
      <c r="H69" s="4">
        <v>0</v>
      </c>
      <c r="I69" s="4">
        <v>0</v>
      </c>
      <c r="J69" s="4">
        <v>1009248</v>
      </c>
      <c r="K69" s="4">
        <v>934114.2</v>
      </c>
      <c r="L69" s="4">
        <v>167335.65</v>
      </c>
      <c r="M69" s="4">
        <v>3925884.85</v>
      </c>
      <c r="N69" s="4">
        <v>288100</v>
      </c>
      <c r="O69" s="4">
        <v>0</v>
      </c>
      <c r="P69" s="4">
        <v>170941.05</v>
      </c>
      <c r="Q69" s="4">
        <v>99747</v>
      </c>
      <c r="R69" s="4">
        <v>0</v>
      </c>
      <c r="S69" s="4">
        <v>211600</v>
      </c>
      <c r="T69" s="4">
        <v>196672.3</v>
      </c>
      <c r="U69" s="4">
        <v>1849655.08</v>
      </c>
      <c r="V69" s="4">
        <v>37800</v>
      </c>
      <c r="W69" s="4">
        <v>0</v>
      </c>
      <c r="X69" s="4">
        <v>227241.9</v>
      </c>
      <c r="Y69" s="4">
        <v>190840</v>
      </c>
      <c r="Z69" s="4">
        <v>0</v>
      </c>
      <c r="AA69" s="4">
        <v>5791604</v>
      </c>
      <c r="AB69" s="4">
        <v>240870</v>
      </c>
      <c r="AC69" s="4">
        <v>252850</v>
      </c>
      <c r="AD69" s="4">
        <v>120004.95</v>
      </c>
      <c r="AE69" s="4">
        <v>1020888.8</v>
      </c>
      <c r="AF69" s="4">
        <v>124943</v>
      </c>
      <c r="AG69" s="4">
        <v>1403620</v>
      </c>
      <c r="AH69" s="4">
        <v>235628</v>
      </c>
      <c r="AI69" s="4">
        <v>2479771.86</v>
      </c>
      <c r="AJ69" s="4">
        <v>389316.4</v>
      </c>
      <c r="AK69" s="4">
        <v>150590</v>
      </c>
      <c r="AL69" s="4">
        <v>35152</v>
      </c>
      <c r="AM69" s="4">
        <v>464880</v>
      </c>
      <c r="AN69" s="4">
        <v>337894.5</v>
      </c>
      <c r="AO69" s="4">
        <v>0</v>
      </c>
      <c r="AP69" s="4">
        <v>285182.2</v>
      </c>
      <c r="AQ69" s="4">
        <v>0</v>
      </c>
      <c r="AR69" s="4">
        <v>2</v>
      </c>
      <c r="AS69" s="4">
        <v>731482.25</v>
      </c>
      <c r="AT69" s="4">
        <v>0</v>
      </c>
      <c r="AU69" s="4">
        <v>527746.25</v>
      </c>
      <c r="AV69" s="4">
        <v>11061</v>
      </c>
      <c r="AW69" s="4">
        <v>888186</v>
      </c>
      <c r="AX69" s="4">
        <v>419229.4</v>
      </c>
      <c r="AY69" s="4">
        <v>0</v>
      </c>
      <c r="AZ69" s="4">
        <v>312640</v>
      </c>
      <c r="BA69" s="4">
        <v>591500</v>
      </c>
      <c r="BB69" s="4">
        <v>115270</v>
      </c>
      <c r="BC69" s="4">
        <v>945669.68</v>
      </c>
      <c r="BD69" s="4">
        <v>10988.35</v>
      </c>
      <c r="BE69" s="4">
        <v>116484.62</v>
      </c>
      <c r="BF69" s="4">
        <v>163195</v>
      </c>
      <c r="BG69" s="31">
        <f t="shared" si="6"/>
        <v>27617297.289999995</v>
      </c>
      <c r="BH69" s="31">
        <f t="shared" ref="BH69:BH134" si="16">SUM(F69:X69)</f>
        <v>9259807.0299999993</v>
      </c>
      <c r="BI69" s="31">
        <f t="shared" ref="BI69:BI134" si="17">SUM(Y69:AK69)</f>
        <v>12400927.01</v>
      </c>
      <c r="BJ69" s="31">
        <f t="shared" ref="BJ69:BJ134" si="18">SUM(AL69:BF69)</f>
        <v>5956563.2499999991</v>
      </c>
    </row>
    <row r="70" spans="2:63" x14ac:dyDescent="0.25">
      <c r="D70">
        <v>1401</v>
      </c>
      <c r="E70" t="s">
        <v>358</v>
      </c>
      <c r="F70" s="4">
        <v>2791732.15</v>
      </c>
      <c r="G70" s="4">
        <v>824686.09</v>
      </c>
      <c r="H70" s="4">
        <v>123000</v>
      </c>
      <c r="I70" s="4">
        <v>652976.24</v>
      </c>
      <c r="J70" s="4">
        <v>2559011.23</v>
      </c>
      <c r="K70" s="4">
        <v>2566997.33</v>
      </c>
      <c r="L70" s="4">
        <v>2612614.5499999998</v>
      </c>
      <c r="M70" s="4">
        <v>16333114.949999999</v>
      </c>
      <c r="N70" s="4">
        <v>2179317.85</v>
      </c>
      <c r="O70" s="4">
        <v>154560</v>
      </c>
      <c r="P70" s="4">
        <v>12076536.9</v>
      </c>
      <c r="Q70" s="4">
        <v>760870.55</v>
      </c>
      <c r="R70" s="4">
        <v>75032.600000000006</v>
      </c>
      <c r="S70" s="4">
        <v>1215110.3999999999</v>
      </c>
      <c r="T70" s="4">
        <v>1172765.25</v>
      </c>
      <c r="U70" s="4">
        <v>0</v>
      </c>
      <c r="V70" s="4">
        <v>337030</v>
      </c>
      <c r="W70" s="4">
        <v>1020520.34</v>
      </c>
      <c r="X70" s="4">
        <v>2481847.2599999998</v>
      </c>
      <c r="Y70" s="4">
        <v>125321.35</v>
      </c>
      <c r="Z70" s="4">
        <v>1196264.3999999999</v>
      </c>
      <c r="AA70" s="4">
        <v>632250</v>
      </c>
      <c r="AB70" s="4">
        <v>1</v>
      </c>
      <c r="AC70" s="4">
        <v>0</v>
      </c>
      <c r="AD70" s="4">
        <v>237597</v>
      </c>
      <c r="AE70" s="4">
        <v>1389656.72</v>
      </c>
      <c r="AF70" s="4">
        <v>716910.45</v>
      </c>
      <c r="AG70" s="4">
        <v>437309.55</v>
      </c>
      <c r="AH70" s="4">
        <v>2616976.0099999998</v>
      </c>
      <c r="AI70" s="4">
        <v>2674365.0499999998</v>
      </c>
      <c r="AJ70" s="4">
        <v>333639.59999999998</v>
      </c>
      <c r="AK70" s="4">
        <v>459040</v>
      </c>
      <c r="AL70" s="4">
        <v>3588403.55</v>
      </c>
      <c r="AM70" s="4">
        <v>2454380.9</v>
      </c>
      <c r="AN70" s="4">
        <v>2308243.2599999998</v>
      </c>
      <c r="AO70" s="4">
        <v>65423</v>
      </c>
      <c r="AP70" s="4">
        <v>4999983.75</v>
      </c>
      <c r="AQ70" s="4">
        <v>1534377.85</v>
      </c>
      <c r="AR70" s="4">
        <v>733690.18</v>
      </c>
      <c r="AS70" s="4">
        <v>1133684.45</v>
      </c>
      <c r="AT70" s="4">
        <v>0</v>
      </c>
      <c r="AU70" s="4">
        <v>650651.68999999994</v>
      </c>
      <c r="AV70" s="4">
        <v>722671</v>
      </c>
      <c r="AW70" s="4">
        <v>3741810</v>
      </c>
      <c r="AX70" s="4">
        <v>2221149.23</v>
      </c>
      <c r="AY70" s="4">
        <v>343500</v>
      </c>
      <c r="AZ70" s="4">
        <v>194905</v>
      </c>
      <c r="BA70" s="4">
        <v>4623892.5</v>
      </c>
      <c r="BB70" s="4">
        <v>593320</v>
      </c>
      <c r="BC70" s="4">
        <v>2952015.68</v>
      </c>
      <c r="BD70" s="4">
        <v>139578.54999999999</v>
      </c>
      <c r="BE70" s="4">
        <v>10651996.109999999</v>
      </c>
      <c r="BF70" s="4">
        <v>674800</v>
      </c>
      <c r="BG70" s="31">
        <f t="shared" ref="BG70:BG135" si="19">SUM(F70:BF70)</f>
        <v>105085531.52</v>
      </c>
      <c r="BH70" s="31">
        <f t="shared" si="16"/>
        <v>49937723.689999998</v>
      </c>
      <c r="BI70" s="31">
        <f t="shared" si="17"/>
        <v>10819331.129999999</v>
      </c>
      <c r="BJ70" s="31">
        <f t="shared" si="18"/>
        <v>44328476.700000003</v>
      </c>
    </row>
    <row r="71" spans="2:63" x14ac:dyDescent="0.25">
      <c r="D71">
        <v>1402</v>
      </c>
      <c r="E71" t="s">
        <v>359</v>
      </c>
      <c r="F71" s="4">
        <v>0</v>
      </c>
      <c r="G71" s="4">
        <v>0</v>
      </c>
      <c r="H71" s="4">
        <v>0</v>
      </c>
      <c r="I71" s="4">
        <v>0</v>
      </c>
      <c r="J71" s="4">
        <v>254803.1</v>
      </c>
      <c r="K71" s="4">
        <v>0</v>
      </c>
      <c r="L71" s="4">
        <v>6760</v>
      </c>
      <c r="M71" s="4">
        <v>1659489.21</v>
      </c>
      <c r="N71" s="4">
        <v>0</v>
      </c>
      <c r="O71" s="4">
        <v>0</v>
      </c>
      <c r="P71" s="4">
        <v>190.95</v>
      </c>
      <c r="Q71" s="4">
        <v>0</v>
      </c>
      <c r="R71" s="4">
        <v>0</v>
      </c>
      <c r="S71" s="4">
        <v>0</v>
      </c>
      <c r="T71" s="4">
        <v>0</v>
      </c>
      <c r="U71" s="4">
        <v>0</v>
      </c>
      <c r="V71" s="4">
        <v>0</v>
      </c>
      <c r="W71" s="4">
        <v>355101.18</v>
      </c>
      <c r="X71" s="4">
        <v>107690.3</v>
      </c>
      <c r="Y71" s="4">
        <v>0</v>
      </c>
      <c r="Z71" s="4">
        <v>0</v>
      </c>
      <c r="AA71" s="4">
        <v>0</v>
      </c>
      <c r="AB71" s="4">
        <v>0</v>
      </c>
      <c r="AC71" s="4">
        <v>0</v>
      </c>
      <c r="AD71" s="4">
        <v>0</v>
      </c>
      <c r="AE71" s="4">
        <v>26772</v>
      </c>
      <c r="AF71" s="4">
        <v>1</v>
      </c>
      <c r="AG71" s="4">
        <v>0</v>
      </c>
      <c r="AH71" s="4">
        <v>680</v>
      </c>
      <c r="AI71" s="4">
        <v>0</v>
      </c>
      <c r="AJ71" s="4">
        <v>0</v>
      </c>
      <c r="AK71" s="4">
        <v>0</v>
      </c>
      <c r="AL71" s="4">
        <v>1</v>
      </c>
      <c r="AM71" s="4">
        <v>0</v>
      </c>
      <c r="AN71" s="4">
        <v>42690.55</v>
      </c>
      <c r="AO71" s="4">
        <v>0</v>
      </c>
      <c r="AP71" s="4">
        <v>637750.75</v>
      </c>
      <c r="AQ71" s="4">
        <v>0</v>
      </c>
      <c r="AR71" s="4">
        <v>0</v>
      </c>
      <c r="AS71" s="4">
        <v>0</v>
      </c>
      <c r="AT71" s="4">
        <v>0</v>
      </c>
      <c r="AU71" s="4">
        <v>67205.399999999994</v>
      </c>
      <c r="AV71" s="4">
        <v>11741.1</v>
      </c>
      <c r="AW71" s="4">
        <v>0</v>
      </c>
      <c r="AX71" s="4">
        <v>0</v>
      </c>
      <c r="AY71" s="4">
        <v>0</v>
      </c>
      <c r="AZ71" s="4">
        <v>0</v>
      </c>
      <c r="BA71" s="4">
        <v>119000</v>
      </c>
      <c r="BB71" s="4">
        <v>0</v>
      </c>
      <c r="BC71" s="4">
        <v>0</v>
      </c>
      <c r="BD71" s="4">
        <v>0</v>
      </c>
      <c r="BE71" s="4">
        <v>274890.90000000002</v>
      </c>
      <c r="BF71" s="4">
        <v>69545</v>
      </c>
      <c r="BG71" s="31">
        <f t="shared" si="19"/>
        <v>3634312.4399999995</v>
      </c>
      <c r="BH71" s="31">
        <f t="shared" si="16"/>
        <v>2384034.7399999998</v>
      </c>
      <c r="BI71" s="31">
        <f t="shared" si="17"/>
        <v>27453</v>
      </c>
      <c r="BJ71" s="31">
        <f t="shared" si="18"/>
        <v>1222824.7000000002</v>
      </c>
    </row>
    <row r="72" spans="2:63" x14ac:dyDescent="0.25">
      <c r="D72">
        <v>1403</v>
      </c>
      <c r="E72" t="s">
        <v>360</v>
      </c>
      <c r="F72" s="4">
        <v>5449351.1100000003</v>
      </c>
      <c r="G72" s="4">
        <v>688060.4</v>
      </c>
      <c r="H72" s="4">
        <v>35836.65</v>
      </c>
      <c r="I72" s="4">
        <v>358220.21</v>
      </c>
      <c r="J72" s="4">
        <v>2916267.31</v>
      </c>
      <c r="K72" s="4">
        <v>5260409.97</v>
      </c>
      <c r="L72" s="4">
        <v>2820850.95</v>
      </c>
      <c r="M72" s="4">
        <v>37362430.479999997</v>
      </c>
      <c r="N72" s="4">
        <v>441386.01</v>
      </c>
      <c r="O72" s="4">
        <v>414516.41</v>
      </c>
      <c r="P72" s="4">
        <v>4263689.5999999996</v>
      </c>
      <c r="Q72" s="4">
        <v>43846.15</v>
      </c>
      <c r="R72" s="4">
        <v>69744.3</v>
      </c>
      <c r="S72" s="4">
        <v>130294.95</v>
      </c>
      <c r="T72" s="4">
        <v>1109407.95</v>
      </c>
      <c r="U72" s="4">
        <v>783899.7</v>
      </c>
      <c r="V72" s="4">
        <v>513200</v>
      </c>
      <c r="W72" s="4">
        <v>403885.86</v>
      </c>
      <c r="X72" s="4">
        <v>1197798</v>
      </c>
      <c r="Y72" s="4">
        <v>168240</v>
      </c>
      <c r="Z72" s="4">
        <v>997004.35</v>
      </c>
      <c r="AA72" s="4">
        <v>0</v>
      </c>
      <c r="AB72" s="4">
        <v>0</v>
      </c>
      <c r="AC72" s="4">
        <v>0</v>
      </c>
      <c r="AD72" s="4">
        <v>1015291.75</v>
      </c>
      <c r="AE72" s="4">
        <v>1539961.33</v>
      </c>
      <c r="AF72" s="4">
        <v>358807.05</v>
      </c>
      <c r="AG72" s="4">
        <v>10300</v>
      </c>
      <c r="AH72" s="4">
        <v>613097.23</v>
      </c>
      <c r="AI72" s="4">
        <v>4601386.05</v>
      </c>
      <c r="AJ72" s="4">
        <v>163948.35</v>
      </c>
      <c r="AK72" s="4">
        <v>43750</v>
      </c>
      <c r="AL72" s="4">
        <v>3380968.75</v>
      </c>
      <c r="AM72" s="4">
        <v>3031612.6</v>
      </c>
      <c r="AN72" s="4">
        <v>1311414.95</v>
      </c>
      <c r="AO72" s="4">
        <v>462634</v>
      </c>
      <c r="AP72" s="4">
        <v>5468013.5499999998</v>
      </c>
      <c r="AQ72" s="4">
        <v>231982.5</v>
      </c>
      <c r="AR72" s="4">
        <v>2002181.7</v>
      </c>
      <c r="AS72" s="4">
        <v>1135310.8500000001</v>
      </c>
      <c r="AT72" s="4">
        <v>0</v>
      </c>
      <c r="AU72" s="4">
        <v>1025601.26</v>
      </c>
      <c r="AV72" s="4">
        <v>1005353.65</v>
      </c>
      <c r="AW72" s="4">
        <v>5321195</v>
      </c>
      <c r="AX72" s="4">
        <v>1611959.43</v>
      </c>
      <c r="AY72" s="4">
        <v>70970</v>
      </c>
      <c r="AZ72" s="4">
        <v>164773</v>
      </c>
      <c r="BA72" s="4">
        <v>4047055.7</v>
      </c>
      <c r="BB72" s="4">
        <v>0</v>
      </c>
      <c r="BC72" s="4">
        <v>1192212.04</v>
      </c>
      <c r="BD72" s="4">
        <v>95492.6</v>
      </c>
      <c r="BE72" s="4">
        <v>1783274.24</v>
      </c>
      <c r="BF72" s="4">
        <v>244100</v>
      </c>
      <c r="BG72" s="31">
        <f t="shared" si="19"/>
        <v>107360987.94</v>
      </c>
      <c r="BH72" s="31">
        <f t="shared" si="16"/>
        <v>64263096.009999998</v>
      </c>
      <c r="BI72" s="31">
        <f t="shared" si="17"/>
        <v>9511786.1099999994</v>
      </c>
      <c r="BJ72" s="31">
        <f t="shared" si="18"/>
        <v>33586105.819999993</v>
      </c>
    </row>
    <row r="73" spans="2:63" x14ac:dyDescent="0.25">
      <c r="D73">
        <v>1404</v>
      </c>
      <c r="E73" t="s">
        <v>361</v>
      </c>
      <c r="F73" s="4">
        <v>574074.30000000005</v>
      </c>
      <c r="G73" s="4">
        <v>169528.4</v>
      </c>
      <c r="H73" s="4">
        <v>2334923.7000000002</v>
      </c>
      <c r="I73" s="4">
        <v>1552870.1</v>
      </c>
      <c r="J73" s="4">
        <v>12201404.880000001</v>
      </c>
      <c r="K73" s="4">
        <v>10468284.35</v>
      </c>
      <c r="L73" s="4">
        <v>3149009.05</v>
      </c>
      <c r="M73" s="4">
        <v>59476330.810000002</v>
      </c>
      <c r="N73" s="4">
        <v>2974501.55</v>
      </c>
      <c r="O73" s="4">
        <v>680091.51</v>
      </c>
      <c r="P73" s="4">
        <v>12301578.800000001</v>
      </c>
      <c r="Q73" s="4">
        <v>1635998.49</v>
      </c>
      <c r="R73" s="4">
        <v>63358</v>
      </c>
      <c r="S73" s="4">
        <v>1038500</v>
      </c>
      <c r="T73" s="4">
        <v>511398.55</v>
      </c>
      <c r="U73" s="4">
        <v>77124.25</v>
      </c>
      <c r="V73" s="4">
        <v>54400</v>
      </c>
      <c r="W73" s="4">
        <v>740600</v>
      </c>
      <c r="X73" s="4">
        <v>9212290.75</v>
      </c>
      <c r="Y73" s="4">
        <v>767874.8</v>
      </c>
      <c r="Z73" s="4">
        <v>1245370.5</v>
      </c>
      <c r="AA73" s="4">
        <v>0</v>
      </c>
      <c r="AB73" s="4">
        <v>368391</v>
      </c>
      <c r="AC73" s="4">
        <v>0</v>
      </c>
      <c r="AD73" s="4">
        <v>654162</v>
      </c>
      <c r="AE73" s="4">
        <v>1527511.01</v>
      </c>
      <c r="AF73" s="4">
        <v>2096203</v>
      </c>
      <c r="AG73" s="4">
        <v>1844894.2</v>
      </c>
      <c r="AH73" s="4">
        <v>2917187.15</v>
      </c>
      <c r="AI73" s="4">
        <v>5489996.5199999996</v>
      </c>
      <c r="AJ73" s="4">
        <v>311488.2</v>
      </c>
      <c r="AK73" s="4">
        <v>0</v>
      </c>
      <c r="AL73" s="4">
        <v>7608425.7699999996</v>
      </c>
      <c r="AM73" s="4">
        <v>1795550</v>
      </c>
      <c r="AN73" s="4">
        <v>3238018.6</v>
      </c>
      <c r="AO73" s="4">
        <v>59572.24</v>
      </c>
      <c r="AP73" s="4">
        <v>3619983.7</v>
      </c>
      <c r="AQ73" s="4">
        <v>480988.2</v>
      </c>
      <c r="AR73" s="4">
        <v>324180.75</v>
      </c>
      <c r="AS73" s="4">
        <v>1005676.35</v>
      </c>
      <c r="AT73" s="4">
        <v>66720</v>
      </c>
      <c r="AU73" s="4">
        <v>2456651.4900000002</v>
      </c>
      <c r="AV73" s="4">
        <v>13857.55</v>
      </c>
      <c r="AW73" s="4">
        <v>2829131</v>
      </c>
      <c r="AX73" s="4">
        <v>45231.79</v>
      </c>
      <c r="AY73" s="4">
        <v>64800</v>
      </c>
      <c r="AZ73" s="4">
        <v>344901</v>
      </c>
      <c r="BA73" s="4">
        <v>5752626</v>
      </c>
      <c r="BB73" s="4">
        <v>104840</v>
      </c>
      <c r="BC73" s="4">
        <v>1758364.6</v>
      </c>
      <c r="BD73" s="4">
        <v>70555.399999999994</v>
      </c>
      <c r="BE73" s="4">
        <v>31016683.84</v>
      </c>
      <c r="BF73" s="4">
        <v>1124800</v>
      </c>
      <c r="BG73" s="31">
        <f t="shared" si="19"/>
        <v>200220904.15000001</v>
      </c>
      <c r="BH73" s="31">
        <f t="shared" si="16"/>
        <v>119216267.48999999</v>
      </c>
      <c r="BI73" s="31">
        <f t="shared" si="17"/>
        <v>17223078.379999999</v>
      </c>
      <c r="BJ73" s="31">
        <f t="shared" si="18"/>
        <v>63781558.280000001</v>
      </c>
    </row>
    <row r="74" spans="2:63" x14ac:dyDescent="0.25">
      <c r="D74">
        <v>1405</v>
      </c>
      <c r="E74" t="s">
        <v>362</v>
      </c>
      <c r="F74" s="4">
        <v>0</v>
      </c>
      <c r="G74" s="4">
        <v>0</v>
      </c>
      <c r="H74" s="4">
        <v>0</v>
      </c>
      <c r="I74" s="4">
        <v>0</v>
      </c>
      <c r="J74" s="4">
        <v>605225</v>
      </c>
      <c r="K74" s="4">
        <v>7740</v>
      </c>
      <c r="L74" s="4">
        <v>0</v>
      </c>
      <c r="M74" s="4">
        <v>0</v>
      </c>
      <c r="N74" s="4">
        <v>1960</v>
      </c>
      <c r="O74" s="4">
        <v>0</v>
      </c>
      <c r="P74" s="4">
        <v>0</v>
      </c>
      <c r="Q74" s="4">
        <v>0</v>
      </c>
      <c r="R74" s="4">
        <v>0</v>
      </c>
      <c r="S74" s="4">
        <v>0</v>
      </c>
      <c r="T74" s="4">
        <v>0</v>
      </c>
      <c r="U74" s="4">
        <v>0</v>
      </c>
      <c r="V74" s="4">
        <v>0</v>
      </c>
      <c r="W74" s="4">
        <v>0</v>
      </c>
      <c r="X74" s="4">
        <v>0</v>
      </c>
      <c r="Y74" s="4">
        <v>764990</v>
      </c>
      <c r="Z74" s="4">
        <v>0</v>
      </c>
      <c r="AA74" s="4">
        <v>1796190</v>
      </c>
      <c r="AB74" s="4">
        <v>83200</v>
      </c>
      <c r="AC74" s="4">
        <v>568660</v>
      </c>
      <c r="AD74" s="4">
        <v>517690</v>
      </c>
      <c r="AE74" s="4">
        <v>32461.25</v>
      </c>
      <c r="AF74" s="4">
        <v>906658</v>
      </c>
      <c r="AG74" s="4">
        <v>529460</v>
      </c>
      <c r="AH74" s="4">
        <v>312402.55</v>
      </c>
      <c r="AI74" s="4">
        <v>1443269.15</v>
      </c>
      <c r="AJ74" s="4">
        <v>513240</v>
      </c>
      <c r="AK74" s="4">
        <v>481320</v>
      </c>
      <c r="AL74" s="4">
        <v>1257120</v>
      </c>
      <c r="AM74" s="4">
        <v>2514443.4</v>
      </c>
      <c r="AN74" s="4">
        <v>2001670</v>
      </c>
      <c r="AO74" s="4">
        <v>341360</v>
      </c>
      <c r="AP74" s="4">
        <v>777663</v>
      </c>
      <c r="AQ74" s="4">
        <v>1397940</v>
      </c>
      <c r="AR74" s="4">
        <v>400000</v>
      </c>
      <c r="AS74" s="4">
        <v>3033211</v>
      </c>
      <c r="AT74" s="4">
        <v>0</v>
      </c>
      <c r="AU74" s="4">
        <v>1018940</v>
      </c>
      <c r="AV74" s="4">
        <v>921580</v>
      </c>
      <c r="AW74" s="4">
        <v>1749578</v>
      </c>
      <c r="AX74" s="4">
        <v>1001970</v>
      </c>
      <c r="AY74" s="4">
        <v>356390</v>
      </c>
      <c r="AZ74" s="4">
        <v>358610</v>
      </c>
      <c r="BA74" s="4">
        <v>2727445</v>
      </c>
      <c r="BB74" s="4">
        <v>272620</v>
      </c>
      <c r="BC74" s="4">
        <v>2067619</v>
      </c>
      <c r="BD74" s="4">
        <v>388708.55</v>
      </c>
      <c r="BE74" s="4">
        <v>0</v>
      </c>
      <c r="BF74" s="4">
        <v>1211010</v>
      </c>
      <c r="BG74" s="31">
        <f t="shared" si="19"/>
        <v>32362343.900000002</v>
      </c>
      <c r="BH74" s="31">
        <f t="shared" si="16"/>
        <v>614925</v>
      </c>
      <c r="BI74" s="31">
        <f t="shared" si="17"/>
        <v>7949540.9499999993</v>
      </c>
      <c r="BJ74" s="31">
        <f t="shared" si="18"/>
        <v>23797877.949999999</v>
      </c>
    </row>
    <row r="75" spans="2:63" x14ac:dyDescent="0.25">
      <c r="D75">
        <v>1406</v>
      </c>
      <c r="E75" t="s">
        <v>363</v>
      </c>
      <c r="F75" s="4">
        <v>0</v>
      </c>
      <c r="G75" s="4">
        <v>30500</v>
      </c>
      <c r="H75" s="4">
        <v>171261.15</v>
      </c>
      <c r="I75" s="4">
        <v>0</v>
      </c>
      <c r="J75" s="4">
        <v>251863.05</v>
      </c>
      <c r="K75" s="4">
        <v>130536.4</v>
      </c>
      <c r="L75" s="4">
        <v>186308.05</v>
      </c>
      <c r="M75" s="4">
        <v>3204498.25</v>
      </c>
      <c r="N75" s="4">
        <v>238334.75</v>
      </c>
      <c r="O75" s="4">
        <v>0</v>
      </c>
      <c r="P75" s="4">
        <v>586905.80000000005</v>
      </c>
      <c r="Q75" s="4">
        <v>135800</v>
      </c>
      <c r="R75" s="4">
        <v>0</v>
      </c>
      <c r="S75" s="4">
        <v>0</v>
      </c>
      <c r="T75" s="4">
        <v>0</v>
      </c>
      <c r="U75" s="4">
        <v>67280.55</v>
      </c>
      <c r="V75" s="4">
        <v>27000</v>
      </c>
      <c r="W75" s="4">
        <v>16000</v>
      </c>
      <c r="X75" s="4">
        <v>295644.79999999999</v>
      </c>
      <c r="Y75" s="4">
        <v>43150</v>
      </c>
      <c r="Z75" s="4">
        <v>19299.400000000001</v>
      </c>
      <c r="AA75" s="4">
        <v>46300</v>
      </c>
      <c r="AB75" s="4">
        <v>3</v>
      </c>
      <c r="AC75" s="4">
        <v>5600</v>
      </c>
      <c r="AD75" s="4">
        <v>80182.3</v>
      </c>
      <c r="AE75" s="4">
        <v>102525.35</v>
      </c>
      <c r="AF75" s="4">
        <v>2</v>
      </c>
      <c r="AG75" s="4">
        <v>0</v>
      </c>
      <c r="AH75" s="4">
        <v>283296.15000000002</v>
      </c>
      <c r="AI75" s="4">
        <v>243026</v>
      </c>
      <c r="AJ75" s="4">
        <v>40177.9</v>
      </c>
      <c r="AK75" s="4">
        <v>0</v>
      </c>
      <c r="AL75" s="4">
        <v>1122.3499999999999</v>
      </c>
      <c r="AM75" s="4">
        <v>66401.100000000006</v>
      </c>
      <c r="AN75" s="4">
        <v>81217.45</v>
      </c>
      <c r="AO75" s="4">
        <v>0</v>
      </c>
      <c r="AP75" s="4">
        <v>76890.25</v>
      </c>
      <c r="AQ75" s="4">
        <v>20438.3</v>
      </c>
      <c r="AR75" s="4">
        <v>136864.20000000001</v>
      </c>
      <c r="AS75" s="4">
        <v>56890.7</v>
      </c>
      <c r="AT75" s="4">
        <v>0</v>
      </c>
      <c r="AU75" s="4">
        <v>3990.5</v>
      </c>
      <c r="AV75" s="4">
        <v>1</v>
      </c>
      <c r="AW75" s="4">
        <v>228601</v>
      </c>
      <c r="AX75" s="4">
        <v>46750.92</v>
      </c>
      <c r="AY75" s="4">
        <v>0</v>
      </c>
      <c r="AZ75" s="4">
        <v>1</v>
      </c>
      <c r="BA75" s="4">
        <v>160440</v>
      </c>
      <c r="BB75" s="4">
        <v>0</v>
      </c>
      <c r="BC75" s="4">
        <v>18082.169999999998</v>
      </c>
      <c r="BD75" s="4">
        <v>1</v>
      </c>
      <c r="BE75" s="4">
        <v>684978.17</v>
      </c>
      <c r="BF75" s="4">
        <v>3</v>
      </c>
      <c r="BG75" s="31">
        <f t="shared" si="19"/>
        <v>7788168.0099999998</v>
      </c>
      <c r="BH75" s="31">
        <f t="shared" si="16"/>
        <v>5341932.8</v>
      </c>
      <c r="BI75" s="31">
        <f t="shared" si="17"/>
        <v>863562.10000000009</v>
      </c>
      <c r="BJ75" s="31">
        <f t="shared" si="18"/>
        <v>1582673.1100000003</v>
      </c>
    </row>
    <row r="76" spans="2:63" x14ac:dyDescent="0.25">
      <c r="D76">
        <v>1407</v>
      </c>
      <c r="E76" t="s">
        <v>364</v>
      </c>
      <c r="F76" s="4">
        <v>0</v>
      </c>
      <c r="G76" s="4">
        <v>1500</v>
      </c>
      <c r="H76" s="4">
        <v>54066.76</v>
      </c>
      <c r="I76" s="4">
        <v>0</v>
      </c>
      <c r="J76" s="4">
        <v>150232.82</v>
      </c>
      <c r="K76" s="4">
        <v>3452027.88</v>
      </c>
      <c r="L76" s="4">
        <v>1163802.81</v>
      </c>
      <c r="M76" s="4">
        <v>2623431.75</v>
      </c>
      <c r="N76" s="4">
        <v>1000928.24</v>
      </c>
      <c r="O76" s="4">
        <v>0</v>
      </c>
      <c r="P76" s="4">
        <v>4909373.55</v>
      </c>
      <c r="Q76" s="4">
        <v>0</v>
      </c>
      <c r="R76" s="4">
        <v>0</v>
      </c>
      <c r="S76" s="4">
        <v>0</v>
      </c>
      <c r="T76" s="4">
        <v>0</v>
      </c>
      <c r="U76" s="4">
        <v>0</v>
      </c>
      <c r="V76" s="4">
        <v>0</v>
      </c>
      <c r="W76" s="4">
        <v>0</v>
      </c>
      <c r="X76" s="4">
        <v>2389897.0099999998</v>
      </c>
      <c r="Y76" s="4">
        <v>10267.799999999999</v>
      </c>
      <c r="Z76" s="4">
        <v>6404959.5800000001</v>
      </c>
      <c r="AA76" s="4">
        <v>0</v>
      </c>
      <c r="AB76" s="4">
        <v>0</v>
      </c>
      <c r="AC76" s="4">
        <v>605597.55000000005</v>
      </c>
      <c r="AD76" s="4">
        <v>0</v>
      </c>
      <c r="AE76" s="4">
        <v>652205.36</v>
      </c>
      <c r="AF76" s="4">
        <v>0</v>
      </c>
      <c r="AG76" s="4">
        <v>0</v>
      </c>
      <c r="AH76" s="4">
        <v>710084.45</v>
      </c>
      <c r="AI76" s="4">
        <v>0</v>
      </c>
      <c r="AJ76" s="4">
        <v>0</v>
      </c>
      <c r="AK76" s="4">
        <v>10123.799999999999</v>
      </c>
      <c r="AL76" s="4">
        <v>666909.69999999995</v>
      </c>
      <c r="AM76" s="4">
        <v>0</v>
      </c>
      <c r="AN76" s="4">
        <v>0</v>
      </c>
      <c r="AO76" s="4">
        <v>354044.74</v>
      </c>
      <c r="AP76" s="4">
        <v>535728.25</v>
      </c>
      <c r="AQ76" s="4">
        <v>150309.95000000001</v>
      </c>
      <c r="AR76" s="4">
        <v>154843.85</v>
      </c>
      <c r="AS76" s="4">
        <v>3111865.78</v>
      </c>
      <c r="AT76" s="4">
        <v>0</v>
      </c>
      <c r="AU76" s="4">
        <v>740220.45</v>
      </c>
      <c r="AV76" s="4">
        <v>0</v>
      </c>
      <c r="AW76" s="4">
        <v>165679.6</v>
      </c>
      <c r="AX76" s="4">
        <v>117228.85</v>
      </c>
      <c r="AY76" s="4">
        <v>0</v>
      </c>
      <c r="AZ76" s="4">
        <v>0</v>
      </c>
      <c r="BA76" s="4">
        <v>0</v>
      </c>
      <c r="BB76" s="4">
        <v>1164672.47</v>
      </c>
      <c r="BC76" s="4">
        <v>1095841.47</v>
      </c>
      <c r="BD76" s="4">
        <v>0</v>
      </c>
      <c r="BE76" s="4">
        <v>3055710.93</v>
      </c>
      <c r="BF76" s="4">
        <v>0</v>
      </c>
      <c r="BG76" s="31">
        <f t="shared" si="19"/>
        <v>35451555.399999999</v>
      </c>
      <c r="BH76" s="31">
        <f t="shared" si="16"/>
        <v>15745260.819999998</v>
      </c>
      <c r="BI76" s="31">
        <f t="shared" si="17"/>
        <v>8393238.540000001</v>
      </c>
      <c r="BJ76" s="31">
        <f t="shared" si="18"/>
        <v>11313056.039999999</v>
      </c>
    </row>
    <row r="77" spans="2:63" x14ac:dyDescent="0.25">
      <c r="D77">
        <v>1409</v>
      </c>
      <c r="E77" t="s">
        <v>365</v>
      </c>
      <c r="F77" s="4">
        <v>0</v>
      </c>
      <c r="G77" s="4">
        <v>0</v>
      </c>
      <c r="H77" s="4">
        <v>0</v>
      </c>
      <c r="I77" s="4">
        <v>0</v>
      </c>
      <c r="J77" s="4">
        <v>0</v>
      </c>
      <c r="K77" s="4">
        <v>0</v>
      </c>
      <c r="L77" s="4">
        <v>0</v>
      </c>
      <c r="M77" s="4">
        <v>0</v>
      </c>
      <c r="N77" s="4">
        <v>0</v>
      </c>
      <c r="O77" s="4">
        <v>0</v>
      </c>
      <c r="P77" s="4">
        <v>0</v>
      </c>
      <c r="Q77" s="4">
        <v>0</v>
      </c>
      <c r="R77" s="4">
        <v>0</v>
      </c>
      <c r="S77" s="4">
        <v>0</v>
      </c>
      <c r="T77" s="4">
        <v>0</v>
      </c>
      <c r="U77" s="4">
        <v>0</v>
      </c>
      <c r="V77" s="4">
        <v>0</v>
      </c>
      <c r="W77" s="4">
        <v>0</v>
      </c>
      <c r="X77" s="4">
        <v>0</v>
      </c>
      <c r="Y77" s="4">
        <v>0</v>
      </c>
      <c r="Z77" s="4">
        <v>0</v>
      </c>
      <c r="AA77" s="4">
        <v>0</v>
      </c>
      <c r="AB77" s="4">
        <v>0</v>
      </c>
      <c r="AC77" s="4">
        <v>0</v>
      </c>
      <c r="AD77" s="4">
        <v>0</v>
      </c>
      <c r="AE77" s="4">
        <v>0</v>
      </c>
      <c r="AF77" s="4">
        <v>0</v>
      </c>
      <c r="AG77" s="4">
        <v>0</v>
      </c>
      <c r="AH77" s="4">
        <v>0</v>
      </c>
      <c r="AI77" s="4">
        <v>0</v>
      </c>
      <c r="AJ77" s="4">
        <v>0</v>
      </c>
      <c r="AK77" s="4">
        <v>0</v>
      </c>
      <c r="AL77" s="4">
        <v>0</v>
      </c>
      <c r="AM77" s="4">
        <v>0</v>
      </c>
      <c r="AN77" s="4">
        <v>0</v>
      </c>
      <c r="AO77" s="4">
        <v>0</v>
      </c>
      <c r="AP77" s="4">
        <v>0</v>
      </c>
      <c r="AQ77" s="4">
        <v>0</v>
      </c>
      <c r="AR77" s="4">
        <v>0</v>
      </c>
      <c r="AS77" s="4">
        <v>0</v>
      </c>
      <c r="AT77" s="4">
        <v>5087412.6500000004</v>
      </c>
      <c r="AU77" s="4">
        <v>0</v>
      </c>
      <c r="AV77" s="4">
        <v>0</v>
      </c>
      <c r="AW77" s="4">
        <v>0</v>
      </c>
      <c r="AX77" s="4">
        <v>0</v>
      </c>
      <c r="AY77" s="4">
        <v>0</v>
      </c>
      <c r="AZ77" s="4">
        <v>0</v>
      </c>
      <c r="BA77" s="4">
        <v>0</v>
      </c>
      <c r="BB77" s="4">
        <v>0</v>
      </c>
      <c r="BC77" s="4">
        <v>0</v>
      </c>
      <c r="BD77" s="4">
        <v>0</v>
      </c>
      <c r="BE77" s="4">
        <v>50</v>
      </c>
      <c r="BF77" s="4">
        <v>0</v>
      </c>
      <c r="BG77" s="31">
        <f t="shared" si="19"/>
        <v>5087462.6500000004</v>
      </c>
      <c r="BH77" s="31">
        <f t="shared" si="16"/>
        <v>0</v>
      </c>
      <c r="BI77" s="31">
        <f t="shared" si="17"/>
        <v>0</v>
      </c>
      <c r="BJ77" s="31">
        <f t="shared" si="18"/>
        <v>5087462.6500000004</v>
      </c>
    </row>
    <row r="78" spans="2:63" x14ac:dyDescent="0.25">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31"/>
      <c r="BH78" s="31"/>
      <c r="BI78" s="31"/>
      <c r="BJ78" s="31"/>
    </row>
    <row r="79" spans="2:63" x14ac:dyDescent="0.25">
      <c r="C79" s="56">
        <v>142</v>
      </c>
      <c r="D79" s="56"/>
      <c r="E79" s="56" t="s">
        <v>581</v>
      </c>
      <c r="F79" s="57">
        <f t="shared" ref="F79:O79" si="20">F80+F81+F82+F83</f>
        <v>0</v>
      </c>
      <c r="G79" s="57">
        <f t="shared" si="20"/>
        <v>109846.95</v>
      </c>
      <c r="H79" s="57">
        <f t="shared" si="20"/>
        <v>17464.8</v>
      </c>
      <c r="I79" s="57">
        <f t="shared" si="20"/>
        <v>73752.649999999994</v>
      </c>
      <c r="J79" s="57">
        <f t="shared" si="20"/>
        <v>461928.9</v>
      </c>
      <c r="K79" s="57">
        <f t="shared" si="20"/>
        <v>13136.2</v>
      </c>
      <c r="L79" s="57">
        <f t="shared" si="20"/>
        <v>253129</v>
      </c>
      <c r="M79" s="57">
        <f t="shared" si="20"/>
        <v>916895.8</v>
      </c>
      <c r="N79" s="57">
        <f t="shared" si="20"/>
        <v>26818.799999999999</v>
      </c>
      <c r="O79" s="57">
        <f t="shared" si="20"/>
        <v>0</v>
      </c>
      <c r="P79" s="57">
        <f>P80+P81+P82+P83</f>
        <v>313234.64999999997</v>
      </c>
      <c r="Q79" s="57">
        <f t="shared" ref="Q79:BF79" si="21">Q80+Q81+Q82+Q83</f>
        <v>0</v>
      </c>
      <c r="R79" s="57">
        <f t="shared" si="21"/>
        <v>39512</v>
      </c>
      <c r="S79" s="57">
        <f t="shared" si="21"/>
        <v>0</v>
      </c>
      <c r="T79" s="57">
        <f t="shared" si="21"/>
        <v>5000</v>
      </c>
      <c r="U79" s="57">
        <f t="shared" si="21"/>
        <v>0</v>
      </c>
      <c r="V79" s="57">
        <f t="shared" si="21"/>
        <v>39200</v>
      </c>
      <c r="W79" s="57">
        <f t="shared" si="21"/>
        <v>149450.45000000001</v>
      </c>
      <c r="X79" s="57">
        <f t="shared" si="21"/>
        <v>378741.5</v>
      </c>
      <c r="Y79" s="57">
        <f t="shared" si="21"/>
        <v>0</v>
      </c>
      <c r="Z79" s="57">
        <f t="shared" si="21"/>
        <v>85889.4</v>
      </c>
      <c r="AA79" s="57">
        <f t="shared" si="21"/>
        <v>0</v>
      </c>
      <c r="AB79" s="57">
        <f t="shared" si="21"/>
        <v>0</v>
      </c>
      <c r="AC79" s="57">
        <f t="shared" si="21"/>
        <v>0</v>
      </c>
      <c r="AD79" s="57">
        <f t="shared" si="21"/>
        <v>212109.7</v>
      </c>
      <c r="AE79" s="57">
        <f t="shared" si="21"/>
        <v>16751.099999999999</v>
      </c>
      <c r="AF79" s="57">
        <f t="shared" si="21"/>
        <v>74000</v>
      </c>
      <c r="AG79" s="57">
        <f t="shared" si="21"/>
        <v>150000</v>
      </c>
      <c r="AH79" s="57">
        <f t="shared" si="21"/>
        <v>206457.85</v>
      </c>
      <c r="AI79" s="57">
        <f t="shared" si="21"/>
        <v>171988.75</v>
      </c>
      <c r="AJ79" s="57">
        <f t="shared" si="21"/>
        <v>14241</v>
      </c>
      <c r="AK79" s="57">
        <f t="shared" si="21"/>
        <v>0</v>
      </c>
      <c r="AL79" s="57">
        <f t="shared" si="21"/>
        <v>361715.5</v>
      </c>
      <c r="AM79" s="57">
        <f t="shared" si="21"/>
        <v>0</v>
      </c>
      <c r="AN79" s="57">
        <f t="shared" si="21"/>
        <v>510757.45</v>
      </c>
      <c r="AO79" s="57">
        <f t="shared" si="21"/>
        <v>0</v>
      </c>
      <c r="AP79" s="57">
        <f t="shared" si="21"/>
        <v>72580.800000000003</v>
      </c>
      <c r="AQ79" s="57">
        <f t="shared" si="21"/>
        <v>395329.6</v>
      </c>
      <c r="AR79" s="57">
        <f t="shared" si="21"/>
        <v>0</v>
      </c>
      <c r="AS79" s="57">
        <f t="shared" si="21"/>
        <v>398043.80000000005</v>
      </c>
      <c r="AT79" s="57">
        <f t="shared" si="21"/>
        <v>34969.800000000003</v>
      </c>
      <c r="AU79" s="57">
        <f t="shared" si="21"/>
        <v>67324.350000000006</v>
      </c>
      <c r="AV79" s="57">
        <f t="shared" si="21"/>
        <v>21605.3</v>
      </c>
      <c r="AW79" s="57">
        <f t="shared" si="21"/>
        <v>72272.649999999994</v>
      </c>
      <c r="AX79" s="57">
        <f t="shared" si="21"/>
        <v>58011.21</v>
      </c>
      <c r="AY79" s="57">
        <f t="shared" si="21"/>
        <v>0</v>
      </c>
      <c r="AZ79" s="57">
        <f t="shared" si="21"/>
        <v>30663.3</v>
      </c>
      <c r="BA79" s="57">
        <f t="shared" si="21"/>
        <v>509174.7</v>
      </c>
      <c r="BB79" s="57">
        <f t="shared" si="21"/>
        <v>162340</v>
      </c>
      <c r="BC79" s="57">
        <f t="shared" si="21"/>
        <v>390185.89</v>
      </c>
      <c r="BD79" s="57">
        <f t="shared" si="21"/>
        <v>0</v>
      </c>
      <c r="BE79" s="57">
        <f t="shared" si="21"/>
        <v>670459.23</v>
      </c>
      <c r="BF79" s="57">
        <f t="shared" si="21"/>
        <v>36554.699999999997</v>
      </c>
      <c r="BG79" s="57">
        <f t="shared" si="19"/>
        <v>7521537.7799999984</v>
      </c>
      <c r="BH79" s="57">
        <f t="shared" si="16"/>
        <v>2798111.7</v>
      </c>
      <c r="BI79" s="57">
        <f t="shared" si="17"/>
        <v>931437.79999999993</v>
      </c>
      <c r="BJ79" s="57">
        <f t="shared" si="18"/>
        <v>3791988.2800000007</v>
      </c>
    </row>
    <row r="80" spans="2:63" x14ac:dyDescent="0.25">
      <c r="D80">
        <v>1420</v>
      </c>
      <c r="E80" t="s">
        <v>366</v>
      </c>
      <c r="F80" s="4">
        <v>0</v>
      </c>
      <c r="G80" s="4">
        <v>0</v>
      </c>
      <c r="H80" s="4">
        <v>0</v>
      </c>
      <c r="I80" s="4">
        <v>0</v>
      </c>
      <c r="J80" s="4">
        <v>0</v>
      </c>
      <c r="K80" s="4">
        <v>0</v>
      </c>
      <c r="L80" s="4">
        <v>0</v>
      </c>
      <c r="M80" s="4">
        <v>444698</v>
      </c>
      <c r="N80" s="4">
        <v>0</v>
      </c>
      <c r="O80" s="4">
        <v>0</v>
      </c>
      <c r="P80" s="4">
        <v>49668.800000000003</v>
      </c>
      <c r="Q80" s="4">
        <v>0</v>
      </c>
      <c r="R80" s="4">
        <v>0</v>
      </c>
      <c r="S80" s="4">
        <v>0</v>
      </c>
      <c r="T80" s="4">
        <v>0</v>
      </c>
      <c r="U80" s="4">
        <v>0</v>
      </c>
      <c r="V80" s="4">
        <v>20600</v>
      </c>
      <c r="W80" s="4">
        <v>0</v>
      </c>
      <c r="X80" s="4">
        <v>3317.15</v>
      </c>
      <c r="Y80" s="4">
        <v>0</v>
      </c>
      <c r="Z80" s="4">
        <v>0</v>
      </c>
      <c r="AA80" s="4">
        <v>0</v>
      </c>
      <c r="AB80" s="4">
        <v>0</v>
      </c>
      <c r="AC80" s="4">
        <v>0</v>
      </c>
      <c r="AD80" s="4">
        <v>0</v>
      </c>
      <c r="AE80" s="4">
        <v>16751.099999999999</v>
      </c>
      <c r="AF80" s="4">
        <v>0</v>
      </c>
      <c r="AG80" s="4">
        <v>0</v>
      </c>
      <c r="AH80" s="4">
        <v>0</v>
      </c>
      <c r="AI80" s="4">
        <v>0</v>
      </c>
      <c r="AJ80" s="4">
        <v>0</v>
      </c>
      <c r="AK80" s="4">
        <v>0</v>
      </c>
      <c r="AL80" s="4">
        <v>0</v>
      </c>
      <c r="AM80" s="4">
        <v>0</v>
      </c>
      <c r="AN80" s="4">
        <v>0</v>
      </c>
      <c r="AO80" s="4">
        <v>0</v>
      </c>
      <c r="AP80" s="4">
        <v>72580.800000000003</v>
      </c>
      <c r="AQ80" s="4">
        <v>0</v>
      </c>
      <c r="AR80" s="4">
        <v>0</v>
      </c>
      <c r="AS80" s="4">
        <v>0</v>
      </c>
      <c r="AT80" s="4">
        <v>0</v>
      </c>
      <c r="AU80" s="4">
        <v>0</v>
      </c>
      <c r="AV80" s="4">
        <v>0</v>
      </c>
      <c r="AW80" s="4">
        <v>0</v>
      </c>
      <c r="AX80" s="4">
        <v>0</v>
      </c>
      <c r="AY80" s="4">
        <v>0</v>
      </c>
      <c r="AZ80" s="4">
        <v>0</v>
      </c>
      <c r="BA80" s="4">
        <v>0</v>
      </c>
      <c r="BB80" s="4">
        <v>0</v>
      </c>
      <c r="BC80" s="4">
        <v>0</v>
      </c>
      <c r="BD80" s="4">
        <v>0</v>
      </c>
      <c r="BE80" s="4">
        <v>0</v>
      </c>
      <c r="BF80" s="4">
        <v>0</v>
      </c>
      <c r="BG80" s="31">
        <f t="shared" si="19"/>
        <v>607615.85000000009</v>
      </c>
      <c r="BH80" s="31">
        <f t="shared" si="16"/>
        <v>518283.95</v>
      </c>
      <c r="BI80" s="31">
        <f t="shared" si="17"/>
        <v>16751.099999999999</v>
      </c>
      <c r="BJ80" s="31">
        <f t="shared" si="18"/>
        <v>72580.800000000003</v>
      </c>
    </row>
    <row r="81" spans="3:62" x14ac:dyDescent="0.25">
      <c r="D81">
        <v>1421</v>
      </c>
      <c r="E81" t="s">
        <v>367</v>
      </c>
      <c r="F81" s="4">
        <v>0</v>
      </c>
      <c r="G81" s="4">
        <v>0</v>
      </c>
      <c r="H81" s="4">
        <v>0</v>
      </c>
      <c r="I81" s="4">
        <v>0</v>
      </c>
      <c r="J81" s="4">
        <v>0</v>
      </c>
      <c r="K81" s="4">
        <v>0</v>
      </c>
      <c r="L81" s="4">
        <v>0</v>
      </c>
      <c r="M81" s="4">
        <v>0</v>
      </c>
      <c r="N81" s="4">
        <v>0</v>
      </c>
      <c r="O81" s="4">
        <v>0</v>
      </c>
      <c r="P81" s="4">
        <v>0</v>
      </c>
      <c r="Q81" s="4">
        <v>0</v>
      </c>
      <c r="R81" s="4">
        <v>0</v>
      </c>
      <c r="S81" s="4">
        <v>0</v>
      </c>
      <c r="T81" s="4">
        <v>0</v>
      </c>
      <c r="U81" s="4">
        <v>0</v>
      </c>
      <c r="V81" s="4">
        <v>0</v>
      </c>
      <c r="W81" s="4">
        <v>0</v>
      </c>
      <c r="X81" s="4">
        <v>0</v>
      </c>
      <c r="Y81" s="4">
        <v>0</v>
      </c>
      <c r="Z81" s="4">
        <v>0</v>
      </c>
      <c r="AA81" s="4">
        <v>0</v>
      </c>
      <c r="AB81" s="4">
        <v>0</v>
      </c>
      <c r="AC81" s="4">
        <v>0</v>
      </c>
      <c r="AD81" s="4">
        <v>0</v>
      </c>
      <c r="AE81" s="4">
        <v>0</v>
      </c>
      <c r="AF81" s="4">
        <v>0</v>
      </c>
      <c r="AG81" s="4">
        <v>0</v>
      </c>
      <c r="AH81" s="4">
        <v>0</v>
      </c>
      <c r="AI81" s="4">
        <v>0</v>
      </c>
      <c r="AJ81" s="4">
        <v>0</v>
      </c>
      <c r="AK81" s="4">
        <v>0</v>
      </c>
      <c r="AL81" s="4">
        <v>0</v>
      </c>
      <c r="AM81" s="4">
        <v>0</v>
      </c>
      <c r="AN81" s="4">
        <v>0</v>
      </c>
      <c r="AO81" s="4">
        <v>0</v>
      </c>
      <c r="AP81" s="4">
        <v>0</v>
      </c>
      <c r="AQ81" s="4">
        <v>0</v>
      </c>
      <c r="AR81" s="4">
        <v>0</v>
      </c>
      <c r="AS81" s="4">
        <v>0</v>
      </c>
      <c r="AT81" s="4">
        <v>0</v>
      </c>
      <c r="AU81" s="4">
        <v>0</v>
      </c>
      <c r="AV81" s="4">
        <v>0</v>
      </c>
      <c r="AW81" s="4">
        <v>0</v>
      </c>
      <c r="AX81" s="4">
        <v>0</v>
      </c>
      <c r="AY81" s="4">
        <v>0</v>
      </c>
      <c r="AZ81" s="4">
        <v>0</v>
      </c>
      <c r="BA81" s="4">
        <v>0</v>
      </c>
      <c r="BB81" s="4">
        <v>0</v>
      </c>
      <c r="BC81" s="4">
        <v>0</v>
      </c>
      <c r="BD81" s="4">
        <v>0</v>
      </c>
      <c r="BE81" s="4">
        <v>0</v>
      </c>
      <c r="BF81" s="4">
        <v>0</v>
      </c>
      <c r="BG81" s="31">
        <f t="shared" si="19"/>
        <v>0</v>
      </c>
      <c r="BH81" s="31">
        <f t="shared" si="16"/>
        <v>0</v>
      </c>
      <c r="BI81" s="31">
        <f t="shared" si="17"/>
        <v>0</v>
      </c>
      <c r="BJ81" s="31">
        <f t="shared" si="18"/>
        <v>0</v>
      </c>
    </row>
    <row r="82" spans="3:62" x14ac:dyDescent="0.25">
      <c r="D82">
        <v>1427</v>
      </c>
      <c r="E82" t="s">
        <v>580</v>
      </c>
      <c r="F82" s="4">
        <v>0</v>
      </c>
      <c r="G82" s="4">
        <v>0</v>
      </c>
      <c r="H82" s="4">
        <v>0</v>
      </c>
      <c r="I82" s="4">
        <v>0</v>
      </c>
      <c r="J82" s="4">
        <v>0</v>
      </c>
      <c r="K82" s="4">
        <v>0</v>
      </c>
      <c r="L82" s="4">
        <v>0</v>
      </c>
      <c r="M82" s="4">
        <v>26943.3</v>
      </c>
      <c r="N82" s="4">
        <v>0</v>
      </c>
      <c r="O82" s="4">
        <v>0</v>
      </c>
      <c r="P82" s="4">
        <v>220470.55</v>
      </c>
      <c r="Q82" s="4">
        <v>0</v>
      </c>
      <c r="R82" s="4">
        <v>0</v>
      </c>
      <c r="S82" s="4">
        <v>0</v>
      </c>
      <c r="T82" s="4">
        <v>0</v>
      </c>
      <c r="U82" s="4">
        <v>0</v>
      </c>
      <c r="V82" s="4">
        <v>0</v>
      </c>
      <c r="W82" s="4">
        <v>0</v>
      </c>
      <c r="X82" s="4">
        <v>78654.75</v>
      </c>
      <c r="Y82" s="4">
        <v>0</v>
      </c>
      <c r="Z82" s="4">
        <v>0</v>
      </c>
      <c r="AA82" s="4">
        <v>0</v>
      </c>
      <c r="AB82" s="4">
        <v>0</v>
      </c>
      <c r="AC82" s="4">
        <v>0</v>
      </c>
      <c r="AD82" s="4">
        <v>212109.7</v>
      </c>
      <c r="AE82" s="4">
        <v>0</v>
      </c>
      <c r="AF82" s="4">
        <v>0</v>
      </c>
      <c r="AG82" s="4">
        <v>0</v>
      </c>
      <c r="AH82" s="4">
        <v>0</v>
      </c>
      <c r="AI82" s="4">
        <v>0</v>
      </c>
      <c r="AJ82" s="4">
        <v>0</v>
      </c>
      <c r="AK82" s="4">
        <v>0</v>
      </c>
      <c r="AL82" s="4">
        <v>0</v>
      </c>
      <c r="AM82" s="4">
        <v>0</v>
      </c>
      <c r="AN82" s="4">
        <v>0</v>
      </c>
      <c r="AO82" s="4">
        <v>0</v>
      </c>
      <c r="AP82" s="4">
        <v>0</v>
      </c>
      <c r="AQ82" s="4">
        <v>395329.6</v>
      </c>
      <c r="AR82" s="4">
        <v>0</v>
      </c>
      <c r="AS82" s="4">
        <v>97405.65</v>
      </c>
      <c r="AT82" s="4">
        <v>0</v>
      </c>
      <c r="AU82" s="4">
        <v>0</v>
      </c>
      <c r="AV82" s="4">
        <v>21605.3</v>
      </c>
      <c r="AW82" s="4">
        <v>72272.649999999994</v>
      </c>
      <c r="AX82" s="4">
        <v>49530</v>
      </c>
      <c r="AY82" s="4">
        <v>0</v>
      </c>
      <c r="AZ82" s="4">
        <v>30663.3</v>
      </c>
      <c r="BA82" s="4">
        <v>0</v>
      </c>
      <c r="BB82" s="4">
        <v>0</v>
      </c>
      <c r="BC82" s="4">
        <v>274068.53999999998</v>
      </c>
      <c r="BD82" s="4">
        <v>0</v>
      </c>
      <c r="BE82" s="4">
        <v>401938.18</v>
      </c>
      <c r="BF82" s="4">
        <v>36554.699999999997</v>
      </c>
      <c r="BG82" s="31">
        <f t="shared" si="19"/>
        <v>1917546.22</v>
      </c>
      <c r="BH82" s="31">
        <f t="shared" si="16"/>
        <v>326068.59999999998</v>
      </c>
      <c r="BI82" s="31">
        <f t="shared" si="17"/>
        <v>212109.7</v>
      </c>
      <c r="BJ82" s="31">
        <f t="shared" si="18"/>
        <v>1379367.92</v>
      </c>
    </row>
    <row r="83" spans="3:62" x14ac:dyDescent="0.25">
      <c r="D83">
        <v>1429</v>
      </c>
      <c r="E83" t="s">
        <v>465</v>
      </c>
      <c r="F83" s="4">
        <v>0</v>
      </c>
      <c r="G83" s="4">
        <v>109846.95</v>
      </c>
      <c r="H83" s="4">
        <v>17464.8</v>
      </c>
      <c r="I83" s="4">
        <v>73752.649999999994</v>
      </c>
      <c r="J83" s="4">
        <v>461928.9</v>
      </c>
      <c r="K83" s="4">
        <v>13136.2</v>
      </c>
      <c r="L83" s="4">
        <v>253129</v>
      </c>
      <c r="M83" s="4">
        <v>445254.5</v>
      </c>
      <c r="N83" s="4">
        <v>26818.799999999999</v>
      </c>
      <c r="O83" s="4">
        <v>0</v>
      </c>
      <c r="P83" s="4">
        <v>43095.3</v>
      </c>
      <c r="Q83" s="4">
        <v>0</v>
      </c>
      <c r="R83" s="4">
        <v>39512</v>
      </c>
      <c r="S83" s="4">
        <v>0</v>
      </c>
      <c r="T83" s="4">
        <v>5000</v>
      </c>
      <c r="U83" s="4">
        <v>0</v>
      </c>
      <c r="V83" s="4">
        <v>18600</v>
      </c>
      <c r="W83" s="4">
        <v>149450.45000000001</v>
      </c>
      <c r="X83" s="4">
        <v>296769.59999999998</v>
      </c>
      <c r="Y83" s="4">
        <v>0</v>
      </c>
      <c r="Z83" s="4">
        <v>85889.4</v>
      </c>
      <c r="AA83" s="4">
        <v>0</v>
      </c>
      <c r="AB83" s="4">
        <v>0</v>
      </c>
      <c r="AC83" s="4">
        <v>0</v>
      </c>
      <c r="AD83" s="4">
        <v>0</v>
      </c>
      <c r="AE83" s="4">
        <v>0</v>
      </c>
      <c r="AF83" s="4">
        <v>74000</v>
      </c>
      <c r="AG83" s="4">
        <v>150000</v>
      </c>
      <c r="AH83" s="4">
        <v>206457.85</v>
      </c>
      <c r="AI83" s="4">
        <v>171988.75</v>
      </c>
      <c r="AJ83" s="4">
        <v>14241</v>
      </c>
      <c r="AK83" s="4">
        <v>0</v>
      </c>
      <c r="AL83" s="4">
        <v>361715.5</v>
      </c>
      <c r="AM83" s="4">
        <v>0</v>
      </c>
      <c r="AN83" s="4">
        <v>510757.45</v>
      </c>
      <c r="AO83" s="4">
        <v>0</v>
      </c>
      <c r="AP83" s="4">
        <v>0</v>
      </c>
      <c r="AQ83" s="4">
        <v>0</v>
      </c>
      <c r="AR83" s="4">
        <v>0</v>
      </c>
      <c r="AS83" s="4">
        <v>300638.15000000002</v>
      </c>
      <c r="AT83" s="4">
        <v>34969.800000000003</v>
      </c>
      <c r="AU83" s="4">
        <v>67324.350000000006</v>
      </c>
      <c r="AV83" s="4">
        <v>0</v>
      </c>
      <c r="AW83" s="4">
        <v>0</v>
      </c>
      <c r="AX83" s="4">
        <v>8481.2099999999991</v>
      </c>
      <c r="AY83" s="4">
        <v>0</v>
      </c>
      <c r="AZ83" s="4">
        <v>0</v>
      </c>
      <c r="BA83" s="4">
        <v>509174.7</v>
      </c>
      <c r="BB83" s="4">
        <v>162340</v>
      </c>
      <c r="BC83" s="4">
        <v>116117.35</v>
      </c>
      <c r="BD83" s="4">
        <v>0</v>
      </c>
      <c r="BE83" s="4">
        <v>268521.05</v>
      </c>
      <c r="BF83" s="4">
        <v>0</v>
      </c>
      <c r="BG83" s="31">
        <f t="shared" si="19"/>
        <v>4996375.709999999</v>
      </c>
      <c r="BH83" s="31">
        <f t="shared" si="16"/>
        <v>1953759.15</v>
      </c>
      <c r="BI83" s="31">
        <f t="shared" si="17"/>
        <v>702577</v>
      </c>
      <c r="BJ83" s="31">
        <f t="shared" si="18"/>
        <v>2340039.56</v>
      </c>
    </row>
    <row r="84" spans="3:62" x14ac:dyDescent="0.25">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31"/>
      <c r="BH84" s="31"/>
      <c r="BI84" s="31"/>
      <c r="BJ84" s="31"/>
    </row>
    <row r="85" spans="3:62" x14ac:dyDescent="0.25">
      <c r="C85" s="56">
        <v>144</v>
      </c>
      <c r="D85" s="56"/>
      <c r="E85" s="56" t="s">
        <v>250</v>
      </c>
      <c r="F85" s="57">
        <f>F86+F87+F88+F89+F90+F91+F92+F93+F94</f>
        <v>0</v>
      </c>
      <c r="G85" s="57">
        <f t="shared" ref="G85:BF85" si="22">G86+G87+G88+G89+G90+G91+G92+G93+G94</f>
        <v>0</v>
      </c>
      <c r="H85" s="57">
        <f t="shared" si="22"/>
        <v>0</v>
      </c>
      <c r="I85" s="57">
        <f t="shared" si="22"/>
        <v>0</v>
      </c>
      <c r="J85" s="57">
        <f t="shared" si="22"/>
        <v>0</v>
      </c>
      <c r="K85" s="57">
        <f t="shared" si="22"/>
        <v>0</v>
      </c>
      <c r="L85" s="57">
        <f t="shared" si="22"/>
        <v>27900</v>
      </c>
      <c r="M85" s="57">
        <f t="shared" si="22"/>
        <v>1093520</v>
      </c>
      <c r="N85" s="57">
        <f t="shared" si="22"/>
        <v>130000</v>
      </c>
      <c r="O85" s="57">
        <f t="shared" si="22"/>
        <v>0</v>
      </c>
      <c r="P85" s="57">
        <f t="shared" si="22"/>
        <v>43772</v>
      </c>
      <c r="Q85" s="57">
        <f t="shared" si="22"/>
        <v>0</v>
      </c>
      <c r="R85" s="57">
        <f t="shared" si="22"/>
        <v>0</v>
      </c>
      <c r="S85" s="57">
        <f t="shared" si="22"/>
        <v>0</v>
      </c>
      <c r="T85" s="57">
        <f t="shared" si="22"/>
        <v>0</v>
      </c>
      <c r="U85" s="57">
        <f t="shared" si="22"/>
        <v>1</v>
      </c>
      <c r="V85" s="57">
        <f t="shared" si="22"/>
        <v>65500</v>
      </c>
      <c r="W85" s="57">
        <f t="shared" si="22"/>
        <v>0</v>
      </c>
      <c r="X85" s="57">
        <f t="shared" si="22"/>
        <v>0</v>
      </c>
      <c r="Y85" s="57">
        <f t="shared" si="22"/>
        <v>0</v>
      </c>
      <c r="Z85" s="57">
        <f t="shared" si="22"/>
        <v>0</v>
      </c>
      <c r="AA85" s="57">
        <f t="shared" si="22"/>
        <v>0</v>
      </c>
      <c r="AB85" s="57">
        <f t="shared" si="22"/>
        <v>0</v>
      </c>
      <c r="AC85" s="57">
        <f t="shared" si="22"/>
        <v>0</v>
      </c>
      <c r="AD85" s="57">
        <f t="shared" si="22"/>
        <v>18000</v>
      </c>
      <c r="AE85" s="57">
        <f t="shared" si="22"/>
        <v>0</v>
      </c>
      <c r="AF85" s="57">
        <f t="shared" si="22"/>
        <v>0</v>
      </c>
      <c r="AG85" s="57">
        <f t="shared" si="22"/>
        <v>0</v>
      </c>
      <c r="AH85" s="57">
        <f t="shared" si="22"/>
        <v>0</v>
      </c>
      <c r="AI85" s="57">
        <f t="shared" si="22"/>
        <v>326316.59999999998</v>
      </c>
      <c r="AJ85" s="57">
        <f t="shared" si="22"/>
        <v>0</v>
      </c>
      <c r="AK85" s="57">
        <f t="shared" si="22"/>
        <v>0</v>
      </c>
      <c r="AL85" s="57">
        <f t="shared" si="22"/>
        <v>0</v>
      </c>
      <c r="AM85" s="57">
        <f t="shared" si="22"/>
        <v>0</v>
      </c>
      <c r="AN85" s="57">
        <f t="shared" si="22"/>
        <v>100800</v>
      </c>
      <c r="AO85" s="57">
        <f t="shared" si="22"/>
        <v>0</v>
      </c>
      <c r="AP85" s="57">
        <f t="shared" si="22"/>
        <v>37200</v>
      </c>
      <c r="AQ85" s="57">
        <f t="shared" si="22"/>
        <v>42600</v>
      </c>
      <c r="AR85" s="57">
        <f t="shared" si="22"/>
        <v>133000</v>
      </c>
      <c r="AS85" s="57">
        <f t="shared" si="22"/>
        <v>0</v>
      </c>
      <c r="AT85" s="57">
        <f t="shared" si="22"/>
        <v>125400</v>
      </c>
      <c r="AU85" s="57">
        <f t="shared" si="22"/>
        <v>227661.4</v>
      </c>
      <c r="AV85" s="57">
        <f t="shared" si="22"/>
        <v>0</v>
      </c>
      <c r="AW85" s="57">
        <f t="shared" si="22"/>
        <v>19200</v>
      </c>
      <c r="AX85" s="57">
        <f t="shared" si="22"/>
        <v>0</v>
      </c>
      <c r="AY85" s="57">
        <f t="shared" si="22"/>
        <v>0</v>
      </c>
      <c r="AZ85" s="57">
        <f t="shared" si="22"/>
        <v>0</v>
      </c>
      <c r="BA85" s="57">
        <f t="shared" si="22"/>
        <v>0</v>
      </c>
      <c r="BB85" s="57">
        <f t="shared" si="22"/>
        <v>13500</v>
      </c>
      <c r="BC85" s="57">
        <f t="shared" si="22"/>
        <v>80400</v>
      </c>
      <c r="BD85" s="57">
        <f t="shared" si="22"/>
        <v>0</v>
      </c>
      <c r="BE85" s="57">
        <f t="shared" si="22"/>
        <v>384000</v>
      </c>
      <c r="BF85" s="57">
        <f t="shared" si="22"/>
        <v>22500</v>
      </c>
      <c r="BG85" s="57">
        <f t="shared" si="19"/>
        <v>2891271</v>
      </c>
      <c r="BH85" s="57">
        <f t="shared" si="16"/>
        <v>1360693</v>
      </c>
      <c r="BI85" s="57">
        <f t="shared" si="17"/>
        <v>344316.6</v>
      </c>
      <c r="BJ85" s="57">
        <f t="shared" si="18"/>
        <v>1186261.3999999999</v>
      </c>
    </row>
    <row r="86" spans="3:62" x14ac:dyDescent="0.25">
      <c r="D86">
        <v>1440</v>
      </c>
      <c r="E86" t="s">
        <v>368</v>
      </c>
      <c r="F86" s="4">
        <v>0</v>
      </c>
      <c r="G86" s="4">
        <v>0</v>
      </c>
      <c r="H86" s="4">
        <v>0</v>
      </c>
      <c r="I86" s="4">
        <v>0</v>
      </c>
      <c r="J86" s="4">
        <v>0</v>
      </c>
      <c r="K86" s="4">
        <v>0</v>
      </c>
      <c r="L86" s="4">
        <v>0</v>
      </c>
      <c r="M86" s="4">
        <v>0</v>
      </c>
      <c r="N86" s="4">
        <v>0</v>
      </c>
      <c r="O86" s="4">
        <v>0</v>
      </c>
      <c r="P86" s="4">
        <v>0</v>
      </c>
      <c r="Q86" s="4">
        <v>0</v>
      </c>
      <c r="R86" s="4">
        <v>0</v>
      </c>
      <c r="S86" s="4">
        <v>0</v>
      </c>
      <c r="T86" s="4">
        <v>0</v>
      </c>
      <c r="U86" s="4">
        <v>0</v>
      </c>
      <c r="V86" s="4">
        <v>0</v>
      </c>
      <c r="W86" s="4">
        <v>0</v>
      </c>
      <c r="X86" s="4">
        <v>0</v>
      </c>
      <c r="Y86" s="4">
        <v>0</v>
      </c>
      <c r="Z86" s="4">
        <v>0</v>
      </c>
      <c r="AA86" s="4">
        <v>0</v>
      </c>
      <c r="AB86" s="4">
        <v>0</v>
      </c>
      <c r="AC86" s="4">
        <v>0</v>
      </c>
      <c r="AD86" s="4">
        <v>0</v>
      </c>
      <c r="AE86" s="4">
        <v>0</v>
      </c>
      <c r="AF86" s="4">
        <v>0</v>
      </c>
      <c r="AG86" s="4">
        <v>0</v>
      </c>
      <c r="AH86" s="4">
        <v>0</v>
      </c>
      <c r="AI86" s="4">
        <v>0</v>
      </c>
      <c r="AJ86" s="4">
        <v>0</v>
      </c>
      <c r="AK86" s="4">
        <v>0</v>
      </c>
      <c r="AL86" s="4">
        <v>0</v>
      </c>
      <c r="AM86" s="4">
        <v>0</v>
      </c>
      <c r="AN86" s="4">
        <v>0</v>
      </c>
      <c r="AO86" s="4">
        <v>0</v>
      </c>
      <c r="AP86" s="4">
        <v>0</v>
      </c>
      <c r="AQ86" s="4">
        <v>0</v>
      </c>
      <c r="AR86" s="4">
        <v>0</v>
      </c>
      <c r="AS86" s="4">
        <v>0</v>
      </c>
      <c r="AT86" s="4">
        <v>0</v>
      </c>
      <c r="AU86" s="4">
        <v>0</v>
      </c>
      <c r="AV86" s="4">
        <v>0</v>
      </c>
      <c r="AW86" s="4">
        <v>0</v>
      </c>
      <c r="AX86" s="4">
        <v>0</v>
      </c>
      <c r="AY86" s="4">
        <v>0</v>
      </c>
      <c r="AZ86" s="4">
        <v>0</v>
      </c>
      <c r="BA86" s="4">
        <v>0</v>
      </c>
      <c r="BB86" s="4">
        <v>0</v>
      </c>
      <c r="BC86" s="4">
        <v>0</v>
      </c>
      <c r="BD86" s="4">
        <v>0</v>
      </c>
      <c r="BE86" s="4">
        <v>0</v>
      </c>
      <c r="BF86" s="4">
        <v>0</v>
      </c>
      <c r="BG86" s="31">
        <f t="shared" si="19"/>
        <v>0</v>
      </c>
      <c r="BH86" s="31">
        <f t="shared" si="16"/>
        <v>0</v>
      </c>
      <c r="BI86" s="31">
        <f t="shared" si="17"/>
        <v>0</v>
      </c>
      <c r="BJ86" s="31">
        <f t="shared" si="18"/>
        <v>0</v>
      </c>
    </row>
    <row r="87" spans="3:62" x14ac:dyDescent="0.25">
      <c r="D87">
        <v>1441</v>
      </c>
      <c r="E87" t="s">
        <v>370</v>
      </c>
      <c r="F87" s="4">
        <v>0</v>
      </c>
      <c r="G87" s="4">
        <v>0</v>
      </c>
      <c r="H87" s="4">
        <v>0</v>
      </c>
      <c r="I87" s="4">
        <v>0</v>
      </c>
      <c r="J87" s="4">
        <v>0</v>
      </c>
      <c r="K87" s="4">
        <v>0</v>
      </c>
      <c r="L87" s="4">
        <v>0</v>
      </c>
      <c r="M87" s="4">
        <v>0</v>
      </c>
      <c r="N87" s="4">
        <v>0</v>
      </c>
      <c r="O87" s="4">
        <v>0</v>
      </c>
      <c r="P87" s="4">
        <v>0</v>
      </c>
      <c r="Q87" s="4">
        <v>0</v>
      </c>
      <c r="R87" s="4">
        <v>0</v>
      </c>
      <c r="S87" s="4">
        <v>0</v>
      </c>
      <c r="T87" s="4">
        <v>0</v>
      </c>
      <c r="U87" s="4">
        <v>0</v>
      </c>
      <c r="V87" s="4">
        <v>0</v>
      </c>
      <c r="W87" s="4">
        <v>0</v>
      </c>
      <c r="X87" s="4">
        <v>0</v>
      </c>
      <c r="Y87" s="4">
        <v>0</v>
      </c>
      <c r="Z87" s="4">
        <v>0</v>
      </c>
      <c r="AA87" s="4">
        <v>0</v>
      </c>
      <c r="AB87" s="4">
        <v>0</v>
      </c>
      <c r="AC87" s="4">
        <v>0</v>
      </c>
      <c r="AD87" s="4">
        <v>0</v>
      </c>
      <c r="AE87" s="4">
        <v>0</v>
      </c>
      <c r="AF87" s="4">
        <v>0</v>
      </c>
      <c r="AG87" s="4">
        <v>0</v>
      </c>
      <c r="AH87" s="4">
        <v>0</v>
      </c>
      <c r="AI87" s="4">
        <v>0</v>
      </c>
      <c r="AJ87" s="4">
        <v>0</v>
      </c>
      <c r="AK87" s="4">
        <v>0</v>
      </c>
      <c r="AL87" s="4">
        <v>0</v>
      </c>
      <c r="AM87" s="4">
        <v>0</v>
      </c>
      <c r="AN87" s="4">
        <v>0</v>
      </c>
      <c r="AO87" s="4">
        <v>0</v>
      </c>
      <c r="AP87" s="4">
        <v>0</v>
      </c>
      <c r="AQ87" s="4">
        <v>0</v>
      </c>
      <c r="AR87" s="4">
        <v>0</v>
      </c>
      <c r="AS87" s="4">
        <v>0</v>
      </c>
      <c r="AT87" s="4">
        <v>0</v>
      </c>
      <c r="AU87" s="4">
        <v>0</v>
      </c>
      <c r="AV87" s="4">
        <v>0</v>
      </c>
      <c r="AW87" s="4">
        <v>0</v>
      </c>
      <c r="AX87" s="4">
        <v>0</v>
      </c>
      <c r="AY87" s="4">
        <v>0</v>
      </c>
      <c r="AZ87" s="4">
        <v>0</v>
      </c>
      <c r="BA87" s="4">
        <v>0</v>
      </c>
      <c r="BB87" s="4">
        <v>0</v>
      </c>
      <c r="BC87" s="4">
        <v>0</v>
      </c>
      <c r="BD87" s="4">
        <v>0</v>
      </c>
      <c r="BE87" s="4">
        <v>0</v>
      </c>
      <c r="BF87" s="4">
        <v>0</v>
      </c>
      <c r="BG87" s="31">
        <f t="shared" si="19"/>
        <v>0</v>
      </c>
      <c r="BH87" s="31">
        <f t="shared" si="16"/>
        <v>0</v>
      </c>
      <c r="BI87" s="31">
        <f t="shared" si="17"/>
        <v>0</v>
      </c>
      <c r="BJ87" s="31">
        <f t="shared" si="18"/>
        <v>0</v>
      </c>
    </row>
    <row r="88" spans="3:62" x14ac:dyDescent="0.25">
      <c r="D88">
        <v>1442</v>
      </c>
      <c r="E88" t="s">
        <v>369</v>
      </c>
      <c r="F88" s="4">
        <v>0</v>
      </c>
      <c r="G88" s="4">
        <v>0</v>
      </c>
      <c r="H88" s="4">
        <v>0</v>
      </c>
      <c r="I88" s="4">
        <v>0</v>
      </c>
      <c r="J88" s="4">
        <v>0</v>
      </c>
      <c r="K88" s="4">
        <v>0</v>
      </c>
      <c r="L88" s="4">
        <v>27900</v>
      </c>
      <c r="M88" s="4">
        <v>1093520</v>
      </c>
      <c r="N88" s="4">
        <v>34000</v>
      </c>
      <c r="O88" s="4">
        <v>0</v>
      </c>
      <c r="P88" s="4">
        <v>23760</v>
      </c>
      <c r="Q88" s="4">
        <v>0</v>
      </c>
      <c r="R88" s="4">
        <v>0</v>
      </c>
      <c r="S88" s="4">
        <v>0</v>
      </c>
      <c r="T88" s="4">
        <v>0</v>
      </c>
      <c r="U88" s="4">
        <v>1</v>
      </c>
      <c r="V88" s="4">
        <v>0</v>
      </c>
      <c r="W88" s="4">
        <v>0</v>
      </c>
      <c r="X88" s="4">
        <v>0</v>
      </c>
      <c r="Y88" s="4">
        <v>0</v>
      </c>
      <c r="Z88" s="4">
        <v>0</v>
      </c>
      <c r="AA88" s="4">
        <v>0</v>
      </c>
      <c r="AB88" s="4">
        <v>0</v>
      </c>
      <c r="AC88" s="4">
        <v>0</v>
      </c>
      <c r="AD88" s="4">
        <v>18000</v>
      </c>
      <c r="AE88" s="4">
        <v>0</v>
      </c>
      <c r="AF88" s="4">
        <v>0</v>
      </c>
      <c r="AG88" s="4">
        <v>0</v>
      </c>
      <c r="AH88" s="4">
        <v>0</v>
      </c>
      <c r="AI88" s="4">
        <v>0</v>
      </c>
      <c r="AJ88" s="4">
        <v>0</v>
      </c>
      <c r="AK88" s="4">
        <v>0</v>
      </c>
      <c r="AL88" s="4">
        <v>0</v>
      </c>
      <c r="AM88" s="4">
        <v>0</v>
      </c>
      <c r="AN88" s="4">
        <v>100800</v>
      </c>
      <c r="AO88" s="4">
        <v>0</v>
      </c>
      <c r="AP88" s="4">
        <v>37200</v>
      </c>
      <c r="AQ88" s="4">
        <v>42600</v>
      </c>
      <c r="AR88" s="4">
        <v>133000</v>
      </c>
      <c r="AS88" s="4">
        <v>0</v>
      </c>
      <c r="AT88" s="4">
        <v>125400</v>
      </c>
      <c r="AU88" s="4">
        <v>62100</v>
      </c>
      <c r="AV88" s="4">
        <v>0</v>
      </c>
      <c r="AW88" s="4">
        <v>19200</v>
      </c>
      <c r="AX88" s="4">
        <v>0</v>
      </c>
      <c r="AY88" s="4">
        <v>0</v>
      </c>
      <c r="AZ88" s="4">
        <v>0</v>
      </c>
      <c r="BA88" s="4">
        <v>0</v>
      </c>
      <c r="BB88" s="4">
        <v>13500</v>
      </c>
      <c r="BC88" s="4">
        <v>80400</v>
      </c>
      <c r="BD88" s="4">
        <v>0</v>
      </c>
      <c r="BE88" s="4">
        <v>384000</v>
      </c>
      <c r="BF88" s="4">
        <v>22500</v>
      </c>
      <c r="BG88" s="31">
        <f t="shared" si="19"/>
        <v>2217881</v>
      </c>
      <c r="BH88" s="31">
        <f t="shared" si="16"/>
        <v>1179181</v>
      </c>
      <c r="BI88" s="31">
        <f t="shared" si="17"/>
        <v>18000</v>
      </c>
      <c r="BJ88" s="31">
        <f t="shared" si="18"/>
        <v>1020700</v>
      </c>
    </row>
    <row r="89" spans="3:62" x14ac:dyDescent="0.25">
      <c r="D89">
        <v>1443</v>
      </c>
      <c r="E89" t="s">
        <v>371</v>
      </c>
      <c r="F89" s="4">
        <v>0</v>
      </c>
      <c r="G89" s="4">
        <v>0</v>
      </c>
      <c r="H89" s="4">
        <v>0</v>
      </c>
      <c r="I89" s="4">
        <v>0</v>
      </c>
      <c r="J89" s="4">
        <v>0</v>
      </c>
      <c r="K89" s="4">
        <v>0</v>
      </c>
      <c r="L89" s="4">
        <v>0</v>
      </c>
      <c r="M89" s="4">
        <v>0</v>
      </c>
      <c r="N89" s="4">
        <v>0</v>
      </c>
      <c r="O89" s="4">
        <v>0</v>
      </c>
      <c r="P89" s="4">
        <v>0</v>
      </c>
      <c r="Q89" s="4">
        <v>0</v>
      </c>
      <c r="R89" s="4">
        <v>0</v>
      </c>
      <c r="S89" s="4">
        <v>0</v>
      </c>
      <c r="T89" s="4">
        <v>0</v>
      </c>
      <c r="U89" s="4">
        <v>0</v>
      </c>
      <c r="V89" s="4">
        <v>0</v>
      </c>
      <c r="W89" s="4">
        <v>0</v>
      </c>
      <c r="X89" s="4">
        <v>0</v>
      </c>
      <c r="Y89" s="4">
        <v>0</v>
      </c>
      <c r="Z89" s="4">
        <v>0</v>
      </c>
      <c r="AA89" s="4">
        <v>0</v>
      </c>
      <c r="AB89" s="4">
        <v>0</v>
      </c>
      <c r="AC89" s="4">
        <v>0</v>
      </c>
      <c r="AD89" s="4">
        <v>0</v>
      </c>
      <c r="AE89" s="4">
        <v>0</v>
      </c>
      <c r="AF89" s="4">
        <v>0</v>
      </c>
      <c r="AG89" s="4">
        <v>0</v>
      </c>
      <c r="AH89" s="4">
        <v>0</v>
      </c>
      <c r="AI89" s="4">
        <v>0</v>
      </c>
      <c r="AJ89" s="4">
        <v>0</v>
      </c>
      <c r="AK89" s="4">
        <v>0</v>
      </c>
      <c r="AL89" s="4">
        <v>0</v>
      </c>
      <c r="AM89" s="4">
        <v>0</v>
      </c>
      <c r="AN89" s="4">
        <v>0</v>
      </c>
      <c r="AO89" s="4">
        <v>0</v>
      </c>
      <c r="AP89" s="4">
        <v>0</v>
      </c>
      <c r="AQ89" s="4">
        <v>0</v>
      </c>
      <c r="AR89" s="4">
        <v>0</v>
      </c>
      <c r="AS89" s="4">
        <v>0</v>
      </c>
      <c r="AT89" s="4">
        <v>0</v>
      </c>
      <c r="AU89" s="4">
        <v>0</v>
      </c>
      <c r="AV89" s="4">
        <v>0</v>
      </c>
      <c r="AW89" s="4">
        <v>0</v>
      </c>
      <c r="AX89" s="4">
        <v>0</v>
      </c>
      <c r="AY89" s="4">
        <v>0</v>
      </c>
      <c r="AZ89" s="4">
        <v>0</v>
      </c>
      <c r="BA89" s="4">
        <v>0</v>
      </c>
      <c r="BB89" s="4">
        <v>0</v>
      </c>
      <c r="BC89" s="4">
        <v>0</v>
      </c>
      <c r="BD89" s="4">
        <v>0</v>
      </c>
      <c r="BE89" s="4">
        <v>0</v>
      </c>
      <c r="BF89" s="4">
        <v>0</v>
      </c>
      <c r="BG89" s="31">
        <f t="shared" si="19"/>
        <v>0</v>
      </c>
      <c r="BH89" s="31">
        <f t="shared" si="16"/>
        <v>0</v>
      </c>
      <c r="BI89" s="31">
        <f t="shared" si="17"/>
        <v>0</v>
      </c>
      <c r="BJ89" s="31">
        <f t="shared" si="18"/>
        <v>0</v>
      </c>
    </row>
    <row r="90" spans="3:62" x14ac:dyDescent="0.25">
      <c r="D90">
        <v>1444</v>
      </c>
      <c r="E90" t="s">
        <v>372</v>
      </c>
      <c r="F90" s="4">
        <v>0</v>
      </c>
      <c r="G90" s="4">
        <v>0</v>
      </c>
      <c r="H90" s="4">
        <v>0</v>
      </c>
      <c r="I90" s="4">
        <v>0</v>
      </c>
      <c r="J90" s="4">
        <v>0</v>
      </c>
      <c r="K90" s="4">
        <v>0</v>
      </c>
      <c r="L90" s="4">
        <v>0</v>
      </c>
      <c r="M90" s="4">
        <v>0</v>
      </c>
      <c r="N90" s="4">
        <v>0</v>
      </c>
      <c r="O90" s="4">
        <v>0</v>
      </c>
      <c r="P90" s="4">
        <v>0</v>
      </c>
      <c r="Q90" s="4">
        <v>0</v>
      </c>
      <c r="R90" s="4">
        <v>0</v>
      </c>
      <c r="S90" s="4">
        <v>0</v>
      </c>
      <c r="T90" s="4">
        <v>0</v>
      </c>
      <c r="U90" s="4">
        <v>0</v>
      </c>
      <c r="V90" s="4">
        <v>0</v>
      </c>
      <c r="W90" s="4">
        <v>0</v>
      </c>
      <c r="X90" s="4">
        <v>0</v>
      </c>
      <c r="Y90" s="4">
        <v>0</v>
      </c>
      <c r="Z90" s="4">
        <v>0</v>
      </c>
      <c r="AA90" s="4">
        <v>0</v>
      </c>
      <c r="AB90" s="4">
        <v>0</v>
      </c>
      <c r="AC90" s="4">
        <v>0</v>
      </c>
      <c r="AD90" s="4">
        <v>0</v>
      </c>
      <c r="AE90" s="4">
        <v>0</v>
      </c>
      <c r="AF90" s="4">
        <v>0</v>
      </c>
      <c r="AG90" s="4">
        <v>0</v>
      </c>
      <c r="AH90" s="4">
        <v>0</v>
      </c>
      <c r="AI90" s="4">
        <v>0</v>
      </c>
      <c r="AJ90" s="4">
        <v>0</v>
      </c>
      <c r="AK90" s="4">
        <v>0</v>
      </c>
      <c r="AL90" s="4">
        <v>0</v>
      </c>
      <c r="AM90" s="4">
        <v>0</v>
      </c>
      <c r="AN90" s="4">
        <v>0</v>
      </c>
      <c r="AO90" s="4">
        <v>0</v>
      </c>
      <c r="AP90" s="4">
        <v>0</v>
      </c>
      <c r="AQ90" s="4">
        <v>0</v>
      </c>
      <c r="AR90" s="4">
        <v>0</v>
      </c>
      <c r="AS90" s="4">
        <v>0</v>
      </c>
      <c r="AT90" s="4">
        <v>0</v>
      </c>
      <c r="AU90" s="4">
        <v>0</v>
      </c>
      <c r="AV90" s="4">
        <v>0</v>
      </c>
      <c r="AW90" s="4">
        <v>0</v>
      </c>
      <c r="AX90" s="4">
        <v>0</v>
      </c>
      <c r="AY90" s="4">
        <v>0</v>
      </c>
      <c r="AZ90" s="4">
        <v>0</v>
      </c>
      <c r="BA90" s="4">
        <v>0</v>
      </c>
      <c r="BB90" s="4">
        <v>0</v>
      </c>
      <c r="BC90" s="4">
        <v>0</v>
      </c>
      <c r="BD90" s="4">
        <v>0</v>
      </c>
      <c r="BE90" s="4">
        <v>0</v>
      </c>
      <c r="BF90" s="4">
        <v>0</v>
      </c>
      <c r="BG90" s="31">
        <f t="shared" si="19"/>
        <v>0</v>
      </c>
      <c r="BH90" s="31">
        <f t="shared" si="16"/>
        <v>0</v>
      </c>
      <c r="BI90" s="31">
        <f t="shared" si="17"/>
        <v>0</v>
      </c>
      <c r="BJ90" s="31">
        <f t="shared" si="18"/>
        <v>0</v>
      </c>
    </row>
    <row r="91" spans="3:62" x14ac:dyDescent="0.25">
      <c r="D91">
        <v>1445</v>
      </c>
      <c r="E91" t="s">
        <v>373</v>
      </c>
      <c r="F91" s="4">
        <v>0</v>
      </c>
      <c r="G91" s="4">
        <v>0</v>
      </c>
      <c r="H91" s="4">
        <v>0</v>
      </c>
      <c r="I91" s="4">
        <v>0</v>
      </c>
      <c r="J91" s="4">
        <v>0</v>
      </c>
      <c r="K91" s="4">
        <v>0</v>
      </c>
      <c r="L91" s="4">
        <v>0</v>
      </c>
      <c r="M91" s="4">
        <v>0</v>
      </c>
      <c r="N91" s="4">
        <v>96000</v>
      </c>
      <c r="O91" s="4">
        <v>0</v>
      </c>
      <c r="P91" s="4">
        <v>0</v>
      </c>
      <c r="Q91" s="4">
        <v>0</v>
      </c>
      <c r="R91" s="4">
        <v>0</v>
      </c>
      <c r="S91" s="4">
        <v>0</v>
      </c>
      <c r="T91" s="4">
        <v>0</v>
      </c>
      <c r="U91" s="4">
        <v>0</v>
      </c>
      <c r="V91" s="4">
        <v>65500</v>
      </c>
      <c r="W91" s="4">
        <v>0</v>
      </c>
      <c r="X91" s="4">
        <v>0</v>
      </c>
      <c r="Y91" s="4">
        <v>0</v>
      </c>
      <c r="Z91" s="4">
        <v>0</v>
      </c>
      <c r="AA91" s="4">
        <v>0</v>
      </c>
      <c r="AB91" s="4">
        <v>0</v>
      </c>
      <c r="AC91" s="4">
        <v>0</v>
      </c>
      <c r="AD91" s="4">
        <v>0</v>
      </c>
      <c r="AE91" s="4">
        <v>0</v>
      </c>
      <c r="AF91" s="4">
        <v>0</v>
      </c>
      <c r="AG91" s="4">
        <v>0</v>
      </c>
      <c r="AH91" s="4">
        <v>0</v>
      </c>
      <c r="AI91" s="4">
        <v>326316.59999999998</v>
      </c>
      <c r="AJ91" s="4">
        <v>0</v>
      </c>
      <c r="AK91" s="4">
        <v>0</v>
      </c>
      <c r="AL91" s="4">
        <v>0</v>
      </c>
      <c r="AM91" s="4">
        <v>0</v>
      </c>
      <c r="AN91" s="4">
        <v>0</v>
      </c>
      <c r="AO91" s="4">
        <v>0</v>
      </c>
      <c r="AP91" s="4">
        <v>0</v>
      </c>
      <c r="AQ91" s="4">
        <v>0</v>
      </c>
      <c r="AR91" s="4">
        <v>0</v>
      </c>
      <c r="AS91" s="4">
        <v>0</v>
      </c>
      <c r="AT91" s="4">
        <v>0</v>
      </c>
      <c r="AU91" s="4">
        <v>0</v>
      </c>
      <c r="AV91" s="4">
        <v>0</v>
      </c>
      <c r="AW91" s="4">
        <v>0</v>
      </c>
      <c r="AX91" s="4">
        <v>0</v>
      </c>
      <c r="AY91" s="4">
        <v>0</v>
      </c>
      <c r="AZ91" s="4">
        <v>0</v>
      </c>
      <c r="BA91" s="4">
        <v>0</v>
      </c>
      <c r="BB91" s="4">
        <v>0</v>
      </c>
      <c r="BC91" s="4">
        <v>0</v>
      </c>
      <c r="BD91" s="4">
        <v>0</v>
      </c>
      <c r="BE91" s="4">
        <v>0</v>
      </c>
      <c r="BF91" s="4">
        <v>0</v>
      </c>
      <c r="BG91" s="31">
        <f t="shared" si="19"/>
        <v>487816.6</v>
      </c>
      <c r="BH91" s="31">
        <f t="shared" si="16"/>
        <v>161500</v>
      </c>
      <c r="BI91" s="31">
        <f t="shared" si="17"/>
        <v>326316.59999999998</v>
      </c>
      <c r="BJ91" s="31">
        <f t="shared" si="18"/>
        <v>0</v>
      </c>
    </row>
    <row r="92" spans="3:62" x14ac:dyDescent="0.25">
      <c r="D92">
        <v>1446</v>
      </c>
      <c r="E92" t="s">
        <v>374</v>
      </c>
      <c r="F92" s="4">
        <v>0</v>
      </c>
      <c r="G92" s="4">
        <v>0</v>
      </c>
      <c r="H92" s="4">
        <v>0</v>
      </c>
      <c r="I92" s="4">
        <v>0</v>
      </c>
      <c r="J92" s="4">
        <v>0</v>
      </c>
      <c r="K92" s="4">
        <v>0</v>
      </c>
      <c r="L92" s="4">
        <v>0</v>
      </c>
      <c r="M92" s="4">
        <v>0</v>
      </c>
      <c r="N92" s="4">
        <v>0</v>
      </c>
      <c r="O92" s="4">
        <v>0</v>
      </c>
      <c r="P92" s="4">
        <v>20012</v>
      </c>
      <c r="Q92" s="4">
        <v>0</v>
      </c>
      <c r="R92" s="4">
        <v>0</v>
      </c>
      <c r="S92" s="4">
        <v>0</v>
      </c>
      <c r="T92" s="4">
        <v>0</v>
      </c>
      <c r="U92" s="4">
        <v>0</v>
      </c>
      <c r="V92" s="4">
        <v>0</v>
      </c>
      <c r="W92" s="4">
        <v>0</v>
      </c>
      <c r="X92" s="4">
        <v>0</v>
      </c>
      <c r="Y92" s="4">
        <v>0</v>
      </c>
      <c r="Z92" s="4">
        <v>0</v>
      </c>
      <c r="AA92" s="4">
        <v>0</v>
      </c>
      <c r="AB92" s="4">
        <v>0</v>
      </c>
      <c r="AC92" s="4">
        <v>0</v>
      </c>
      <c r="AD92" s="4">
        <v>0</v>
      </c>
      <c r="AE92" s="4">
        <v>0</v>
      </c>
      <c r="AF92" s="4">
        <v>0</v>
      </c>
      <c r="AG92" s="4">
        <v>0</v>
      </c>
      <c r="AH92" s="4">
        <v>0</v>
      </c>
      <c r="AI92" s="4">
        <v>0</v>
      </c>
      <c r="AJ92" s="4">
        <v>0</v>
      </c>
      <c r="AK92" s="4">
        <v>0</v>
      </c>
      <c r="AL92" s="4">
        <v>0</v>
      </c>
      <c r="AM92" s="4">
        <v>0</v>
      </c>
      <c r="AN92" s="4">
        <v>0</v>
      </c>
      <c r="AO92" s="4">
        <v>0</v>
      </c>
      <c r="AP92" s="4">
        <v>0</v>
      </c>
      <c r="AQ92" s="4">
        <v>0</v>
      </c>
      <c r="AR92" s="4">
        <v>0</v>
      </c>
      <c r="AS92" s="4">
        <v>0</v>
      </c>
      <c r="AT92" s="4">
        <v>0</v>
      </c>
      <c r="AU92" s="4">
        <v>165561.4</v>
      </c>
      <c r="AV92" s="4">
        <v>0</v>
      </c>
      <c r="AW92" s="4">
        <v>0</v>
      </c>
      <c r="AX92" s="4">
        <v>0</v>
      </c>
      <c r="AY92" s="4">
        <v>0</v>
      </c>
      <c r="AZ92" s="4">
        <v>0</v>
      </c>
      <c r="BA92" s="4">
        <v>0</v>
      </c>
      <c r="BB92" s="4">
        <v>0</v>
      </c>
      <c r="BC92" s="4">
        <v>0</v>
      </c>
      <c r="BD92" s="4">
        <v>0</v>
      </c>
      <c r="BE92" s="4">
        <v>0</v>
      </c>
      <c r="BF92" s="4">
        <v>0</v>
      </c>
      <c r="BG92" s="31">
        <f t="shared" si="19"/>
        <v>185573.4</v>
      </c>
      <c r="BH92" s="31">
        <f t="shared" si="16"/>
        <v>20012</v>
      </c>
      <c r="BI92" s="31">
        <f t="shared" si="17"/>
        <v>0</v>
      </c>
      <c r="BJ92" s="31">
        <f t="shared" si="18"/>
        <v>165561.4</v>
      </c>
    </row>
    <row r="93" spans="3:62" x14ac:dyDescent="0.25">
      <c r="D93">
        <v>1447</v>
      </c>
      <c r="E93" t="s">
        <v>375</v>
      </c>
      <c r="F93" s="4">
        <v>0</v>
      </c>
      <c r="G93" s="4">
        <v>0</v>
      </c>
      <c r="H93" s="4">
        <v>0</v>
      </c>
      <c r="I93" s="4">
        <v>0</v>
      </c>
      <c r="J93" s="4">
        <v>0</v>
      </c>
      <c r="K93" s="4">
        <v>0</v>
      </c>
      <c r="L93" s="4">
        <v>0</v>
      </c>
      <c r="M93" s="4">
        <v>0</v>
      </c>
      <c r="N93" s="4">
        <v>0</v>
      </c>
      <c r="O93" s="4">
        <v>0</v>
      </c>
      <c r="P93" s="4">
        <v>0</v>
      </c>
      <c r="Q93" s="4">
        <v>0</v>
      </c>
      <c r="R93" s="4">
        <v>0</v>
      </c>
      <c r="S93" s="4">
        <v>0</v>
      </c>
      <c r="T93" s="4">
        <v>0</v>
      </c>
      <c r="U93" s="4">
        <v>0</v>
      </c>
      <c r="V93" s="4">
        <v>0</v>
      </c>
      <c r="W93" s="4">
        <v>0</v>
      </c>
      <c r="X93" s="4">
        <v>0</v>
      </c>
      <c r="Y93" s="4">
        <v>0</v>
      </c>
      <c r="Z93" s="4">
        <v>0</v>
      </c>
      <c r="AA93" s="4">
        <v>0</v>
      </c>
      <c r="AB93" s="4">
        <v>0</v>
      </c>
      <c r="AC93" s="4">
        <v>0</v>
      </c>
      <c r="AD93" s="4">
        <v>0</v>
      </c>
      <c r="AE93" s="4">
        <v>0</v>
      </c>
      <c r="AF93" s="4">
        <v>0</v>
      </c>
      <c r="AG93" s="4">
        <v>0</v>
      </c>
      <c r="AH93" s="4">
        <v>0</v>
      </c>
      <c r="AI93" s="4">
        <v>0</v>
      </c>
      <c r="AJ93" s="4">
        <v>0</v>
      </c>
      <c r="AK93" s="4">
        <v>0</v>
      </c>
      <c r="AL93" s="4">
        <v>0</v>
      </c>
      <c r="AM93" s="4">
        <v>0</v>
      </c>
      <c r="AN93" s="4">
        <v>0</v>
      </c>
      <c r="AO93" s="4">
        <v>0</v>
      </c>
      <c r="AP93" s="4">
        <v>0</v>
      </c>
      <c r="AQ93" s="4">
        <v>0</v>
      </c>
      <c r="AR93" s="4">
        <v>0</v>
      </c>
      <c r="AS93" s="4">
        <v>0</v>
      </c>
      <c r="AT93" s="4">
        <v>0</v>
      </c>
      <c r="AU93" s="4">
        <v>0</v>
      </c>
      <c r="AV93" s="4">
        <v>0</v>
      </c>
      <c r="AW93" s="4">
        <v>0</v>
      </c>
      <c r="AX93" s="4">
        <v>0</v>
      </c>
      <c r="AY93" s="4">
        <v>0</v>
      </c>
      <c r="AZ93" s="4">
        <v>0</v>
      </c>
      <c r="BA93" s="4">
        <v>0</v>
      </c>
      <c r="BB93" s="4">
        <v>0</v>
      </c>
      <c r="BC93" s="4">
        <v>0</v>
      </c>
      <c r="BD93" s="4">
        <v>0</v>
      </c>
      <c r="BE93" s="4">
        <v>0</v>
      </c>
      <c r="BF93" s="4">
        <v>0</v>
      </c>
      <c r="BG93" s="31">
        <f t="shared" si="19"/>
        <v>0</v>
      </c>
      <c r="BH93" s="31">
        <f t="shared" si="16"/>
        <v>0</v>
      </c>
      <c r="BI93" s="31">
        <f t="shared" si="17"/>
        <v>0</v>
      </c>
      <c r="BJ93" s="31">
        <f t="shared" si="18"/>
        <v>0</v>
      </c>
    </row>
    <row r="94" spans="3:62" x14ac:dyDescent="0.25">
      <c r="D94">
        <v>1448</v>
      </c>
      <c r="E94" t="s">
        <v>376</v>
      </c>
      <c r="F94" s="4">
        <v>0</v>
      </c>
      <c r="G94" s="4">
        <v>0</v>
      </c>
      <c r="H94" s="4">
        <v>0</v>
      </c>
      <c r="I94" s="4">
        <v>0</v>
      </c>
      <c r="J94" s="4">
        <v>0</v>
      </c>
      <c r="K94" s="4">
        <v>0</v>
      </c>
      <c r="L94" s="4">
        <v>0</v>
      </c>
      <c r="M94" s="4">
        <v>0</v>
      </c>
      <c r="N94" s="4">
        <v>0</v>
      </c>
      <c r="O94" s="4">
        <v>0</v>
      </c>
      <c r="P94" s="4">
        <v>0</v>
      </c>
      <c r="Q94" s="4">
        <v>0</v>
      </c>
      <c r="R94" s="4">
        <v>0</v>
      </c>
      <c r="S94" s="4">
        <v>0</v>
      </c>
      <c r="T94" s="4">
        <v>0</v>
      </c>
      <c r="U94" s="4">
        <v>0</v>
      </c>
      <c r="V94" s="4">
        <v>0</v>
      </c>
      <c r="W94" s="4">
        <v>0</v>
      </c>
      <c r="X94" s="4">
        <v>0</v>
      </c>
      <c r="Y94" s="4">
        <v>0</v>
      </c>
      <c r="Z94" s="4">
        <v>0</v>
      </c>
      <c r="AA94" s="4">
        <v>0</v>
      </c>
      <c r="AB94" s="4">
        <v>0</v>
      </c>
      <c r="AC94" s="4">
        <v>0</v>
      </c>
      <c r="AD94" s="4">
        <v>0</v>
      </c>
      <c r="AE94" s="4">
        <v>0</v>
      </c>
      <c r="AF94" s="4">
        <v>0</v>
      </c>
      <c r="AG94" s="4">
        <v>0</v>
      </c>
      <c r="AH94" s="4">
        <v>0</v>
      </c>
      <c r="AI94" s="4">
        <v>0</v>
      </c>
      <c r="AJ94" s="4">
        <v>0</v>
      </c>
      <c r="AK94" s="4">
        <v>0</v>
      </c>
      <c r="AL94" s="4">
        <v>0</v>
      </c>
      <c r="AM94" s="4">
        <v>0</v>
      </c>
      <c r="AN94" s="4">
        <v>0</v>
      </c>
      <c r="AO94" s="4">
        <v>0</v>
      </c>
      <c r="AP94" s="4">
        <v>0</v>
      </c>
      <c r="AQ94" s="4">
        <v>0</v>
      </c>
      <c r="AR94" s="4">
        <v>0</v>
      </c>
      <c r="AS94" s="4">
        <v>0</v>
      </c>
      <c r="AT94" s="4">
        <v>0</v>
      </c>
      <c r="AU94" s="4">
        <v>0</v>
      </c>
      <c r="AV94" s="4">
        <v>0</v>
      </c>
      <c r="AW94" s="4">
        <v>0</v>
      </c>
      <c r="AX94" s="4">
        <v>0</v>
      </c>
      <c r="AY94" s="4">
        <v>0</v>
      </c>
      <c r="AZ94" s="4">
        <v>0</v>
      </c>
      <c r="BA94" s="4">
        <v>0</v>
      </c>
      <c r="BB94" s="4">
        <v>0</v>
      </c>
      <c r="BC94" s="4">
        <v>0</v>
      </c>
      <c r="BD94" s="4">
        <v>0</v>
      </c>
      <c r="BE94" s="4">
        <v>0</v>
      </c>
      <c r="BF94" s="4">
        <v>0</v>
      </c>
      <c r="BG94" s="31">
        <f t="shared" si="19"/>
        <v>0</v>
      </c>
      <c r="BH94" s="31">
        <f t="shared" si="16"/>
        <v>0</v>
      </c>
      <c r="BI94" s="31">
        <f t="shared" si="17"/>
        <v>0</v>
      </c>
      <c r="BJ94" s="31">
        <f t="shared" si="18"/>
        <v>0</v>
      </c>
    </row>
    <row r="95" spans="3:62" x14ac:dyDescent="0.25">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31"/>
      <c r="BH95" s="31"/>
      <c r="BI95" s="31"/>
      <c r="BJ95" s="31"/>
    </row>
    <row r="96" spans="3:62" x14ac:dyDescent="0.25">
      <c r="C96" s="56">
        <v>145</v>
      </c>
      <c r="D96" s="56"/>
      <c r="E96" s="56" t="s">
        <v>379</v>
      </c>
      <c r="F96" s="57">
        <f>F97+F98+F99+F100+F101+F102+F103+F104+F105</f>
        <v>0</v>
      </c>
      <c r="G96" s="57">
        <f t="shared" ref="G96:BF96" si="23">G97+G98+G99+G100+G101+G102+G103+G104+G105</f>
        <v>0</v>
      </c>
      <c r="H96" s="57">
        <f t="shared" si="23"/>
        <v>0</v>
      </c>
      <c r="I96" s="57">
        <f t="shared" si="23"/>
        <v>0</v>
      </c>
      <c r="J96" s="57">
        <f t="shared" si="23"/>
        <v>0</v>
      </c>
      <c r="K96" s="57">
        <f t="shared" si="23"/>
        <v>45603</v>
      </c>
      <c r="L96" s="57">
        <f t="shared" si="23"/>
        <v>0</v>
      </c>
      <c r="M96" s="57">
        <f t="shared" si="23"/>
        <v>2</v>
      </c>
      <c r="N96" s="57">
        <f t="shared" si="23"/>
        <v>78600</v>
      </c>
      <c r="O96" s="57">
        <f t="shared" si="23"/>
        <v>0</v>
      </c>
      <c r="P96" s="57">
        <f t="shared" si="23"/>
        <v>16020</v>
      </c>
      <c r="Q96" s="57">
        <f t="shared" si="23"/>
        <v>0</v>
      </c>
      <c r="R96" s="57">
        <f t="shared" si="23"/>
        <v>10088</v>
      </c>
      <c r="S96" s="57">
        <f t="shared" si="23"/>
        <v>0</v>
      </c>
      <c r="T96" s="57">
        <f t="shared" si="23"/>
        <v>0</v>
      </c>
      <c r="U96" s="57">
        <f t="shared" si="23"/>
        <v>0</v>
      </c>
      <c r="V96" s="57">
        <f t="shared" si="23"/>
        <v>0</v>
      </c>
      <c r="W96" s="57">
        <f t="shared" si="23"/>
        <v>0</v>
      </c>
      <c r="X96" s="57">
        <f t="shared" si="23"/>
        <v>95000</v>
      </c>
      <c r="Y96" s="57">
        <f t="shared" si="23"/>
        <v>11</v>
      </c>
      <c r="Z96" s="57">
        <f t="shared" si="23"/>
        <v>474763</v>
      </c>
      <c r="AA96" s="57">
        <f t="shared" si="23"/>
        <v>0</v>
      </c>
      <c r="AB96" s="57">
        <f t="shared" si="23"/>
        <v>0</v>
      </c>
      <c r="AC96" s="57">
        <f t="shared" si="23"/>
        <v>0</v>
      </c>
      <c r="AD96" s="57">
        <f t="shared" si="23"/>
        <v>148150</v>
      </c>
      <c r="AE96" s="57">
        <f t="shared" si="23"/>
        <v>0</v>
      </c>
      <c r="AF96" s="57">
        <f t="shared" si="23"/>
        <v>10</v>
      </c>
      <c r="AG96" s="57">
        <f t="shared" si="23"/>
        <v>10</v>
      </c>
      <c r="AH96" s="57">
        <f t="shared" si="23"/>
        <v>0</v>
      </c>
      <c r="AI96" s="57">
        <f t="shared" si="23"/>
        <v>188681.9</v>
      </c>
      <c r="AJ96" s="57">
        <f t="shared" si="23"/>
        <v>7434</v>
      </c>
      <c r="AK96" s="57">
        <f t="shared" si="23"/>
        <v>0</v>
      </c>
      <c r="AL96" s="57">
        <f t="shared" si="23"/>
        <v>0</v>
      </c>
      <c r="AM96" s="57">
        <f t="shared" si="23"/>
        <v>0</v>
      </c>
      <c r="AN96" s="57">
        <f t="shared" si="23"/>
        <v>3767</v>
      </c>
      <c r="AO96" s="57">
        <f t="shared" si="23"/>
        <v>2908</v>
      </c>
      <c r="AP96" s="57">
        <f t="shared" si="23"/>
        <v>3</v>
      </c>
      <c r="AQ96" s="57">
        <f t="shared" si="23"/>
        <v>3422</v>
      </c>
      <c r="AR96" s="57">
        <f t="shared" si="23"/>
        <v>4</v>
      </c>
      <c r="AS96" s="57">
        <f t="shared" si="23"/>
        <v>100005</v>
      </c>
      <c r="AT96" s="57">
        <f t="shared" si="23"/>
        <v>502</v>
      </c>
      <c r="AU96" s="57">
        <f t="shared" si="23"/>
        <v>4</v>
      </c>
      <c r="AV96" s="57">
        <f t="shared" si="23"/>
        <v>2553</v>
      </c>
      <c r="AW96" s="57">
        <f t="shared" si="23"/>
        <v>300000</v>
      </c>
      <c r="AX96" s="57">
        <f t="shared" si="23"/>
        <v>10000</v>
      </c>
      <c r="AY96" s="57">
        <f t="shared" si="23"/>
        <v>0</v>
      </c>
      <c r="AZ96" s="57">
        <f t="shared" si="23"/>
        <v>0</v>
      </c>
      <c r="BA96" s="57">
        <f t="shared" si="23"/>
        <v>197005</v>
      </c>
      <c r="BB96" s="57">
        <f t="shared" si="23"/>
        <v>0</v>
      </c>
      <c r="BC96" s="57">
        <f t="shared" si="23"/>
        <v>1161</v>
      </c>
      <c r="BD96" s="57">
        <f t="shared" si="23"/>
        <v>0</v>
      </c>
      <c r="BE96" s="57">
        <f t="shared" si="23"/>
        <v>3205052.49</v>
      </c>
      <c r="BF96" s="57">
        <f t="shared" si="23"/>
        <v>0</v>
      </c>
      <c r="BG96" s="57">
        <f t="shared" si="19"/>
        <v>4890759.3900000006</v>
      </c>
      <c r="BH96" s="57">
        <f t="shared" si="16"/>
        <v>245313</v>
      </c>
      <c r="BI96" s="57">
        <f t="shared" si="17"/>
        <v>819059.9</v>
      </c>
      <c r="BJ96" s="57">
        <f t="shared" si="18"/>
        <v>3826386.49</v>
      </c>
    </row>
    <row r="97" spans="3:62" x14ac:dyDescent="0.25">
      <c r="D97">
        <v>1450</v>
      </c>
      <c r="E97" t="s">
        <v>378</v>
      </c>
      <c r="F97" s="4">
        <v>0</v>
      </c>
      <c r="G97" s="4">
        <v>0</v>
      </c>
      <c r="H97" s="4">
        <v>0</v>
      </c>
      <c r="I97" s="4">
        <v>0</v>
      </c>
      <c r="J97" s="4">
        <v>0</v>
      </c>
      <c r="K97" s="4">
        <v>0</v>
      </c>
      <c r="L97" s="4">
        <v>0</v>
      </c>
      <c r="M97" s="4">
        <v>0</v>
      </c>
      <c r="N97" s="4">
        <v>0</v>
      </c>
      <c r="O97" s="4">
        <v>0</v>
      </c>
      <c r="P97" s="4">
        <v>0</v>
      </c>
      <c r="Q97" s="4">
        <v>0</v>
      </c>
      <c r="R97" s="4">
        <v>0</v>
      </c>
      <c r="S97" s="4">
        <v>0</v>
      </c>
      <c r="T97" s="4">
        <v>0</v>
      </c>
      <c r="U97" s="4">
        <v>0</v>
      </c>
      <c r="V97" s="4">
        <v>0</v>
      </c>
      <c r="W97" s="4">
        <v>0</v>
      </c>
      <c r="X97" s="4">
        <v>0</v>
      </c>
      <c r="Y97" s="4">
        <v>0</v>
      </c>
      <c r="Z97" s="4">
        <v>0</v>
      </c>
      <c r="AA97" s="4">
        <v>0</v>
      </c>
      <c r="AB97" s="4">
        <v>0</v>
      </c>
      <c r="AC97" s="4">
        <v>0</v>
      </c>
      <c r="AD97" s="4">
        <v>0</v>
      </c>
      <c r="AE97" s="4">
        <v>0</v>
      </c>
      <c r="AF97" s="4">
        <v>0</v>
      </c>
      <c r="AG97" s="4">
        <v>0</v>
      </c>
      <c r="AH97" s="4">
        <v>0</v>
      </c>
      <c r="AI97" s="4">
        <v>0</v>
      </c>
      <c r="AJ97" s="4">
        <v>0</v>
      </c>
      <c r="AK97" s="4">
        <v>0</v>
      </c>
      <c r="AL97" s="4">
        <v>0</v>
      </c>
      <c r="AM97" s="4">
        <v>0</v>
      </c>
      <c r="AN97" s="4">
        <v>0</v>
      </c>
      <c r="AO97" s="4">
        <v>0</v>
      </c>
      <c r="AP97" s="4">
        <v>0</v>
      </c>
      <c r="AQ97" s="4">
        <v>0</v>
      </c>
      <c r="AR97" s="4">
        <v>0</v>
      </c>
      <c r="AS97" s="4">
        <v>0</v>
      </c>
      <c r="AT97" s="4">
        <v>0</v>
      </c>
      <c r="AU97" s="4">
        <v>4</v>
      </c>
      <c r="AV97" s="4">
        <v>0</v>
      </c>
      <c r="AW97" s="4">
        <v>0</v>
      </c>
      <c r="AX97" s="4">
        <v>0</v>
      </c>
      <c r="AY97" s="4">
        <v>0</v>
      </c>
      <c r="AZ97" s="4">
        <v>0</v>
      </c>
      <c r="BA97" s="4">
        <v>0</v>
      </c>
      <c r="BB97" s="4">
        <v>0</v>
      </c>
      <c r="BC97" s="4">
        <v>0</v>
      </c>
      <c r="BD97" s="4">
        <v>0</v>
      </c>
      <c r="BE97" s="4">
        <v>0</v>
      </c>
      <c r="BF97" s="4">
        <v>0</v>
      </c>
      <c r="BG97" s="31">
        <f t="shared" si="19"/>
        <v>4</v>
      </c>
      <c r="BH97" s="31">
        <f t="shared" si="16"/>
        <v>0</v>
      </c>
      <c r="BI97" s="31">
        <f t="shared" si="17"/>
        <v>0</v>
      </c>
      <c r="BJ97" s="31">
        <f t="shared" si="18"/>
        <v>4</v>
      </c>
    </row>
    <row r="98" spans="3:62" x14ac:dyDescent="0.25">
      <c r="D98">
        <v>1451</v>
      </c>
      <c r="E98" t="s">
        <v>377</v>
      </c>
      <c r="F98" s="4">
        <v>0</v>
      </c>
      <c r="G98" s="4">
        <v>0</v>
      </c>
      <c r="H98" s="4">
        <v>0</v>
      </c>
      <c r="I98" s="4">
        <v>0</v>
      </c>
      <c r="J98" s="4">
        <v>0</v>
      </c>
      <c r="K98" s="4">
        <v>0</v>
      </c>
      <c r="L98" s="4">
        <v>0</v>
      </c>
      <c r="M98" s="4">
        <v>0</v>
      </c>
      <c r="N98" s="4">
        <v>0</v>
      </c>
      <c r="O98" s="4">
        <v>0</v>
      </c>
      <c r="P98" s="4">
        <v>0</v>
      </c>
      <c r="Q98" s="4">
        <v>0</v>
      </c>
      <c r="R98" s="4">
        <v>0</v>
      </c>
      <c r="S98" s="4">
        <v>0</v>
      </c>
      <c r="T98" s="4">
        <v>0</v>
      </c>
      <c r="U98" s="4">
        <v>0</v>
      </c>
      <c r="V98" s="4">
        <v>0</v>
      </c>
      <c r="W98" s="4">
        <v>0</v>
      </c>
      <c r="X98" s="4">
        <v>0</v>
      </c>
      <c r="Y98" s="4">
        <v>0</v>
      </c>
      <c r="Z98" s="4">
        <v>0</v>
      </c>
      <c r="AA98" s="4">
        <v>0</v>
      </c>
      <c r="AB98" s="4">
        <v>0</v>
      </c>
      <c r="AC98" s="4">
        <v>0</v>
      </c>
      <c r="AD98" s="4">
        <v>0</v>
      </c>
      <c r="AE98" s="4">
        <v>0</v>
      </c>
      <c r="AF98" s="4">
        <v>0</v>
      </c>
      <c r="AG98" s="4">
        <v>0</v>
      </c>
      <c r="AH98" s="4">
        <v>0</v>
      </c>
      <c r="AI98" s="4">
        <v>0</v>
      </c>
      <c r="AJ98" s="4">
        <v>0</v>
      </c>
      <c r="AK98" s="4">
        <v>0</v>
      </c>
      <c r="AL98" s="4">
        <v>0</v>
      </c>
      <c r="AM98" s="4">
        <v>0</v>
      </c>
      <c r="AN98" s="4">
        <v>0</v>
      </c>
      <c r="AO98" s="4">
        <v>0</v>
      </c>
      <c r="AP98" s="4">
        <v>0</v>
      </c>
      <c r="AQ98" s="4">
        <v>0</v>
      </c>
      <c r="AR98" s="4">
        <v>0</v>
      </c>
      <c r="AS98" s="4">
        <v>0</v>
      </c>
      <c r="AT98" s="4">
        <v>0</v>
      </c>
      <c r="AU98" s="4">
        <v>0</v>
      </c>
      <c r="AV98" s="4">
        <v>0</v>
      </c>
      <c r="AW98" s="4">
        <v>0</v>
      </c>
      <c r="AX98" s="4">
        <v>0</v>
      </c>
      <c r="AY98" s="4">
        <v>0</v>
      </c>
      <c r="AZ98" s="4">
        <v>0</v>
      </c>
      <c r="BA98" s="4">
        <v>0</v>
      </c>
      <c r="BB98" s="4">
        <v>0</v>
      </c>
      <c r="BC98" s="4">
        <v>0</v>
      </c>
      <c r="BD98" s="4">
        <v>0</v>
      </c>
      <c r="BE98" s="4">
        <v>0</v>
      </c>
      <c r="BF98" s="4">
        <v>0</v>
      </c>
      <c r="BG98" s="31">
        <f t="shared" si="19"/>
        <v>0</v>
      </c>
      <c r="BH98" s="31">
        <f t="shared" si="16"/>
        <v>0</v>
      </c>
      <c r="BI98" s="31">
        <f t="shared" si="17"/>
        <v>0</v>
      </c>
      <c r="BJ98" s="31">
        <f t="shared" si="18"/>
        <v>0</v>
      </c>
    </row>
    <row r="99" spans="3:62" x14ac:dyDescent="0.25">
      <c r="D99">
        <v>1452</v>
      </c>
      <c r="E99" t="s">
        <v>380</v>
      </c>
      <c r="F99" s="4">
        <v>0</v>
      </c>
      <c r="G99" s="4">
        <v>0</v>
      </c>
      <c r="H99" s="4">
        <v>0</v>
      </c>
      <c r="I99" s="4">
        <v>0</v>
      </c>
      <c r="J99" s="4">
        <v>0</v>
      </c>
      <c r="K99" s="4">
        <v>0</v>
      </c>
      <c r="L99" s="4">
        <v>0</v>
      </c>
      <c r="M99" s="4">
        <v>0</v>
      </c>
      <c r="N99" s="4">
        <v>75000</v>
      </c>
      <c r="O99" s="4">
        <v>0</v>
      </c>
      <c r="P99" s="4">
        <v>0</v>
      </c>
      <c r="Q99" s="4">
        <v>0</v>
      </c>
      <c r="R99" s="4">
        <v>10088</v>
      </c>
      <c r="S99" s="4">
        <v>0</v>
      </c>
      <c r="T99" s="4">
        <v>0</v>
      </c>
      <c r="U99" s="4">
        <v>0</v>
      </c>
      <c r="V99" s="4">
        <v>0</v>
      </c>
      <c r="W99" s="4">
        <v>0</v>
      </c>
      <c r="X99" s="4">
        <v>95000</v>
      </c>
      <c r="Y99" s="4">
        <v>0</v>
      </c>
      <c r="Z99" s="4">
        <v>0</v>
      </c>
      <c r="AA99" s="4">
        <v>0</v>
      </c>
      <c r="AB99" s="4">
        <v>0</v>
      </c>
      <c r="AC99" s="4">
        <v>0</v>
      </c>
      <c r="AD99" s="4">
        <v>0</v>
      </c>
      <c r="AE99" s="4">
        <v>0</v>
      </c>
      <c r="AF99" s="4">
        <v>0</v>
      </c>
      <c r="AG99" s="4">
        <v>0</v>
      </c>
      <c r="AH99" s="4">
        <v>0</v>
      </c>
      <c r="AI99" s="4">
        <v>0</v>
      </c>
      <c r="AJ99" s="4">
        <v>0</v>
      </c>
      <c r="AK99" s="4">
        <v>0</v>
      </c>
      <c r="AL99" s="4">
        <v>0</v>
      </c>
      <c r="AM99" s="4">
        <v>0</v>
      </c>
      <c r="AN99" s="4">
        <v>0</v>
      </c>
      <c r="AO99" s="4">
        <v>0</v>
      </c>
      <c r="AP99" s="4">
        <v>3</v>
      </c>
      <c r="AQ99" s="4">
        <v>0</v>
      </c>
      <c r="AR99" s="4">
        <v>0</v>
      </c>
      <c r="AS99" s="4">
        <v>0</v>
      </c>
      <c r="AT99" s="4">
        <v>0</v>
      </c>
      <c r="AU99" s="4">
        <v>0</v>
      </c>
      <c r="AV99" s="4">
        <v>0</v>
      </c>
      <c r="AW99" s="4">
        <v>300000</v>
      </c>
      <c r="AX99" s="4">
        <v>0</v>
      </c>
      <c r="AY99" s="4">
        <v>0</v>
      </c>
      <c r="AZ99" s="4">
        <v>0</v>
      </c>
      <c r="BA99" s="4">
        <v>0</v>
      </c>
      <c r="BB99" s="4">
        <v>0</v>
      </c>
      <c r="BC99" s="4">
        <v>0</v>
      </c>
      <c r="BD99" s="4">
        <v>0</v>
      </c>
      <c r="BE99" s="4">
        <v>0</v>
      </c>
      <c r="BF99" s="4">
        <v>0</v>
      </c>
      <c r="BG99" s="31">
        <f t="shared" si="19"/>
        <v>480091</v>
      </c>
      <c r="BH99" s="31">
        <f t="shared" si="16"/>
        <v>180088</v>
      </c>
      <c r="BI99" s="31">
        <f t="shared" si="17"/>
        <v>0</v>
      </c>
      <c r="BJ99" s="31">
        <f t="shared" si="18"/>
        <v>300003</v>
      </c>
    </row>
    <row r="100" spans="3:62" x14ac:dyDescent="0.25">
      <c r="D100">
        <v>1453</v>
      </c>
      <c r="E100" t="s">
        <v>381</v>
      </c>
      <c r="F100" s="4">
        <v>0</v>
      </c>
      <c r="G100" s="4">
        <v>0</v>
      </c>
      <c r="H100" s="4">
        <v>0</v>
      </c>
      <c r="I100" s="4">
        <v>0</v>
      </c>
      <c r="J100" s="4">
        <v>0</v>
      </c>
      <c r="K100" s="4">
        <v>0</v>
      </c>
      <c r="L100" s="4">
        <v>0</v>
      </c>
      <c r="M100" s="4">
        <v>0</v>
      </c>
      <c r="N100" s="4">
        <v>0</v>
      </c>
      <c r="O100" s="4">
        <v>0</v>
      </c>
      <c r="P100" s="4">
        <v>0</v>
      </c>
      <c r="Q100" s="4">
        <v>0</v>
      </c>
      <c r="R100" s="4">
        <v>0</v>
      </c>
      <c r="S100" s="4">
        <v>0</v>
      </c>
      <c r="T100" s="4">
        <v>0</v>
      </c>
      <c r="U100" s="4">
        <v>0</v>
      </c>
      <c r="V100" s="4">
        <v>0</v>
      </c>
      <c r="W100" s="4">
        <v>0</v>
      </c>
      <c r="X100" s="4">
        <v>0</v>
      </c>
      <c r="Y100" s="4">
        <v>0</v>
      </c>
      <c r="Z100" s="4">
        <v>0</v>
      </c>
      <c r="AA100" s="4">
        <v>0</v>
      </c>
      <c r="AB100" s="4">
        <v>0</v>
      </c>
      <c r="AC100" s="4">
        <v>0</v>
      </c>
      <c r="AD100" s="4">
        <v>0</v>
      </c>
      <c r="AE100" s="4">
        <v>0</v>
      </c>
      <c r="AF100" s="4">
        <v>0</v>
      </c>
      <c r="AG100" s="4">
        <v>0</v>
      </c>
      <c r="AH100" s="4">
        <v>0</v>
      </c>
      <c r="AI100" s="4">
        <v>0</v>
      </c>
      <c r="AJ100" s="4">
        <v>0</v>
      </c>
      <c r="AK100" s="4">
        <v>0</v>
      </c>
      <c r="AL100" s="4">
        <v>0</v>
      </c>
      <c r="AM100" s="4">
        <v>0</v>
      </c>
      <c r="AN100" s="4">
        <v>0</v>
      </c>
      <c r="AO100" s="4">
        <v>0</v>
      </c>
      <c r="AP100" s="4">
        <v>0</v>
      </c>
      <c r="AQ100" s="4">
        <v>0</v>
      </c>
      <c r="AR100" s="4">
        <v>0</v>
      </c>
      <c r="AS100" s="4">
        <v>0</v>
      </c>
      <c r="AT100" s="4">
        <v>0</v>
      </c>
      <c r="AU100" s="4">
        <v>0</v>
      </c>
      <c r="AV100" s="4">
        <v>0</v>
      </c>
      <c r="AW100" s="4">
        <v>0</v>
      </c>
      <c r="AX100" s="4">
        <v>0</v>
      </c>
      <c r="AY100" s="4">
        <v>0</v>
      </c>
      <c r="AZ100" s="4">
        <v>0</v>
      </c>
      <c r="BA100" s="4">
        <v>0</v>
      </c>
      <c r="BB100" s="4">
        <v>0</v>
      </c>
      <c r="BC100" s="4">
        <v>0</v>
      </c>
      <c r="BD100" s="4">
        <v>0</v>
      </c>
      <c r="BE100" s="4">
        <v>0</v>
      </c>
      <c r="BF100" s="4">
        <v>0</v>
      </c>
      <c r="BG100" s="31">
        <f t="shared" si="19"/>
        <v>0</v>
      </c>
      <c r="BH100" s="31">
        <f t="shared" si="16"/>
        <v>0</v>
      </c>
      <c r="BI100" s="31">
        <f t="shared" si="17"/>
        <v>0</v>
      </c>
      <c r="BJ100" s="31">
        <f t="shared" si="18"/>
        <v>0</v>
      </c>
    </row>
    <row r="101" spans="3:62" x14ac:dyDescent="0.25">
      <c r="D101">
        <v>1454</v>
      </c>
      <c r="E101" t="s">
        <v>382</v>
      </c>
      <c r="F101" s="4">
        <v>0</v>
      </c>
      <c r="G101" s="4">
        <v>0</v>
      </c>
      <c r="H101" s="4">
        <v>0</v>
      </c>
      <c r="I101" s="4">
        <v>0</v>
      </c>
      <c r="J101" s="4">
        <v>0</v>
      </c>
      <c r="K101" s="4">
        <v>0</v>
      </c>
      <c r="L101" s="4">
        <v>0</v>
      </c>
      <c r="M101" s="4">
        <v>0</v>
      </c>
      <c r="N101" s="4">
        <v>3600</v>
      </c>
      <c r="O101" s="4">
        <v>0</v>
      </c>
      <c r="P101" s="4">
        <v>10000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c r="AI101" s="4">
        <v>0</v>
      </c>
      <c r="AJ101" s="4">
        <v>0</v>
      </c>
      <c r="AK101" s="4">
        <v>0</v>
      </c>
      <c r="AL101" s="4">
        <v>0</v>
      </c>
      <c r="AM101" s="4">
        <v>0</v>
      </c>
      <c r="AN101" s="4">
        <v>0</v>
      </c>
      <c r="AO101" s="4">
        <v>0</v>
      </c>
      <c r="AP101" s="4">
        <v>0</v>
      </c>
      <c r="AQ101" s="4">
        <v>0</v>
      </c>
      <c r="AR101" s="4">
        <v>0</v>
      </c>
      <c r="AS101" s="4">
        <v>0</v>
      </c>
      <c r="AT101" s="4">
        <v>0</v>
      </c>
      <c r="AU101" s="4">
        <v>0</v>
      </c>
      <c r="AV101" s="4">
        <v>0</v>
      </c>
      <c r="AW101" s="4">
        <v>0</v>
      </c>
      <c r="AX101" s="4">
        <v>0</v>
      </c>
      <c r="AY101" s="4">
        <v>0</v>
      </c>
      <c r="AZ101" s="4">
        <v>0</v>
      </c>
      <c r="BA101" s="4">
        <v>0</v>
      </c>
      <c r="BB101" s="4">
        <v>0</v>
      </c>
      <c r="BC101" s="4">
        <v>0</v>
      </c>
      <c r="BD101" s="4">
        <v>0</v>
      </c>
      <c r="BE101" s="4">
        <v>300000</v>
      </c>
      <c r="BF101" s="4">
        <v>0</v>
      </c>
      <c r="BG101" s="31">
        <f t="shared" si="19"/>
        <v>313600</v>
      </c>
      <c r="BH101" s="31">
        <f t="shared" si="16"/>
        <v>13600</v>
      </c>
      <c r="BI101" s="31">
        <f t="shared" si="17"/>
        <v>0</v>
      </c>
      <c r="BJ101" s="31">
        <f t="shared" si="18"/>
        <v>300000</v>
      </c>
    </row>
    <row r="102" spans="3:62" x14ac:dyDescent="0.25">
      <c r="D102">
        <v>1455</v>
      </c>
      <c r="E102" t="s">
        <v>383</v>
      </c>
      <c r="F102" s="4">
        <v>0</v>
      </c>
      <c r="G102" s="4">
        <v>0</v>
      </c>
      <c r="H102" s="4">
        <v>0</v>
      </c>
      <c r="I102" s="4">
        <v>0</v>
      </c>
      <c r="J102" s="4">
        <v>0</v>
      </c>
      <c r="K102" s="4">
        <v>45603</v>
      </c>
      <c r="L102" s="4">
        <v>0</v>
      </c>
      <c r="M102" s="4">
        <v>2</v>
      </c>
      <c r="N102" s="4">
        <v>0</v>
      </c>
      <c r="O102" s="4">
        <v>0</v>
      </c>
      <c r="P102" s="4">
        <v>6020</v>
      </c>
      <c r="Q102" s="4">
        <v>0</v>
      </c>
      <c r="R102" s="4">
        <v>0</v>
      </c>
      <c r="S102" s="4">
        <v>0</v>
      </c>
      <c r="T102" s="4">
        <v>0</v>
      </c>
      <c r="U102" s="4">
        <v>0</v>
      </c>
      <c r="V102" s="4">
        <v>0</v>
      </c>
      <c r="W102" s="4">
        <v>0</v>
      </c>
      <c r="X102" s="4">
        <v>0</v>
      </c>
      <c r="Y102" s="4">
        <v>11</v>
      </c>
      <c r="Z102" s="4">
        <v>474763</v>
      </c>
      <c r="AA102" s="4">
        <v>0</v>
      </c>
      <c r="AB102" s="4">
        <v>0</v>
      </c>
      <c r="AC102" s="4">
        <v>0</v>
      </c>
      <c r="AD102" s="4">
        <v>5050</v>
      </c>
      <c r="AE102" s="4">
        <v>0</v>
      </c>
      <c r="AF102" s="4">
        <v>10</v>
      </c>
      <c r="AG102" s="4">
        <v>10</v>
      </c>
      <c r="AH102" s="4">
        <v>0</v>
      </c>
      <c r="AI102" s="4">
        <v>188681.9</v>
      </c>
      <c r="AJ102" s="4">
        <v>7434</v>
      </c>
      <c r="AK102" s="4">
        <v>0</v>
      </c>
      <c r="AL102" s="4">
        <v>0</v>
      </c>
      <c r="AM102" s="4">
        <v>0</v>
      </c>
      <c r="AN102" s="4">
        <v>3767</v>
      </c>
      <c r="AO102" s="4">
        <v>2908</v>
      </c>
      <c r="AP102" s="4">
        <v>0</v>
      </c>
      <c r="AQ102" s="4">
        <v>3422</v>
      </c>
      <c r="AR102" s="4">
        <v>4</v>
      </c>
      <c r="AS102" s="4">
        <v>100005</v>
      </c>
      <c r="AT102" s="4">
        <v>502</v>
      </c>
      <c r="AU102" s="4">
        <v>0</v>
      </c>
      <c r="AV102" s="4">
        <v>2553</v>
      </c>
      <c r="AW102" s="4">
        <v>0</v>
      </c>
      <c r="AX102" s="4">
        <v>10000</v>
      </c>
      <c r="AY102" s="4">
        <v>0</v>
      </c>
      <c r="AZ102" s="4">
        <v>0</v>
      </c>
      <c r="BA102" s="4">
        <v>0</v>
      </c>
      <c r="BB102" s="4">
        <v>0</v>
      </c>
      <c r="BC102" s="4">
        <v>1161</v>
      </c>
      <c r="BD102" s="4">
        <v>0</v>
      </c>
      <c r="BE102" s="4">
        <v>2905052.49</v>
      </c>
      <c r="BF102" s="4">
        <v>0</v>
      </c>
      <c r="BG102" s="31">
        <f t="shared" si="19"/>
        <v>3756959.39</v>
      </c>
      <c r="BH102" s="31">
        <f t="shared" si="16"/>
        <v>51625</v>
      </c>
      <c r="BI102" s="31">
        <f t="shared" si="17"/>
        <v>675959.9</v>
      </c>
      <c r="BJ102" s="31">
        <f t="shared" si="18"/>
        <v>3029374.49</v>
      </c>
    </row>
    <row r="103" spans="3:62" x14ac:dyDescent="0.25">
      <c r="D103">
        <v>1456</v>
      </c>
      <c r="E103" t="s">
        <v>384</v>
      </c>
      <c r="F103" s="4">
        <v>0</v>
      </c>
      <c r="G103" s="4">
        <v>0</v>
      </c>
      <c r="H103" s="4">
        <v>0</v>
      </c>
      <c r="I103" s="4">
        <v>0</v>
      </c>
      <c r="J103" s="4">
        <v>0</v>
      </c>
      <c r="K103" s="4">
        <v>0</v>
      </c>
      <c r="L103" s="4">
        <v>0</v>
      </c>
      <c r="M103" s="4">
        <v>0</v>
      </c>
      <c r="N103" s="4">
        <v>0</v>
      </c>
      <c r="O103" s="4">
        <v>0</v>
      </c>
      <c r="P103" s="4">
        <v>0</v>
      </c>
      <c r="Q103" s="4">
        <v>0</v>
      </c>
      <c r="R103" s="4">
        <v>0</v>
      </c>
      <c r="S103" s="4">
        <v>0</v>
      </c>
      <c r="T103" s="4">
        <v>0</v>
      </c>
      <c r="U103" s="4">
        <v>0</v>
      </c>
      <c r="V103" s="4">
        <v>0</v>
      </c>
      <c r="W103" s="4">
        <v>0</v>
      </c>
      <c r="X103" s="4">
        <v>0</v>
      </c>
      <c r="Y103" s="4">
        <v>0</v>
      </c>
      <c r="Z103" s="4">
        <v>0</v>
      </c>
      <c r="AA103" s="4">
        <v>0</v>
      </c>
      <c r="AB103" s="4">
        <v>0</v>
      </c>
      <c r="AC103" s="4">
        <v>0</v>
      </c>
      <c r="AD103" s="4">
        <v>143100</v>
      </c>
      <c r="AE103" s="4">
        <v>0</v>
      </c>
      <c r="AF103" s="4">
        <v>0</v>
      </c>
      <c r="AG103" s="4">
        <v>0</v>
      </c>
      <c r="AH103" s="4">
        <v>0</v>
      </c>
      <c r="AI103" s="4">
        <v>0</v>
      </c>
      <c r="AJ103" s="4">
        <v>0</v>
      </c>
      <c r="AK103" s="4">
        <v>0</v>
      </c>
      <c r="AL103" s="4">
        <v>0</v>
      </c>
      <c r="AM103" s="4">
        <v>0</v>
      </c>
      <c r="AN103" s="4">
        <v>0</v>
      </c>
      <c r="AO103" s="4">
        <v>0</v>
      </c>
      <c r="AP103" s="4">
        <v>0</v>
      </c>
      <c r="AQ103" s="4">
        <v>0</v>
      </c>
      <c r="AR103" s="4">
        <v>0</v>
      </c>
      <c r="AS103" s="4">
        <v>0</v>
      </c>
      <c r="AT103" s="4">
        <v>0</v>
      </c>
      <c r="AU103" s="4">
        <v>0</v>
      </c>
      <c r="AV103" s="4">
        <v>0</v>
      </c>
      <c r="AW103" s="4">
        <v>0</v>
      </c>
      <c r="AX103" s="4">
        <v>0</v>
      </c>
      <c r="AY103" s="4">
        <v>0</v>
      </c>
      <c r="AZ103" s="4">
        <v>0</v>
      </c>
      <c r="BA103" s="4">
        <v>197005</v>
      </c>
      <c r="BB103" s="4">
        <v>0</v>
      </c>
      <c r="BC103" s="4">
        <v>0</v>
      </c>
      <c r="BD103" s="4">
        <v>0</v>
      </c>
      <c r="BE103" s="4">
        <v>0</v>
      </c>
      <c r="BF103" s="4">
        <v>0</v>
      </c>
      <c r="BG103" s="31">
        <f t="shared" si="19"/>
        <v>340105</v>
      </c>
      <c r="BH103" s="31">
        <f t="shared" si="16"/>
        <v>0</v>
      </c>
      <c r="BI103" s="31">
        <f t="shared" si="17"/>
        <v>143100</v>
      </c>
      <c r="BJ103" s="31">
        <f t="shared" si="18"/>
        <v>197005</v>
      </c>
    </row>
    <row r="104" spans="3:62" x14ac:dyDescent="0.25">
      <c r="D104">
        <v>1457</v>
      </c>
      <c r="E104" t="s">
        <v>385</v>
      </c>
      <c r="F104" s="4">
        <v>0</v>
      </c>
      <c r="G104" s="4">
        <v>0</v>
      </c>
      <c r="H104" s="4">
        <v>0</v>
      </c>
      <c r="I104" s="4">
        <v>0</v>
      </c>
      <c r="J104" s="4">
        <v>0</v>
      </c>
      <c r="K104" s="4">
        <v>0</v>
      </c>
      <c r="L104" s="4">
        <v>0</v>
      </c>
      <c r="M104" s="4">
        <v>0</v>
      </c>
      <c r="N104" s="4">
        <v>0</v>
      </c>
      <c r="O104" s="4">
        <v>0</v>
      </c>
      <c r="P104" s="4">
        <v>0</v>
      </c>
      <c r="Q104" s="4">
        <v>0</v>
      </c>
      <c r="R104" s="4">
        <v>0</v>
      </c>
      <c r="S104" s="4">
        <v>0</v>
      </c>
      <c r="T104" s="4">
        <v>0</v>
      </c>
      <c r="U104" s="4">
        <v>0</v>
      </c>
      <c r="V104" s="4">
        <v>0</v>
      </c>
      <c r="W104" s="4">
        <v>0</v>
      </c>
      <c r="X104" s="4">
        <v>0</v>
      </c>
      <c r="Y104" s="4">
        <v>0</v>
      </c>
      <c r="Z104" s="4">
        <v>0</v>
      </c>
      <c r="AA104" s="4">
        <v>0</v>
      </c>
      <c r="AB104" s="4">
        <v>0</v>
      </c>
      <c r="AC104" s="4">
        <v>0</v>
      </c>
      <c r="AD104" s="4">
        <v>0</v>
      </c>
      <c r="AE104" s="4">
        <v>0</v>
      </c>
      <c r="AF104" s="4">
        <v>0</v>
      </c>
      <c r="AG104" s="4">
        <v>0</v>
      </c>
      <c r="AH104" s="4">
        <v>0</v>
      </c>
      <c r="AI104" s="4">
        <v>0</v>
      </c>
      <c r="AJ104" s="4">
        <v>0</v>
      </c>
      <c r="AK104" s="4">
        <v>0</v>
      </c>
      <c r="AL104" s="4">
        <v>0</v>
      </c>
      <c r="AM104" s="4">
        <v>0</v>
      </c>
      <c r="AN104" s="4">
        <v>0</v>
      </c>
      <c r="AO104" s="4">
        <v>0</v>
      </c>
      <c r="AP104" s="4">
        <v>0</v>
      </c>
      <c r="AQ104" s="4">
        <v>0</v>
      </c>
      <c r="AR104" s="4">
        <v>0</v>
      </c>
      <c r="AS104" s="4">
        <v>0</v>
      </c>
      <c r="AT104" s="4">
        <v>0</v>
      </c>
      <c r="AU104" s="4">
        <v>0</v>
      </c>
      <c r="AV104" s="4">
        <v>0</v>
      </c>
      <c r="AW104" s="4">
        <v>0</v>
      </c>
      <c r="AX104" s="4">
        <v>0</v>
      </c>
      <c r="AY104" s="4">
        <v>0</v>
      </c>
      <c r="AZ104" s="4">
        <v>0</v>
      </c>
      <c r="BA104" s="4">
        <v>0</v>
      </c>
      <c r="BB104" s="4">
        <v>0</v>
      </c>
      <c r="BC104" s="4">
        <v>0</v>
      </c>
      <c r="BD104" s="4">
        <v>0</v>
      </c>
      <c r="BE104" s="4">
        <v>0</v>
      </c>
      <c r="BF104" s="4">
        <v>0</v>
      </c>
      <c r="BG104" s="31">
        <f t="shared" si="19"/>
        <v>0</v>
      </c>
      <c r="BH104" s="31">
        <f t="shared" si="16"/>
        <v>0</v>
      </c>
      <c r="BI104" s="31">
        <f t="shared" si="17"/>
        <v>0</v>
      </c>
      <c r="BJ104" s="31">
        <f t="shared" si="18"/>
        <v>0</v>
      </c>
    </row>
    <row r="105" spans="3:62" x14ac:dyDescent="0.25">
      <c r="D105">
        <v>1458</v>
      </c>
      <c r="E105" t="s">
        <v>386</v>
      </c>
      <c r="F105" s="4">
        <v>0</v>
      </c>
      <c r="G105" s="4">
        <v>0</v>
      </c>
      <c r="H105" s="4">
        <v>0</v>
      </c>
      <c r="I105" s="4">
        <v>0</v>
      </c>
      <c r="J105" s="4">
        <v>0</v>
      </c>
      <c r="K105" s="4">
        <v>0</v>
      </c>
      <c r="L105" s="4">
        <v>0</v>
      </c>
      <c r="M105" s="4">
        <v>0</v>
      </c>
      <c r="N105" s="4">
        <v>0</v>
      </c>
      <c r="O105" s="4">
        <v>0</v>
      </c>
      <c r="P105" s="4">
        <v>0</v>
      </c>
      <c r="Q105" s="4">
        <v>0</v>
      </c>
      <c r="R105" s="4">
        <v>0</v>
      </c>
      <c r="S105" s="4">
        <v>0</v>
      </c>
      <c r="T105" s="4">
        <v>0</v>
      </c>
      <c r="U105" s="4">
        <v>0</v>
      </c>
      <c r="V105" s="4">
        <v>0</v>
      </c>
      <c r="W105" s="4">
        <v>0</v>
      </c>
      <c r="X105" s="4">
        <v>0</v>
      </c>
      <c r="Y105" s="4">
        <v>0</v>
      </c>
      <c r="Z105" s="4">
        <v>0</v>
      </c>
      <c r="AA105" s="4">
        <v>0</v>
      </c>
      <c r="AB105" s="4">
        <v>0</v>
      </c>
      <c r="AC105" s="4">
        <v>0</v>
      </c>
      <c r="AD105" s="4">
        <v>0</v>
      </c>
      <c r="AE105" s="4">
        <v>0</v>
      </c>
      <c r="AF105" s="4">
        <v>0</v>
      </c>
      <c r="AG105" s="4">
        <v>0</v>
      </c>
      <c r="AH105" s="4">
        <v>0</v>
      </c>
      <c r="AI105" s="4">
        <v>0</v>
      </c>
      <c r="AJ105" s="4">
        <v>0</v>
      </c>
      <c r="AK105" s="4">
        <v>0</v>
      </c>
      <c r="AL105" s="4">
        <v>0</v>
      </c>
      <c r="AM105" s="4">
        <v>0</v>
      </c>
      <c r="AN105" s="4">
        <v>0</v>
      </c>
      <c r="AO105" s="4">
        <v>0</v>
      </c>
      <c r="AP105" s="4">
        <v>0</v>
      </c>
      <c r="AQ105" s="4">
        <v>0</v>
      </c>
      <c r="AR105" s="4">
        <v>0</v>
      </c>
      <c r="AS105" s="4">
        <v>0</v>
      </c>
      <c r="AT105" s="4">
        <v>0</v>
      </c>
      <c r="AU105" s="4">
        <v>0</v>
      </c>
      <c r="AV105" s="4">
        <v>0</v>
      </c>
      <c r="AW105" s="4">
        <v>0</v>
      </c>
      <c r="AX105" s="4">
        <v>0</v>
      </c>
      <c r="AY105" s="4">
        <v>0</v>
      </c>
      <c r="AZ105" s="4">
        <v>0</v>
      </c>
      <c r="BA105" s="4">
        <v>0</v>
      </c>
      <c r="BB105" s="4">
        <v>0</v>
      </c>
      <c r="BC105" s="4">
        <v>0</v>
      </c>
      <c r="BD105" s="4">
        <v>0</v>
      </c>
      <c r="BE105" s="4">
        <v>0</v>
      </c>
      <c r="BF105" s="4">
        <v>0</v>
      </c>
      <c r="BG105" s="31">
        <f t="shared" si="19"/>
        <v>0</v>
      </c>
      <c r="BH105" s="31">
        <f t="shared" si="16"/>
        <v>0</v>
      </c>
      <c r="BI105" s="31">
        <f t="shared" si="17"/>
        <v>0</v>
      </c>
      <c r="BJ105" s="31">
        <f t="shared" si="18"/>
        <v>0</v>
      </c>
    </row>
    <row r="106" spans="3:62" x14ac:dyDescent="0.25">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31"/>
      <c r="BH106" s="31"/>
      <c r="BI106" s="31"/>
      <c r="BJ106" s="31"/>
    </row>
    <row r="107" spans="3:62" x14ac:dyDescent="0.25">
      <c r="C107" s="56">
        <v>146</v>
      </c>
      <c r="D107" s="56"/>
      <c r="E107" s="56" t="s">
        <v>397</v>
      </c>
      <c r="F107" s="57">
        <f>F108+F109+F110+F111+F112+F113+F114+F115+F116+F117</f>
        <v>16302.95</v>
      </c>
      <c r="G107" s="57">
        <f t="shared" ref="G107:BF107" si="24">G108+G109+G110+G111+G112+G113+G114+G115+G116+G117</f>
        <v>0</v>
      </c>
      <c r="H107" s="57">
        <f t="shared" si="24"/>
        <v>0</v>
      </c>
      <c r="I107" s="57">
        <f t="shared" si="24"/>
        <v>0</v>
      </c>
      <c r="J107" s="57">
        <f t="shared" si="24"/>
        <v>65728.2</v>
      </c>
      <c r="K107" s="57">
        <f t="shared" si="24"/>
        <v>723843</v>
      </c>
      <c r="L107" s="57">
        <f t="shared" si="24"/>
        <v>127844.3</v>
      </c>
      <c r="M107" s="57">
        <f t="shared" si="24"/>
        <v>279993</v>
      </c>
      <c r="N107" s="57">
        <f t="shared" si="24"/>
        <v>26868</v>
      </c>
      <c r="O107" s="57">
        <f t="shared" si="24"/>
        <v>0</v>
      </c>
      <c r="P107" s="57">
        <f t="shared" si="24"/>
        <v>168689.6</v>
      </c>
      <c r="Q107" s="57">
        <f t="shared" si="24"/>
        <v>0</v>
      </c>
      <c r="R107" s="57">
        <f t="shared" si="24"/>
        <v>2137</v>
      </c>
      <c r="S107" s="57">
        <f t="shared" si="24"/>
        <v>0</v>
      </c>
      <c r="T107" s="57">
        <f t="shared" si="24"/>
        <v>0</v>
      </c>
      <c r="U107" s="57">
        <f t="shared" si="24"/>
        <v>0</v>
      </c>
      <c r="V107" s="57">
        <f t="shared" si="24"/>
        <v>0</v>
      </c>
      <c r="W107" s="57">
        <f t="shared" si="24"/>
        <v>0</v>
      </c>
      <c r="X107" s="57">
        <f t="shared" si="24"/>
        <v>130527.1</v>
      </c>
      <c r="Y107" s="57">
        <f t="shared" si="24"/>
        <v>0</v>
      </c>
      <c r="Z107" s="57">
        <f t="shared" si="24"/>
        <v>20000</v>
      </c>
      <c r="AA107" s="57">
        <f t="shared" si="24"/>
        <v>0</v>
      </c>
      <c r="AB107" s="57">
        <f t="shared" si="24"/>
        <v>168200</v>
      </c>
      <c r="AC107" s="57">
        <f t="shared" si="24"/>
        <v>0</v>
      </c>
      <c r="AD107" s="57">
        <f t="shared" si="24"/>
        <v>0</v>
      </c>
      <c r="AE107" s="57">
        <f t="shared" si="24"/>
        <v>0</v>
      </c>
      <c r="AF107" s="57">
        <f t="shared" si="24"/>
        <v>0</v>
      </c>
      <c r="AG107" s="57">
        <f t="shared" si="24"/>
        <v>0</v>
      </c>
      <c r="AH107" s="57">
        <f t="shared" si="24"/>
        <v>0</v>
      </c>
      <c r="AI107" s="57">
        <f t="shared" si="24"/>
        <v>0</v>
      </c>
      <c r="AJ107" s="57">
        <f t="shared" si="24"/>
        <v>247872.27</v>
      </c>
      <c r="AK107" s="57">
        <f t="shared" si="24"/>
        <v>0</v>
      </c>
      <c r="AL107" s="57">
        <f t="shared" si="24"/>
        <v>0</v>
      </c>
      <c r="AM107" s="57">
        <f t="shared" si="24"/>
        <v>0</v>
      </c>
      <c r="AN107" s="57">
        <f t="shared" si="24"/>
        <v>0</v>
      </c>
      <c r="AO107" s="57">
        <f t="shared" si="24"/>
        <v>0</v>
      </c>
      <c r="AP107" s="57">
        <f t="shared" si="24"/>
        <v>0</v>
      </c>
      <c r="AQ107" s="57">
        <f t="shared" si="24"/>
        <v>0</v>
      </c>
      <c r="AR107" s="57">
        <f t="shared" si="24"/>
        <v>0</v>
      </c>
      <c r="AS107" s="57">
        <f t="shared" si="24"/>
        <v>0</v>
      </c>
      <c r="AT107" s="57">
        <f t="shared" si="24"/>
        <v>0</v>
      </c>
      <c r="AU107" s="57">
        <f t="shared" si="24"/>
        <v>1</v>
      </c>
      <c r="AV107" s="57">
        <f t="shared" si="24"/>
        <v>0</v>
      </c>
      <c r="AW107" s="57">
        <f t="shared" si="24"/>
        <v>0</v>
      </c>
      <c r="AX107" s="57">
        <f t="shared" si="24"/>
        <v>0</v>
      </c>
      <c r="AY107" s="57">
        <f t="shared" si="24"/>
        <v>0</v>
      </c>
      <c r="AZ107" s="57">
        <f t="shared" si="24"/>
        <v>0</v>
      </c>
      <c r="BA107" s="57">
        <f t="shared" si="24"/>
        <v>0</v>
      </c>
      <c r="BB107" s="57">
        <f t="shared" si="24"/>
        <v>0</v>
      </c>
      <c r="BC107" s="57">
        <f t="shared" si="24"/>
        <v>0</v>
      </c>
      <c r="BD107" s="57">
        <f t="shared" si="24"/>
        <v>0</v>
      </c>
      <c r="BE107" s="57">
        <f t="shared" si="24"/>
        <v>996400</v>
      </c>
      <c r="BF107" s="57">
        <f t="shared" si="24"/>
        <v>0</v>
      </c>
      <c r="BG107" s="57">
        <f t="shared" si="19"/>
        <v>2974406.4200000004</v>
      </c>
      <c r="BH107" s="57">
        <f t="shared" si="16"/>
        <v>1541933.1500000004</v>
      </c>
      <c r="BI107" s="57">
        <f t="shared" si="17"/>
        <v>436072.27</v>
      </c>
      <c r="BJ107" s="57">
        <f t="shared" si="18"/>
        <v>996401</v>
      </c>
    </row>
    <row r="108" spans="3:62" x14ac:dyDescent="0.25">
      <c r="D108">
        <v>1460</v>
      </c>
      <c r="E108" t="s">
        <v>394</v>
      </c>
      <c r="F108" s="4">
        <v>0</v>
      </c>
      <c r="G108" s="4">
        <v>0</v>
      </c>
      <c r="H108" s="4">
        <v>0</v>
      </c>
      <c r="I108" s="4">
        <v>0</v>
      </c>
      <c r="J108" s="4">
        <v>0</v>
      </c>
      <c r="K108" s="4">
        <v>0</v>
      </c>
      <c r="L108" s="4">
        <v>0</v>
      </c>
      <c r="M108" s="4">
        <v>0</v>
      </c>
      <c r="N108" s="4">
        <v>0</v>
      </c>
      <c r="O108" s="4">
        <v>0</v>
      </c>
      <c r="P108" s="4">
        <v>0</v>
      </c>
      <c r="Q108" s="4">
        <v>0</v>
      </c>
      <c r="R108" s="4">
        <v>0</v>
      </c>
      <c r="S108" s="4">
        <v>0</v>
      </c>
      <c r="T108" s="4">
        <v>0</v>
      </c>
      <c r="U108" s="4">
        <v>0</v>
      </c>
      <c r="V108" s="4">
        <v>0</v>
      </c>
      <c r="W108" s="4">
        <v>0</v>
      </c>
      <c r="X108" s="4">
        <v>0</v>
      </c>
      <c r="Y108" s="4">
        <v>0</v>
      </c>
      <c r="Z108" s="4">
        <v>0</v>
      </c>
      <c r="AA108" s="4">
        <v>0</v>
      </c>
      <c r="AB108" s="4">
        <v>0</v>
      </c>
      <c r="AC108" s="4">
        <v>0</v>
      </c>
      <c r="AD108" s="4">
        <v>0</v>
      </c>
      <c r="AE108" s="4">
        <v>0</v>
      </c>
      <c r="AF108" s="4">
        <v>0</v>
      </c>
      <c r="AG108" s="4">
        <v>0</v>
      </c>
      <c r="AH108" s="4">
        <v>0</v>
      </c>
      <c r="AI108" s="4">
        <v>0</v>
      </c>
      <c r="AJ108" s="4">
        <v>0</v>
      </c>
      <c r="AK108" s="4">
        <v>0</v>
      </c>
      <c r="AL108" s="4">
        <v>0</v>
      </c>
      <c r="AM108" s="4">
        <v>0</v>
      </c>
      <c r="AN108" s="4">
        <v>0</v>
      </c>
      <c r="AO108" s="4">
        <v>0</v>
      </c>
      <c r="AP108" s="4">
        <v>0</v>
      </c>
      <c r="AQ108" s="4">
        <v>0</v>
      </c>
      <c r="AR108" s="4">
        <v>0</v>
      </c>
      <c r="AS108" s="4">
        <v>0</v>
      </c>
      <c r="AT108" s="4">
        <v>0</v>
      </c>
      <c r="AU108" s="4">
        <v>0</v>
      </c>
      <c r="AV108" s="4">
        <v>0</v>
      </c>
      <c r="AW108" s="4">
        <v>0</v>
      </c>
      <c r="AX108" s="4">
        <v>0</v>
      </c>
      <c r="AY108" s="4">
        <v>0</v>
      </c>
      <c r="AZ108" s="4">
        <v>0</v>
      </c>
      <c r="BA108" s="4">
        <v>0</v>
      </c>
      <c r="BB108" s="4">
        <v>0</v>
      </c>
      <c r="BC108" s="4">
        <v>0</v>
      </c>
      <c r="BD108" s="4">
        <v>0</v>
      </c>
      <c r="BE108" s="4">
        <v>0</v>
      </c>
      <c r="BF108" s="4">
        <v>0</v>
      </c>
      <c r="BG108" s="31">
        <f t="shared" si="19"/>
        <v>0</v>
      </c>
      <c r="BH108" s="31">
        <f t="shared" si="16"/>
        <v>0</v>
      </c>
      <c r="BI108" s="31">
        <f t="shared" si="17"/>
        <v>0</v>
      </c>
      <c r="BJ108" s="31">
        <f t="shared" si="18"/>
        <v>0</v>
      </c>
    </row>
    <row r="109" spans="3:62" x14ac:dyDescent="0.25">
      <c r="D109">
        <v>1461</v>
      </c>
      <c r="E109" t="s">
        <v>395</v>
      </c>
      <c r="F109" s="4">
        <v>0</v>
      </c>
      <c r="G109" s="4">
        <v>0</v>
      </c>
      <c r="H109" s="4">
        <v>0</v>
      </c>
      <c r="I109" s="4">
        <v>0</v>
      </c>
      <c r="J109" s="4">
        <v>0</v>
      </c>
      <c r="K109" s="4">
        <v>0</v>
      </c>
      <c r="L109" s="4">
        <v>0</v>
      </c>
      <c r="M109" s="4">
        <v>0</v>
      </c>
      <c r="N109" s="4">
        <v>0</v>
      </c>
      <c r="O109" s="4">
        <v>0</v>
      </c>
      <c r="P109" s="4">
        <v>0</v>
      </c>
      <c r="Q109" s="4">
        <v>0</v>
      </c>
      <c r="R109" s="4">
        <v>0</v>
      </c>
      <c r="S109" s="4">
        <v>0</v>
      </c>
      <c r="T109" s="4">
        <v>0</v>
      </c>
      <c r="U109" s="4">
        <v>0</v>
      </c>
      <c r="V109" s="4">
        <v>0</v>
      </c>
      <c r="W109" s="4">
        <v>0</v>
      </c>
      <c r="X109" s="4">
        <v>0</v>
      </c>
      <c r="Y109" s="4">
        <v>0</v>
      </c>
      <c r="Z109" s="4">
        <v>0</v>
      </c>
      <c r="AA109" s="4">
        <v>0</v>
      </c>
      <c r="AB109" s="4">
        <v>0</v>
      </c>
      <c r="AC109" s="4">
        <v>0</v>
      </c>
      <c r="AD109" s="4">
        <v>0</v>
      </c>
      <c r="AE109" s="4">
        <v>0</v>
      </c>
      <c r="AF109" s="4">
        <v>0</v>
      </c>
      <c r="AG109" s="4">
        <v>0</v>
      </c>
      <c r="AH109" s="4">
        <v>0</v>
      </c>
      <c r="AI109" s="4">
        <v>0</v>
      </c>
      <c r="AJ109" s="4">
        <v>0</v>
      </c>
      <c r="AK109" s="4">
        <v>0</v>
      </c>
      <c r="AL109" s="4">
        <v>0</v>
      </c>
      <c r="AM109" s="4">
        <v>0</v>
      </c>
      <c r="AN109" s="4">
        <v>0</v>
      </c>
      <c r="AO109" s="4">
        <v>0</v>
      </c>
      <c r="AP109" s="4">
        <v>0</v>
      </c>
      <c r="AQ109" s="4">
        <v>0</v>
      </c>
      <c r="AR109" s="4">
        <v>0</v>
      </c>
      <c r="AS109" s="4">
        <v>0</v>
      </c>
      <c r="AT109" s="4">
        <v>0</v>
      </c>
      <c r="AU109" s="4">
        <v>0</v>
      </c>
      <c r="AV109" s="4">
        <v>0</v>
      </c>
      <c r="AW109" s="4">
        <v>0</v>
      </c>
      <c r="AX109" s="4">
        <v>0</v>
      </c>
      <c r="AY109" s="4">
        <v>0</v>
      </c>
      <c r="AZ109" s="4">
        <v>0</v>
      </c>
      <c r="BA109" s="4">
        <v>0</v>
      </c>
      <c r="BB109" s="4">
        <v>0</v>
      </c>
      <c r="BC109" s="4">
        <v>0</v>
      </c>
      <c r="BD109" s="4">
        <v>0</v>
      </c>
      <c r="BE109" s="4">
        <v>0</v>
      </c>
      <c r="BF109" s="4">
        <v>0</v>
      </c>
      <c r="BG109" s="31">
        <f t="shared" si="19"/>
        <v>0</v>
      </c>
      <c r="BH109" s="31">
        <f t="shared" si="16"/>
        <v>0</v>
      </c>
      <c r="BI109" s="31">
        <f t="shared" si="17"/>
        <v>0</v>
      </c>
      <c r="BJ109" s="31">
        <f t="shared" si="18"/>
        <v>0</v>
      </c>
    </row>
    <row r="110" spans="3:62" x14ac:dyDescent="0.25">
      <c r="D110">
        <v>1462</v>
      </c>
      <c r="E110" t="s">
        <v>387</v>
      </c>
      <c r="F110" s="4">
        <v>16302.95</v>
      </c>
      <c r="G110" s="4">
        <v>0</v>
      </c>
      <c r="H110" s="4">
        <v>0</v>
      </c>
      <c r="I110" s="4">
        <v>0</v>
      </c>
      <c r="J110" s="4">
        <v>65728.2</v>
      </c>
      <c r="K110" s="4">
        <v>723843</v>
      </c>
      <c r="L110" s="4">
        <v>50324.5</v>
      </c>
      <c r="M110" s="4">
        <v>279993</v>
      </c>
      <c r="N110" s="4">
        <v>26868</v>
      </c>
      <c r="O110" s="4">
        <v>0</v>
      </c>
      <c r="P110" s="4">
        <v>136689.60000000001</v>
      </c>
      <c r="Q110" s="4">
        <v>0</v>
      </c>
      <c r="R110" s="4">
        <v>2137</v>
      </c>
      <c r="S110" s="4">
        <v>0</v>
      </c>
      <c r="T110" s="4">
        <v>0</v>
      </c>
      <c r="U110" s="4">
        <v>0</v>
      </c>
      <c r="V110" s="4">
        <v>0</v>
      </c>
      <c r="W110" s="4">
        <v>0</v>
      </c>
      <c r="X110" s="4">
        <v>130527.1</v>
      </c>
      <c r="Y110" s="4">
        <v>0</v>
      </c>
      <c r="Z110" s="4">
        <v>0</v>
      </c>
      <c r="AA110" s="4">
        <v>0</v>
      </c>
      <c r="AB110" s="4">
        <v>168200</v>
      </c>
      <c r="AC110" s="4">
        <v>0</v>
      </c>
      <c r="AD110" s="4">
        <v>0</v>
      </c>
      <c r="AE110" s="4">
        <v>0</v>
      </c>
      <c r="AF110" s="4">
        <v>0</v>
      </c>
      <c r="AG110" s="4">
        <v>0</v>
      </c>
      <c r="AH110" s="4">
        <v>0</v>
      </c>
      <c r="AI110" s="4">
        <v>0</v>
      </c>
      <c r="AJ110" s="4">
        <v>247872.27</v>
      </c>
      <c r="AK110" s="4">
        <v>0</v>
      </c>
      <c r="AL110" s="4">
        <v>0</v>
      </c>
      <c r="AM110" s="4">
        <v>0</v>
      </c>
      <c r="AN110" s="4">
        <v>0</v>
      </c>
      <c r="AO110" s="4">
        <v>0</v>
      </c>
      <c r="AP110" s="4">
        <v>0</v>
      </c>
      <c r="AQ110" s="4">
        <v>0</v>
      </c>
      <c r="AR110" s="4">
        <v>0</v>
      </c>
      <c r="AS110" s="4">
        <v>0</v>
      </c>
      <c r="AT110" s="4">
        <v>0</v>
      </c>
      <c r="AU110" s="4">
        <v>1</v>
      </c>
      <c r="AV110" s="4">
        <v>0</v>
      </c>
      <c r="AW110" s="4">
        <v>0</v>
      </c>
      <c r="AX110" s="4">
        <v>0</v>
      </c>
      <c r="AY110" s="4">
        <v>0</v>
      </c>
      <c r="AZ110" s="4">
        <v>0</v>
      </c>
      <c r="BA110" s="4">
        <v>0</v>
      </c>
      <c r="BB110" s="4">
        <v>0</v>
      </c>
      <c r="BC110" s="4">
        <v>0</v>
      </c>
      <c r="BD110" s="4">
        <v>0</v>
      </c>
      <c r="BE110" s="4">
        <v>950400</v>
      </c>
      <c r="BF110" s="4">
        <v>0</v>
      </c>
      <c r="BG110" s="31">
        <f t="shared" si="19"/>
        <v>2798886.62</v>
      </c>
      <c r="BH110" s="31">
        <f t="shared" si="16"/>
        <v>1432413.35</v>
      </c>
      <c r="BI110" s="31">
        <f t="shared" si="17"/>
        <v>416072.27</v>
      </c>
      <c r="BJ110" s="31">
        <f t="shared" si="18"/>
        <v>950401</v>
      </c>
    </row>
    <row r="111" spans="3:62" x14ac:dyDescent="0.25">
      <c r="D111">
        <v>1463</v>
      </c>
      <c r="E111" t="s">
        <v>388</v>
      </c>
      <c r="F111" s="4">
        <v>0</v>
      </c>
      <c r="G111" s="4">
        <v>0</v>
      </c>
      <c r="H111" s="4">
        <v>0</v>
      </c>
      <c r="I111" s="4">
        <v>0</v>
      </c>
      <c r="J111" s="4">
        <v>0</v>
      </c>
      <c r="K111" s="4">
        <v>0</v>
      </c>
      <c r="L111" s="4">
        <v>0</v>
      </c>
      <c r="M111" s="4">
        <v>0</v>
      </c>
      <c r="N111" s="4">
        <v>0</v>
      </c>
      <c r="O111" s="4">
        <v>0</v>
      </c>
      <c r="P111" s="4">
        <v>0</v>
      </c>
      <c r="Q111" s="4">
        <v>0</v>
      </c>
      <c r="R111" s="4">
        <v>0</v>
      </c>
      <c r="S111" s="4">
        <v>0</v>
      </c>
      <c r="T111" s="4">
        <v>0</v>
      </c>
      <c r="U111" s="4">
        <v>0</v>
      </c>
      <c r="V111" s="4">
        <v>0</v>
      </c>
      <c r="W111" s="4">
        <v>0</v>
      </c>
      <c r="X111" s="4">
        <v>0</v>
      </c>
      <c r="Y111" s="4">
        <v>0</v>
      </c>
      <c r="Z111" s="4">
        <v>0</v>
      </c>
      <c r="AA111" s="4">
        <v>0</v>
      </c>
      <c r="AB111" s="4">
        <v>0</v>
      </c>
      <c r="AC111" s="4">
        <v>0</v>
      </c>
      <c r="AD111" s="4">
        <v>0</v>
      </c>
      <c r="AE111" s="4">
        <v>0</v>
      </c>
      <c r="AF111" s="4">
        <v>0</v>
      </c>
      <c r="AG111" s="4">
        <v>0</v>
      </c>
      <c r="AH111" s="4">
        <v>0</v>
      </c>
      <c r="AI111" s="4">
        <v>0</v>
      </c>
      <c r="AJ111" s="4">
        <v>0</v>
      </c>
      <c r="AK111" s="4">
        <v>0</v>
      </c>
      <c r="AL111" s="4">
        <v>0</v>
      </c>
      <c r="AM111" s="4">
        <v>0</v>
      </c>
      <c r="AN111" s="4">
        <v>0</v>
      </c>
      <c r="AO111" s="4">
        <v>0</v>
      </c>
      <c r="AP111" s="4">
        <v>0</v>
      </c>
      <c r="AQ111" s="4">
        <v>0</v>
      </c>
      <c r="AR111" s="4">
        <v>0</v>
      </c>
      <c r="AS111" s="4">
        <v>0</v>
      </c>
      <c r="AT111" s="4">
        <v>0</v>
      </c>
      <c r="AU111" s="4">
        <v>0</v>
      </c>
      <c r="AV111" s="4">
        <v>0</v>
      </c>
      <c r="AW111" s="4">
        <v>0</v>
      </c>
      <c r="AX111" s="4">
        <v>0</v>
      </c>
      <c r="AY111" s="4">
        <v>0</v>
      </c>
      <c r="AZ111" s="4">
        <v>0</v>
      </c>
      <c r="BA111" s="4">
        <v>0</v>
      </c>
      <c r="BB111" s="4">
        <v>0</v>
      </c>
      <c r="BC111" s="4">
        <v>0</v>
      </c>
      <c r="BD111" s="4">
        <v>0</v>
      </c>
      <c r="BE111" s="4">
        <v>0</v>
      </c>
      <c r="BF111" s="4">
        <v>0</v>
      </c>
      <c r="BG111" s="31">
        <f t="shared" si="19"/>
        <v>0</v>
      </c>
      <c r="BH111" s="31">
        <f t="shared" si="16"/>
        <v>0</v>
      </c>
      <c r="BI111" s="31">
        <f t="shared" si="17"/>
        <v>0</v>
      </c>
      <c r="BJ111" s="31">
        <f t="shared" si="18"/>
        <v>0</v>
      </c>
    </row>
    <row r="112" spans="3:62" x14ac:dyDescent="0.25">
      <c r="D112">
        <v>1464</v>
      </c>
      <c r="E112" t="s">
        <v>389</v>
      </c>
      <c r="F112" s="4">
        <v>0</v>
      </c>
      <c r="G112" s="4">
        <v>0</v>
      </c>
      <c r="H112" s="4">
        <v>0</v>
      </c>
      <c r="I112" s="4">
        <v>0</v>
      </c>
      <c r="J112" s="4">
        <v>0</v>
      </c>
      <c r="K112" s="4">
        <v>0</v>
      </c>
      <c r="L112" s="4">
        <v>0</v>
      </c>
      <c r="M112" s="4">
        <v>0</v>
      </c>
      <c r="N112" s="4">
        <v>0</v>
      </c>
      <c r="O112" s="4">
        <v>0</v>
      </c>
      <c r="P112" s="4">
        <v>0</v>
      </c>
      <c r="Q112" s="4">
        <v>0</v>
      </c>
      <c r="R112" s="4">
        <v>0</v>
      </c>
      <c r="S112" s="4">
        <v>0</v>
      </c>
      <c r="T112" s="4">
        <v>0</v>
      </c>
      <c r="U112" s="4">
        <v>0</v>
      </c>
      <c r="V112" s="4">
        <v>0</v>
      </c>
      <c r="W112" s="4">
        <v>0</v>
      </c>
      <c r="X112" s="4">
        <v>0</v>
      </c>
      <c r="Y112" s="4">
        <v>0</v>
      </c>
      <c r="Z112" s="4">
        <v>0</v>
      </c>
      <c r="AA112" s="4">
        <v>0</v>
      </c>
      <c r="AB112" s="4">
        <v>0</v>
      </c>
      <c r="AC112" s="4">
        <v>0</v>
      </c>
      <c r="AD112" s="4">
        <v>0</v>
      </c>
      <c r="AE112" s="4">
        <v>0</v>
      </c>
      <c r="AF112" s="4">
        <v>0</v>
      </c>
      <c r="AG112" s="4">
        <v>0</v>
      </c>
      <c r="AH112" s="4">
        <v>0</v>
      </c>
      <c r="AI112" s="4">
        <v>0</v>
      </c>
      <c r="AJ112" s="4">
        <v>0</v>
      </c>
      <c r="AK112" s="4">
        <v>0</v>
      </c>
      <c r="AL112" s="4">
        <v>0</v>
      </c>
      <c r="AM112" s="4">
        <v>0</v>
      </c>
      <c r="AN112" s="4">
        <v>0</v>
      </c>
      <c r="AO112" s="4">
        <v>0</v>
      </c>
      <c r="AP112" s="4">
        <v>0</v>
      </c>
      <c r="AQ112" s="4">
        <v>0</v>
      </c>
      <c r="AR112" s="4">
        <v>0</v>
      </c>
      <c r="AS112" s="4">
        <v>0</v>
      </c>
      <c r="AT112" s="4">
        <v>0</v>
      </c>
      <c r="AU112" s="4">
        <v>0</v>
      </c>
      <c r="AV112" s="4">
        <v>0</v>
      </c>
      <c r="AW112" s="4">
        <v>0</v>
      </c>
      <c r="AX112" s="4">
        <v>0</v>
      </c>
      <c r="AY112" s="4">
        <v>0</v>
      </c>
      <c r="AZ112" s="4">
        <v>0</v>
      </c>
      <c r="BA112" s="4">
        <v>0</v>
      </c>
      <c r="BB112" s="4">
        <v>0</v>
      </c>
      <c r="BC112" s="4">
        <v>0</v>
      </c>
      <c r="BD112" s="4">
        <v>0</v>
      </c>
      <c r="BE112" s="4">
        <v>0</v>
      </c>
      <c r="BF112" s="4">
        <v>0</v>
      </c>
      <c r="BG112" s="31">
        <f t="shared" si="19"/>
        <v>0</v>
      </c>
      <c r="BH112" s="31">
        <f t="shared" si="16"/>
        <v>0</v>
      </c>
      <c r="BI112" s="31">
        <f t="shared" si="17"/>
        <v>0</v>
      </c>
      <c r="BJ112" s="31">
        <f t="shared" si="18"/>
        <v>0</v>
      </c>
    </row>
    <row r="113" spans="1:62" x14ac:dyDescent="0.25">
      <c r="D113">
        <v>1465</v>
      </c>
      <c r="E113" t="s">
        <v>390</v>
      </c>
      <c r="F113" s="4">
        <v>0</v>
      </c>
      <c r="G113" s="4">
        <v>0</v>
      </c>
      <c r="H113" s="4">
        <v>0</v>
      </c>
      <c r="I113" s="4">
        <v>0</v>
      </c>
      <c r="J113" s="4">
        <v>0</v>
      </c>
      <c r="K113" s="4">
        <v>0</v>
      </c>
      <c r="L113" s="4">
        <v>0</v>
      </c>
      <c r="M113" s="4">
        <v>0</v>
      </c>
      <c r="N113" s="4">
        <v>0</v>
      </c>
      <c r="O113" s="4">
        <v>0</v>
      </c>
      <c r="P113" s="4">
        <v>32000</v>
      </c>
      <c r="Q113" s="4">
        <v>0</v>
      </c>
      <c r="R113" s="4">
        <v>0</v>
      </c>
      <c r="S113" s="4">
        <v>0</v>
      </c>
      <c r="T113" s="4">
        <v>0</v>
      </c>
      <c r="U113" s="4">
        <v>0</v>
      </c>
      <c r="V113" s="4">
        <v>0</v>
      </c>
      <c r="W113" s="4">
        <v>0</v>
      </c>
      <c r="X113" s="4">
        <v>0</v>
      </c>
      <c r="Y113" s="4">
        <v>0</v>
      </c>
      <c r="Z113" s="4">
        <v>0</v>
      </c>
      <c r="AA113" s="4">
        <v>0</v>
      </c>
      <c r="AB113" s="4">
        <v>0</v>
      </c>
      <c r="AC113" s="4">
        <v>0</v>
      </c>
      <c r="AD113" s="4">
        <v>0</v>
      </c>
      <c r="AE113" s="4">
        <v>0</v>
      </c>
      <c r="AF113" s="4">
        <v>0</v>
      </c>
      <c r="AG113" s="4">
        <v>0</v>
      </c>
      <c r="AH113" s="4">
        <v>0</v>
      </c>
      <c r="AI113" s="4">
        <v>0</v>
      </c>
      <c r="AJ113" s="4">
        <v>0</v>
      </c>
      <c r="AK113" s="4">
        <v>0</v>
      </c>
      <c r="AL113" s="4">
        <v>0</v>
      </c>
      <c r="AM113" s="4">
        <v>0</v>
      </c>
      <c r="AN113" s="4">
        <v>0</v>
      </c>
      <c r="AO113" s="4">
        <v>0</v>
      </c>
      <c r="AP113" s="4">
        <v>0</v>
      </c>
      <c r="AQ113" s="4">
        <v>0</v>
      </c>
      <c r="AR113" s="4">
        <v>0</v>
      </c>
      <c r="AS113" s="4">
        <v>0</v>
      </c>
      <c r="AT113" s="4">
        <v>0</v>
      </c>
      <c r="AU113" s="4">
        <v>0</v>
      </c>
      <c r="AV113" s="4">
        <v>0</v>
      </c>
      <c r="AW113" s="4">
        <v>0</v>
      </c>
      <c r="AX113" s="4">
        <v>0</v>
      </c>
      <c r="AY113" s="4">
        <v>0</v>
      </c>
      <c r="AZ113" s="4">
        <v>0</v>
      </c>
      <c r="BA113" s="4">
        <v>0</v>
      </c>
      <c r="BB113" s="4">
        <v>0</v>
      </c>
      <c r="BC113" s="4">
        <v>0</v>
      </c>
      <c r="BD113" s="4">
        <v>0</v>
      </c>
      <c r="BE113" s="4">
        <v>0</v>
      </c>
      <c r="BF113" s="4">
        <v>0</v>
      </c>
      <c r="BG113" s="31">
        <f t="shared" si="19"/>
        <v>32000</v>
      </c>
      <c r="BH113" s="31">
        <f t="shared" si="16"/>
        <v>32000</v>
      </c>
      <c r="BI113" s="31">
        <f t="shared" si="17"/>
        <v>0</v>
      </c>
      <c r="BJ113" s="31">
        <f t="shared" si="18"/>
        <v>0</v>
      </c>
    </row>
    <row r="114" spans="1:62" x14ac:dyDescent="0.25">
      <c r="D114">
        <v>1466</v>
      </c>
      <c r="E114" t="s">
        <v>396</v>
      </c>
      <c r="F114" s="4">
        <v>0</v>
      </c>
      <c r="G114" s="4">
        <v>0</v>
      </c>
      <c r="H114" s="4">
        <v>0</v>
      </c>
      <c r="I114" s="4">
        <v>0</v>
      </c>
      <c r="J114" s="4">
        <v>0</v>
      </c>
      <c r="K114" s="4">
        <v>0</v>
      </c>
      <c r="L114" s="4">
        <v>77519.8</v>
      </c>
      <c r="M114" s="4">
        <v>0</v>
      </c>
      <c r="N114" s="4">
        <v>0</v>
      </c>
      <c r="O114" s="4">
        <v>0</v>
      </c>
      <c r="P114" s="4">
        <v>0</v>
      </c>
      <c r="Q114" s="4">
        <v>0</v>
      </c>
      <c r="R114" s="4">
        <v>0</v>
      </c>
      <c r="S114" s="4">
        <v>0</v>
      </c>
      <c r="T114" s="4">
        <v>0</v>
      </c>
      <c r="U114" s="4">
        <v>0</v>
      </c>
      <c r="V114" s="4">
        <v>0</v>
      </c>
      <c r="W114" s="4">
        <v>0</v>
      </c>
      <c r="X114" s="4">
        <v>0</v>
      </c>
      <c r="Y114" s="4">
        <v>0</v>
      </c>
      <c r="Z114" s="4">
        <v>20000</v>
      </c>
      <c r="AA114" s="4">
        <v>0</v>
      </c>
      <c r="AB114" s="4">
        <v>0</v>
      </c>
      <c r="AC114" s="4">
        <v>0</v>
      </c>
      <c r="AD114" s="4">
        <v>0</v>
      </c>
      <c r="AE114" s="4">
        <v>0</v>
      </c>
      <c r="AF114" s="4">
        <v>0</v>
      </c>
      <c r="AG114" s="4">
        <v>0</v>
      </c>
      <c r="AH114" s="4">
        <v>0</v>
      </c>
      <c r="AI114" s="4">
        <v>0</v>
      </c>
      <c r="AJ114" s="4">
        <v>0</v>
      </c>
      <c r="AK114" s="4">
        <v>0</v>
      </c>
      <c r="AL114" s="4">
        <v>0</v>
      </c>
      <c r="AM114" s="4">
        <v>0</v>
      </c>
      <c r="AN114" s="4">
        <v>0</v>
      </c>
      <c r="AO114" s="4">
        <v>0</v>
      </c>
      <c r="AP114" s="4">
        <v>0</v>
      </c>
      <c r="AQ114" s="4">
        <v>0</v>
      </c>
      <c r="AR114" s="4">
        <v>0</v>
      </c>
      <c r="AS114" s="4">
        <v>0</v>
      </c>
      <c r="AT114" s="4">
        <v>0</v>
      </c>
      <c r="AU114" s="4">
        <v>0</v>
      </c>
      <c r="AV114" s="4">
        <v>0</v>
      </c>
      <c r="AW114" s="4">
        <v>0</v>
      </c>
      <c r="AX114" s="4">
        <v>0</v>
      </c>
      <c r="AY114" s="4">
        <v>0</v>
      </c>
      <c r="AZ114" s="4">
        <v>0</v>
      </c>
      <c r="BA114" s="4">
        <v>0</v>
      </c>
      <c r="BB114" s="4">
        <v>0</v>
      </c>
      <c r="BC114" s="4">
        <v>0</v>
      </c>
      <c r="BD114" s="4">
        <v>0</v>
      </c>
      <c r="BE114" s="4">
        <v>46000</v>
      </c>
      <c r="BF114" s="4">
        <v>0</v>
      </c>
      <c r="BG114" s="31">
        <f t="shared" si="19"/>
        <v>143519.79999999999</v>
      </c>
      <c r="BH114" s="31">
        <f t="shared" si="16"/>
        <v>77519.8</v>
      </c>
      <c r="BI114" s="31">
        <f t="shared" si="17"/>
        <v>20000</v>
      </c>
      <c r="BJ114" s="31">
        <f t="shared" si="18"/>
        <v>46000</v>
      </c>
    </row>
    <row r="115" spans="1:62" x14ac:dyDescent="0.25">
      <c r="D115">
        <v>1467</v>
      </c>
      <c r="E115" t="s">
        <v>391</v>
      </c>
      <c r="F115" s="4">
        <v>0</v>
      </c>
      <c r="G115" s="4">
        <v>0</v>
      </c>
      <c r="H115" s="4">
        <v>0</v>
      </c>
      <c r="I115" s="4">
        <v>0</v>
      </c>
      <c r="J115" s="4">
        <v>0</v>
      </c>
      <c r="K115" s="4">
        <v>0</v>
      </c>
      <c r="L115" s="4">
        <v>0</v>
      </c>
      <c r="M115" s="4">
        <v>0</v>
      </c>
      <c r="N115" s="4">
        <v>0</v>
      </c>
      <c r="O115" s="4">
        <v>0</v>
      </c>
      <c r="P115" s="4">
        <v>0</v>
      </c>
      <c r="Q115" s="4">
        <v>0</v>
      </c>
      <c r="R115" s="4">
        <v>0</v>
      </c>
      <c r="S115" s="4">
        <v>0</v>
      </c>
      <c r="T115" s="4">
        <v>0</v>
      </c>
      <c r="U115" s="4">
        <v>0</v>
      </c>
      <c r="V115" s="4">
        <v>0</v>
      </c>
      <c r="W115" s="4">
        <v>0</v>
      </c>
      <c r="X115" s="4">
        <v>0</v>
      </c>
      <c r="Y115" s="4">
        <v>0</v>
      </c>
      <c r="Z115" s="4">
        <v>0</v>
      </c>
      <c r="AA115" s="4">
        <v>0</v>
      </c>
      <c r="AB115" s="4">
        <v>0</v>
      </c>
      <c r="AC115" s="4">
        <v>0</v>
      </c>
      <c r="AD115" s="4">
        <v>0</v>
      </c>
      <c r="AE115" s="4">
        <v>0</v>
      </c>
      <c r="AF115" s="4">
        <v>0</v>
      </c>
      <c r="AG115" s="4">
        <v>0</v>
      </c>
      <c r="AH115" s="4">
        <v>0</v>
      </c>
      <c r="AI115" s="4">
        <v>0</v>
      </c>
      <c r="AJ115" s="4">
        <v>0</v>
      </c>
      <c r="AK115" s="4">
        <v>0</v>
      </c>
      <c r="AL115" s="4">
        <v>0</v>
      </c>
      <c r="AM115" s="4">
        <v>0</v>
      </c>
      <c r="AN115" s="4">
        <v>0</v>
      </c>
      <c r="AO115" s="4">
        <v>0</v>
      </c>
      <c r="AP115" s="4">
        <v>0</v>
      </c>
      <c r="AQ115" s="4">
        <v>0</v>
      </c>
      <c r="AR115" s="4">
        <v>0</v>
      </c>
      <c r="AS115" s="4">
        <v>0</v>
      </c>
      <c r="AT115" s="4">
        <v>0</v>
      </c>
      <c r="AU115" s="4">
        <v>0</v>
      </c>
      <c r="AV115" s="4">
        <v>0</v>
      </c>
      <c r="AW115" s="4">
        <v>0</v>
      </c>
      <c r="AX115" s="4">
        <v>0</v>
      </c>
      <c r="AY115" s="4">
        <v>0</v>
      </c>
      <c r="AZ115" s="4">
        <v>0</v>
      </c>
      <c r="BA115" s="4">
        <v>0</v>
      </c>
      <c r="BB115" s="4">
        <v>0</v>
      </c>
      <c r="BC115" s="4">
        <v>0</v>
      </c>
      <c r="BD115" s="4">
        <v>0</v>
      </c>
      <c r="BE115" s="4">
        <v>0</v>
      </c>
      <c r="BF115" s="4">
        <v>0</v>
      </c>
      <c r="BG115" s="31">
        <f t="shared" si="19"/>
        <v>0</v>
      </c>
      <c r="BH115" s="31">
        <f t="shared" si="16"/>
        <v>0</v>
      </c>
      <c r="BI115" s="31">
        <f t="shared" si="17"/>
        <v>0</v>
      </c>
      <c r="BJ115" s="31">
        <f t="shared" si="18"/>
        <v>0</v>
      </c>
    </row>
    <row r="116" spans="1:62" x14ac:dyDescent="0.25">
      <c r="D116">
        <v>1468</v>
      </c>
      <c r="E116" t="s">
        <v>392</v>
      </c>
      <c r="F116" s="4">
        <v>0</v>
      </c>
      <c r="G116" s="4">
        <v>0</v>
      </c>
      <c r="H116" s="4">
        <v>0</v>
      </c>
      <c r="I116" s="4">
        <v>0</v>
      </c>
      <c r="J116" s="4">
        <v>0</v>
      </c>
      <c r="K116" s="4">
        <v>0</v>
      </c>
      <c r="L116" s="4">
        <v>0</v>
      </c>
      <c r="M116" s="4">
        <v>0</v>
      </c>
      <c r="N116" s="4">
        <v>0</v>
      </c>
      <c r="O116" s="4">
        <v>0</v>
      </c>
      <c r="P116" s="4">
        <v>0</v>
      </c>
      <c r="Q116" s="4">
        <v>0</v>
      </c>
      <c r="R116" s="4">
        <v>0</v>
      </c>
      <c r="S116" s="4">
        <v>0</v>
      </c>
      <c r="T116" s="4">
        <v>0</v>
      </c>
      <c r="U116" s="4">
        <v>0</v>
      </c>
      <c r="V116" s="4">
        <v>0</v>
      </c>
      <c r="W116" s="4">
        <v>0</v>
      </c>
      <c r="X116" s="4">
        <v>0</v>
      </c>
      <c r="Y116" s="4">
        <v>0</v>
      </c>
      <c r="Z116" s="4">
        <v>0</v>
      </c>
      <c r="AA116" s="4">
        <v>0</v>
      </c>
      <c r="AB116" s="4">
        <v>0</v>
      </c>
      <c r="AC116" s="4">
        <v>0</v>
      </c>
      <c r="AD116" s="4">
        <v>0</v>
      </c>
      <c r="AE116" s="4">
        <v>0</v>
      </c>
      <c r="AF116" s="4">
        <v>0</v>
      </c>
      <c r="AG116" s="4">
        <v>0</v>
      </c>
      <c r="AH116" s="4">
        <v>0</v>
      </c>
      <c r="AI116" s="4">
        <v>0</v>
      </c>
      <c r="AJ116" s="4">
        <v>0</v>
      </c>
      <c r="AK116" s="4">
        <v>0</v>
      </c>
      <c r="AL116" s="4">
        <v>0</v>
      </c>
      <c r="AM116" s="4">
        <v>0</v>
      </c>
      <c r="AN116" s="4">
        <v>0</v>
      </c>
      <c r="AO116" s="4">
        <v>0</v>
      </c>
      <c r="AP116" s="4">
        <v>0</v>
      </c>
      <c r="AQ116" s="4">
        <v>0</v>
      </c>
      <c r="AR116" s="4">
        <v>0</v>
      </c>
      <c r="AS116" s="4">
        <v>0</v>
      </c>
      <c r="AT116" s="4">
        <v>0</v>
      </c>
      <c r="AU116" s="4">
        <v>0</v>
      </c>
      <c r="AV116" s="4">
        <v>0</v>
      </c>
      <c r="AW116" s="4">
        <v>0</v>
      </c>
      <c r="AX116" s="4">
        <v>0</v>
      </c>
      <c r="AY116" s="4">
        <v>0</v>
      </c>
      <c r="AZ116" s="4">
        <v>0</v>
      </c>
      <c r="BA116" s="4">
        <v>0</v>
      </c>
      <c r="BB116" s="4">
        <v>0</v>
      </c>
      <c r="BC116" s="4">
        <v>0</v>
      </c>
      <c r="BD116" s="4">
        <v>0</v>
      </c>
      <c r="BE116" s="4">
        <v>0</v>
      </c>
      <c r="BF116" s="4">
        <v>0</v>
      </c>
      <c r="BG116" s="31">
        <f t="shared" si="19"/>
        <v>0</v>
      </c>
      <c r="BH116" s="31">
        <f t="shared" si="16"/>
        <v>0</v>
      </c>
      <c r="BI116" s="31">
        <f t="shared" si="17"/>
        <v>0</v>
      </c>
      <c r="BJ116" s="31">
        <f t="shared" si="18"/>
        <v>0</v>
      </c>
    </row>
    <row r="117" spans="1:62" x14ac:dyDescent="0.25">
      <c r="D117">
        <v>1469</v>
      </c>
      <c r="E117" t="s">
        <v>393</v>
      </c>
      <c r="F117" s="4">
        <v>0</v>
      </c>
      <c r="G117" s="4">
        <v>0</v>
      </c>
      <c r="H117" s="4">
        <v>0</v>
      </c>
      <c r="I117" s="4">
        <v>0</v>
      </c>
      <c r="J117" s="4">
        <v>0</v>
      </c>
      <c r="K117" s="4">
        <v>0</v>
      </c>
      <c r="L117" s="4">
        <v>0</v>
      </c>
      <c r="M117" s="4">
        <v>0</v>
      </c>
      <c r="N117" s="4">
        <v>0</v>
      </c>
      <c r="O117" s="4">
        <v>0</v>
      </c>
      <c r="P117" s="4">
        <v>0</v>
      </c>
      <c r="Q117" s="4">
        <v>0</v>
      </c>
      <c r="R117" s="4">
        <v>0</v>
      </c>
      <c r="S117" s="4">
        <v>0</v>
      </c>
      <c r="T117" s="4">
        <v>0</v>
      </c>
      <c r="U117" s="4">
        <v>0</v>
      </c>
      <c r="V117" s="4">
        <v>0</v>
      </c>
      <c r="W117" s="4">
        <v>0</v>
      </c>
      <c r="X117" s="4">
        <v>0</v>
      </c>
      <c r="Y117" s="4">
        <v>0</v>
      </c>
      <c r="Z117" s="4">
        <v>0</v>
      </c>
      <c r="AA117" s="4">
        <v>0</v>
      </c>
      <c r="AB117" s="4">
        <v>0</v>
      </c>
      <c r="AC117" s="4">
        <v>0</v>
      </c>
      <c r="AD117" s="4">
        <v>0</v>
      </c>
      <c r="AE117" s="4">
        <v>0</v>
      </c>
      <c r="AF117" s="4">
        <v>0</v>
      </c>
      <c r="AG117" s="4">
        <v>0</v>
      </c>
      <c r="AH117" s="4">
        <v>0</v>
      </c>
      <c r="AI117" s="4">
        <v>0</v>
      </c>
      <c r="AJ117" s="4">
        <v>0</v>
      </c>
      <c r="AK117" s="4">
        <v>0</v>
      </c>
      <c r="AL117" s="4">
        <v>0</v>
      </c>
      <c r="AM117" s="4">
        <v>0</v>
      </c>
      <c r="AN117" s="4">
        <v>0</v>
      </c>
      <c r="AO117" s="4">
        <v>0</v>
      </c>
      <c r="AP117" s="4">
        <v>0</v>
      </c>
      <c r="AQ117" s="4">
        <v>0</v>
      </c>
      <c r="AR117" s="4">
        <v>0</v>
      </c>
      <c r="AS117" s="4">
        <v>0</v>
      </c>
      <c r="AT117" s="4">
        <v>0</v>
      </c>
      <c r="AU117" s="4">
        <v>0</v>
      </c>
      <c r="AV117" s="4">
        <v>0</v>
      </c>
      <c r="AW117" s="4">
        <v>0</v>
      </c>
      <c r="AX117" s="4">
        <v>0</v>
      </c>
      <c r="AY117" s="4">
        <v>0</v>
      </c>
      <c r="AZ117" s="4">
        <v>0</v>
      </c>
      <c r="BA117" s="4">
        <v>0</v>
      </c>
      <c r="BB117" s="4">
        <v>0</v>
      </c>
      <c r="BC117" s="4">
        <v>0</v>
      </c>
      <c r="BD117" s="4">
        <v>0</v>
      </c>
      <c r="BE117" s="4">
        <v>0</v>
      </c>
      <c r="BF117" s="4">
        <v>0</v>
      </c>
      <c r="BG117" s="31">
        <f t="shared" si="19"/>
        <v>0</v>
      </c>
      <c r="BH117" s="31">
        <f t="shared" si="16"/>
        <v>0</v>
      </c>
      <c r="BI117" s="31">
        <f t="shared" si="17"/>
        <v>0</v>
      </c>
      <c r="BJ117" s="31">
        <f t="shared" si="18"/>
        <v>0</v>
      </c>
    </row>
    <row r="118" spans="1:62" x14ac:dyDescent="0.25">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31"/>
      <c r="BH118" s="31"/>
      <c r="BI118" s="31"/>
      <c r="BJ118" s="31"/>
    </row>
    <row r="119" spans="1:62" x14ac:dyDescent="0.25">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31"/>
      <c r="BH119" s="31"/>
      <c r="BI119" s="31"/>
      <c r="BJ119" s="31"/>
    </row>
    <row r="120" spans="1:62" ht="21" x14ac:dyDescent="0.35">
      <c r="A120" s="64">
        <v>2</v>
      </c>
      <c r="B120" s="64"/>
      <c r="C120" s="64"/>
      <c r="D120" s="64"/>
      <c r="E120" s="64" t="s">
        <v>251</v>
      </c>
      <c r="F120" s="71">
        <f>F122+F132+F142+F152+F164+F172+F183+F190+F193+F197+F200+F203+F206+F209+F212+F215</f>
        <v>15188762.25</v>
      </c>
      <c r="G120" s="71">
        <f t="shared" ref="G120:BF120" si="25">G122+G132+G142+G152+G164+G172+G183+G190+G193+G197+G200+G203+G206+G209+G212+G215</f>
        <v>2965973.02</v>
      </c>
      <c r="H120" s="71">
        <f t="shared" si="25"/>
        <v>6296669.6499999994</v>
      </c>
      <c r="I120" s="71">
        <f t="shared" si="25"/>
        <v>7297548.3099999996</v>
      </c>
      <c r="J120" s="71">
        <f t="shared" si="25"/>
        <v>35834571.810000002</v>
      </c>
      <c r="K120" s="71">
        <f t="shared" si="25"/>
        <v>32179357.800000004</v>
      </c>
      <c r="L120" s="71">
        <f t="shared" si="25"/>
        <v>21417104.539999999</v>
      </c>
      <c r="M120" s="71">
        <f t="shared" si="25"/>
        <v>177597654.23000002</v>
      </c>
      <c r="N120" s="71">
        <f t="shared" si="25"/>
        <v>10939291.529999999</v>
      </c>
      <c r="O120" s="71">
        <f t="shared" si="25"/>
        <v>1636254.6600000001</v>
      </c>
      <c r="P120" s="71">
        <f t="shared" si="25"/>
        <v>53521100.93</v>
      </c>
      <c r="Q120" s="71">
        <f t="shared" si="25"/>
        <v>5011865.05</v>
      </c>
      <c r="R120" s="71">
        <f t="shared" si="25"/>
        <v>793621.34000000008</v>
      </c>
      <c r="S120" s="71">
        <f t="shared" si="25"/>
        <v>3941697.1199999996</v>
      </c>
      <c r="T120" s="71">
        <f t="shared" si="25"/>
        <v>5143960.4100000011</v>
      </c>
      <c r="U120" s="71">
        <f t="shared" si="25"/>
        <v>8255877.0299999993</v>
      </c>
      <c r="V120" s="71">
        <f t="shared" si="25"/>
        <v>1832318.3499999999</v>
      </c>
      <c r="W120" s="71">
        <f t="shared" si="25"/>
        <v>4866359.71</v>
      </c>
      <c r="X120" s="71">
        <f t="shared" si="25"/>
        <v>22949312.119999997</v>
      </c>
      <c r="Y120" s="71">
        <f t="shared" si="25"/>
        <v>3995294.95</v>
      </c>
      <c r="Z120" s="71">
        <f t="shared" si="25"/>
        <v>14924073.459999999</v>
      </c>
      <c r="AA120" s="71">
        <f t="shared" si="25"/>
        <v>32307335.959999997</v>
      </c>
      <c r="AB120" s="71">
        <f t="shared" si="25"/>
        <v>1624933.4</v>
      </c>
      <c r="AC120" s="71">
        <f t="shared" si="25"/>
        <v>3111796.8600000003</v>
      </c>
      <c r="AD120" s="71">
        <f t="shared" si="25"/>
        <v>6155015.3499999996</v>
      </c>
      <c r="AE120" s="71">
        <f t="shared" si="25"/>
        <v>9012201.0099999998</v>
      </c>
      <c r="AF120" s="71">
        <f t="shared" si="25"/>
        <v>6876138.3399999999</v>
      </c>
      <c r="AG120" s="71">
        <f t="shared" si="25"/>
        <v>9234866.4800000004</v>
      </c>
      <c r="AH120" s="71">
        <f t="shared" si="25"/>
        <v>16349536.65</v>
      </c>
      <c r="AI120" s="71">
        <f t="shared" si="25"/>
        <v>27550063.550000001</v>
      </c>
      <c r="AJ120" s="71">
        <f t="shared" si="25"/>
        <v>3905939.28</v>
      </c>
      <c r="AK120" s="71">
        <f t="shared" si="25"/>
        <v>3222486.64</v>
      </c>
      <c r="AL120" s="71">
        <f t="shared" si="25"/>
        <v>22966348.760000002</v>
      </c>
      <c r="AM120" s="71">
        <f t="shared" si="25"/>
        <v>16102566.52</v>
      </c>
      <c r="AN120" s="71">
        <f t="shared" si="25"/>
        <v>15405801.92</v>
      </c>
      <c r="AO120" s="71">
        <f t="shared" si="25"/>
        <v>2974096.86</v>
      </c>
      <c r="AP120" s="71">
        <f t="shared" si="25"/>
        <v>30433304.219999999</v>
      </c>
      <c r="AQ120" s="71">
        <f t="shared" si="25"/>
        <v>7933124.9500000002</v>
      </c>
      <c r="AR120" s="71">
        <f t="shared" si="25"/>
        <v>6768420.1500000004</v>
      </c>
      <c r="AS120" s="71">
        <f t="shared" si="25"/>
        <v>22575658.690000001</v>
      </c>
      <c r="AT120" s="71">
        <f t="shared" si="25"/>
        <v>7925516.6799999997</v>
      </c>
      <c r="AU120" s="71">
        <f t="shared" si="25"/>
        <v>10850287.100000001</v>
      </c>
      <c r="AV120" s="71">
        <f t="shared" si="25"/>
        <v>5949338.5200000005</v>
      </c>
      <c r="AW120" s="71">
        <f t="shared" si="25"/>
        <v>21309261.509999998</v>
      </c>
      <c r="AX120" s="71">
        <f t="shared" si="25"/>
        <v>8924275.6600000001</v>
      </c>
      <c r="AY120" s="71">
        <f t="shared" si="25"/>
        <v>1559898.92</v>
      </c>
      <c r="AZ120" s="71">
        <f t="shared" si="25"/>
        <v>4115207.58</v>
      </c>
      <c r="BA120" s="71">
        <f t="shared" si="25"/>
        <v>23472611.259999998</v>
      </c>
      <c r="BB120" s="71">
        <f t="shared" si="25"/>
        <v>5399563.7999999998</v>
      </c>
      <c r="BC120" s="71">
        <f t="shared" si="25"/>
        <v>15496471.67</v>
      </c>
      <c r="BD120" s="71">
        <f t="shared" si="25"/>
        <v>1586955.25</v>
      </c>
      <c r="BE120" s="71">
        <f t="shared" si="25"/>
        <v>79883106.600000009</v>
      </c>
      <c r="BF120" s="71">
        <f t="shared" si="25"/>
        <v>5851353.3699999992</v>
      </c>
      <c r="BG120" s="65">
        <f t="shared" si="19"/>
        <v>873422151.77999973</v>
      </c>
      <c r="BH120" s="71">
        <f t="shared" si="16"/>
        <v>417669299.86000001</v>
      </c>
      <c r="BI120" s="71">
        <f t="shared" si="17"/>
        <v>138269681.92999998</v>
      </c>
      <c r="BJ120" s="71">
        <f t="shared" si="18"/>
        <v>317483169.99000001</v>
      </c>
    </row>
    <row r="121" spans="1:62" x14ac:dyDescent="0.25">
      <c r="A121" s="7"/>
      <c r="B121" s="68">
        <v>20</v>
      </c>
      <c r="C121" s="68"/>
      <c r="D121" s="68"/>
      <c r="E121" s="68" t="s">
        <v>252</v>
      </c>
      <c r="F121" s="69">
        <f>F122+F132+F142+F152+F164+F172+F183</f>
        <v>10597593.460000001</v>
      </c>
      <c r="G121" s="69">
        <f t="shared" ref="G121:BF121" si="26">G122+G132+G142+G152+G164+G172+G183</f>
        <v>2476025.2000000002</v>
      </c>
      <c r="H121" s="69">
        <f t="shared" si="26"/>
        <v>6054411.8899999997</v>
      </c>
      <c r="I121" s="69">
        <f t="shared" si="26"/>
        <v>4819394.9499999993</v>
      </c>
      <c r="J121" s="69">
        <f t="shared" si="26"/>
        <v>24955383.649999999</v>
      </c>
      <c r="K121" s="69">
        <f t="shared" si="26"/>
        <v>24713296.990000002</v>
      </c>
      <c r="L121" s="69">
        <f t="shared" si="26"/>
        <v>11514993.67</v>
      </c>
      <c r="M121" s="69">
        <f t="shared" si="26"/>
        <v>146151956.10000002</v>
      </c>
      <c r="N121" s="69">
        <f t="shared" si="26"/>
        <v>6829297.8200000003</v>
      </c>
      <c r="O121" s="69">
        <f t="shared" si="26"/>
        <v>1044108.48</v>
      </c>
      <c r="P121" s="69">
        <f t="shared" si="26"/>
        <v>45801119.899999999</v>
      </c>
      <c r="Q121" s="69">
        <f t="shared" si="26"/>
        <v>3495201.54</v>
      </c>
      <c r="R121" s="69">
        <f t="shared" si="26"/>
        <v>574965.75</v>
      </c>
      <c r="S121" s="69">
        <f t="shared" si="26"/>
        <v>3100133.92</v>
      </c>
      <c r="T121" s="69">
        <f t="shared" si="26"/>
        <v>4169598.1600000006</v>
      </c>
      <c r="U121" s="69">
        <f t="shared" si="26"/>
        <v>5269530.68</v>
      </c>
      <c r="V121" s="69">
        <f t="shared" si="26"/>
        <v>1053712.0699999998</v>
      </c>
      <c r="W121" s="69">
        <f t="shared" si="26"/>
        <v>4133437.39</v>
      </c>
      <c r="X121" s="69">
        <f t="shared" si="26"/>
        <v>17259552.27</v>
      </c>
      <c r="Y121" s="69">
        <f t="shared" si="26"/>
        <v>665835.80000000005</v>
      </c>
      <c r="Z121" s="69">
        <f t="shared" si="26"/>
        <v>10920765.789999999</v>
      </c>
      <c r="AA121" s="69">
        <f t="shared" si="26"/>
        <v>13660696.18</v>
      </c>
      <c r="AB121" s="69">
        <f t="shared" si="26"/>
        <v>841503</v>
      </c>
      <c r="AC121" s="69">
        <f t="shared" si="26"/>
        <v>1355565.94</v>
      </c>
      <c r="AD121" s="69">
        <f t="shared" si="26"/>
        <v>4501281.16</v>
      </c>
      <c r="AE121" s="69">
        <f t="shared" si="26"/>
        <v>7319398.3799999999</v>
      </c>
      <c r="AF121" s="69">
        <f t="shared" si="26"/>
        <v>4025148.3099999996</v>
      </c>
      <c r="AG121" s="69">
        <f t="shared" si="26"/>
        <v>2045263.37</v>
      </c>
      <c r="AH121" s="69">
        <f t="shared" si="26"/>
        <v>7020295.6700000009</v>
      </c>
      <c r="AI121" s="69">
        <f t="shared" si="26"/>
        <v>18244470.900000002</v>
      </c>
      <c r="AJ121" s="69">
        <f t="shared" si="26"/>
        <v>1796313.4300000002</v>
      </c>
      <c r="AK121" s="69">
        <f t="shared" si="26"/>
        <v>1072034.6499999999</v>
      </c>
      <c r="AL121" s="69">
        <f t="shared" si="26"/>
        <v>18843045</v>
      </c>
      <c r="AM121" s="69">
        <f t="shared" si="26"/>
        <v>10070987.34</v>
      </c>
      <c r="AN121" s="69">
        <f t="shared" si="26"/>
        <v>11888425.890000001</v>
      </c>
      <c r="AO121" s="69">
        <f t="shared" si="26"/>
        <v>1619181.74</v>
      </c>
      <c r="AP121" s="69">
        <f t="shared" si="26"/>
        <v>9669024.3300000001</v>
      </c>
      <c r="AQ121" s="69">
        <f t="shared" si="26"/>
        <v>5070636.54</v>
      </c>
      <c r="AR121" s="69">
        <f t="shared" si="26"/>
        <v>4144008.19</v>
      </c>
      <c r="AS121" s="69">
        <f t="shared" si="26"/>
        <v>11559620.700000001</v>
      </c>
      <c r="AT121" s="69">
        <f t="shared" si="26"/>
        <v>5697376.5699999994</v>
      </c>
      <c r="AU121" s="69">
        <f t="shared" si="26"/>
        <v>9161039.7400000002</v>
      </c>
      <c r="AV121" s="69">
        <f t="shared" si="26"/>
        <v>2148930.5700000003</v>
      </c>
      <c r="AW121" s="69">
        <f t="shared" si="26"/>
        <v>13712349.01</v>
      </c>
      <c r="AX121" s="69">
        <f t="shared" si="26"/>
        <v>6198010.5700000003</v>
      </c>
      <c r="AY121" s="69">
        <f t="shared" si="26"/>
        <v>913998.53</v>
      </c>
      <c r="AZ121" s="69">
        <f t="shared" si="26"/>
        <v>2071378.69</v>
      </c>
      <c r="BA121" s="69">
        <f t="shared" si="26"/>
        <v>20057446.789999999</v>
      </c>
      <c r="BB121" s="69">
        <f t="shared" si="26"/>
        <v>2088786.8499999999</v>
      </c>
      <c r="BC121" s="69">
        <f t="shared" si="26"/>
        <v>10822262.43</v>
      </c>
      <c r="BD121" s="69">
        <f t="shared" si="26"/>
        <v>305132.06</v>
      </c>
      <c r="BE121" s="69">
        <f t="shared" si="26"/>
        <v>69166529.180000007</v>
      </c>
      <c r="BF121" s="69">
        <f t="shared" si="26"/>
        <v>4285692.38</v>
      </c>
      <c r="BG121" s="69">
        <f t="shared" si="19"/>
        <v>616976149.57000005</v>
      </c>
      <c r="BH121" s="69">
        <f t="shared" si="16"/>
        <v>324013713.89000005</v>
      </c>
      <c r="BI121" s="69">
        <f t="shared" si="17"/>
        <v>73468572.580000013</v>
      </c>
      <c r="BJ121" s="69">
        <f t="shared" si="18"/>
        <v>219493863.09999999</v>
      </c>
    </row>
    <row r="122" spans="1:62" x14ac:dyDescent="0.25">
      <c r="C122" s="66">
        <v>200</v>
      </c>
      <c r="D122" s="66"/>
      <c r="E122" s="66" t="s">
        <v>253</v>
      </c>
      <c r="F122" s="67">
        <f>F123+F124+F125+F126+F127+F128+F129+F130</f>
        <v>0</v>
      </c>
      <c r="G122" s="67">
        <f t="shared" ref="G122:BF122" si="27">G123+G124+G125+G126+G127+G128+G129+G130</f>
        <v>96415.099999999991</v>
      </c>
      <c r="H122" s="67">
        <f t="shared" si="27"/>
        <v>204208.4</v>
      </c>
      <c r="I122" s="67">
        <f t="shared" si="27"/>
        <v>288807.18</v>
      </c>
      <c r="J122" s="67">
        <f t="shared" si="27"/>
        <v>770196.63</v>
      </c>
      <c r="K122" s="67">
        <f t="shared" si="27"/>
        <v>1390243.5</v>
      </c>
      <c r="L122" s="67">
        <f t="shared" si="27"/>
        <v>386006.85000000003</v>
      </c>
      <c r="M122" s="67">
        <f t="shared" si="27"/>
        <v>10226270.389999999</v>
      </c>
      <c r="N122" s="67">
        <f t="shared" si="27"/>
        <v>313883.77</v>
      </c>
      <c r="O122" s="67">
        <f t="shared" si="27"/>
        <v>78133.58</v>
      </c>
      <c r="P122" s="67">
        <f t="shared" si="27"/>
        <v>1915537.5899999999</v>
      </c>
      <c r="Q122" s="67">
        <f t="shared" si="27"/>
        <v>103015.62000000001</v>
      </c>
      <c r="R122" s="67">
        <f t="shared" si="27"/>
        <v>537.75</v>
      </c>
      <c r="S122" s="67">
        <f t="shared" si="27"/>
        <v>140154.57</v>
      </c>
      <c r="T122" s="67">
        <f t="shared" si="27"/>
        <v>61278.31</v>
      </c>
      <c r="U122" s="67">
        <f t="shared" si="27"/>
        <v>224663.18</v>
      </c>
      <c r="V122" s="67">
        <f t="shared" si="27"/>
        <v>264819.38</v>
      </c>
      <c r="W122" s="67">
        <f t="shared" si="27"/>
        <v>293780.13</v>
      </c>
      <c r="X122" s="67">
        <f t="shared" si="27"/>
        <v>1439741.95</v>
      </c>
      <c r="Y122" s="67">
        <f t="shared" si="27"/>
        <v>0</v>
      </c>
      <c r="Z122" s="67">
        <f t="shared" si="27"/>
        <v>-43502.30999999999</v>
      </c>
      <c r="AA122" s="67">
        <f t="shared" si="27"/>
        <v>5139268.8499999996</v>
      </c>
      <c r="AB122" s="67">
        <f t="shared" si="27"/>
        <v>66448.5</v>
      </c>
      <c r="AC122" s="67">
        <f t="shared" si="27"/>
        <v>30930.55</v>
      </c>
      <c r="AD122" s="67">
        <f t="shared" si="27"/>
        <v>360279.41000000003</v>
      </c>
      <c r="AE122" s="67">
        <f t="shared" si="27"/>
        <v>146295.12000000002</v>
      </c>
      <c r="AF122" s="67">
        <f t="shared" si="27"/>
        <v>20883.599999999999</v>
      </c>
      <c r="AG122" s="67">
        <f t="shared" si="27"/>
        <v>177481.53000000003</v>
      </c>
      <c r="AH122" s="67">
        <f t="shared" si="27"/>
        <v>1236141.22</v>
      </c>
      <c r="AI122" s="67">
        <f t="shared" si="27"/>
        <v>774396.68</v>
      </c>
      <c r="AJ122" s="67">
        <f t="shared" si="27"/>
        <v>607793.76</v>
      </c>
      <c r="AK122" s="67">
        <f t="shared" si="27"/>
        <v>60243.5</v>
      </c>
      <c r="AL122" s="67">
        <f t="shared" si="27"/>
        <v>149235.53</v>
      </c>
      <c r="AM122" s="67">
        <f t="shared" si="27"/>
        <v>400259.22</v>
      </c>
      <c r="AN122" s="67">
        <f t="shared" si="27"/>
        <v>373344.66</v>
      </c>
      <c r="AO122" s="67">
        <f t="shared" si="27"/>
        <v>25435.59</v>
      </c>
      <c r="AP122" s="67">
        <f t="shared" si="27"/>
        <v>1045617.86</v>
      </c>
      <c r="AQ122" s="67">
        <f t="shared" si="27"/>
        <v>356679.72</v>
      </c>
      <c r="AR122" s="67">
        <f t="shared" si="27"/>
        <v>115181.64</v>
      </c>
      <c r="AS122" s="67">
        <f t="shared" si="27"/>
        <v>779647.5</v>
      </c>
      <c r="AT122" s="67">
        <f t="shared" si="27"/>
        <v>578207.17999999993</v>
      </c>
      <c r="AU122" s="67">
        <f t="shared" si="27"/>
        <v>304650.16000000003</v>
      </c>
      <c r="AV122" s="67">
        <f t="shared" si="27"/>
        <v>41809.15</v>
      </c>
      <c r="AW122" s="67">
        <f t="shared" si="27"/>
        <v>169682.90999999997</v>
      </c>
      <c r="AX122" s="67">
        <f t="shared" si="27"/>
        <v>96698.8</v>
      </c>
      <c r="AY122" s="67">
        <f t="shared" si="27"/>
        <v>67075.53</v>
      </c>
      <c r="AZ122" s="67">
        <f t="shared" si="27"/>
        <v>124398.05</v>
      </c>
      <c r="BA122" s="67">
        <f t="shared" si="27"/>
        <v>1017304</v>
      </c>
      <c r="BB122" s="67">
        <f t="shared" si="27"/>
        <v>47647.15</v>
      </c>
      <c r="BC122" s="67">
        <f t="shared" si="27"/>
        <v>547198.9</v>
      </c>
      <c r="BD122" s="67">
        <f t="shared" si="27"/>
        <v>81146.8</v>
      </c>
      <c r="BE122" s="67">
        <f t="shared" si="27"/>
        <v>4206691.96</v>
      </c>
      <c r="BF122" s="67">
        <f t="shared" si="27"/>
        <v>275797.32999999996</v>
      </c>
      <c r="BG122" s="67">
        <f t="shared" si="19"/>
        <v>37578063.93</v>
      </c>
      <c r="BH122" s="67">
        <f t="shared" si="16"/>
        <v>18197693.879999999</v>
      </c>
      <c r="BI122" s="67">
        <f t="shared" si="17"/>
        <v>8576660.4100000001</v>
      </c>
      <c r="BJ122" s="67">
        <f t="shared" si="18"/>
        <v>10803709.640000001</v>
      </c>
    </row>
    <row r="123" spans="1:62" x14ac:dyDescent="0.25">
      <c r="D123">
        <v>2000</v>
      </c>
      <c r="E123" t="s">
        <v>398</v>
      </c>
      <c r="F123" s="4">
        <v>0</v>
      </c>
      <c r="G123" s="4">
        <v>94491.45</v>
      </c>
      <c r="H123" s="4">
        <v>203818.4</v>
      </c>
      <c r="I123" s="4">
        <v>196858.3</v>
      </c>
      <c r="J123" s="4">
        <v>770196.63</v>
      </c>
      <c r="K123" s="4">
        <v>929821.83</v>
      </c>
      <c r="L123" s="4">
        <v>307910.90000000002</v>
      </c>
      <c r="M123" s="4">
        <v>10012646.02</v>
      </c>
      <c r="N123" s="4">
        <v>313083.77</v>
      </c>
      <c r="O123" s="4">
        <v>0</v>
      </c>
      <c r="P123" s="4">
        <v>1581468.5</v>
      </c>
      <c r="Q123" s="4">
        <v>1300.05</v>
      </c>
      <c r="R123" s="4">
        <v>537.75</v>
      </c>
      <c r="S123" s="4">
        <v>140154.57</v>
      </c>
      <c r="T123" s="4">
        <v>52471.46</v>
      </c>
      <c r="U123" s="4">
        <v>224139.68</v>
      </c>
      <c r="V123" s="4">
        <v>110486.95</v>
      </c>
      <c r="W123" s="4">
        <v>187643.15</v>
      </c>
      <c r="X123" s="4">
        <v>558570.23</v>
      </c>
      <c r="Y123" s="4">
        <v>0</v>
      </c>
      <c r="Z123" s="4">
        <v>-3922.9</v>
      </c>
      <c r="AA123" s="4">
        <v>1061994.92</v>
      </c>
      <c r="AB123" s="4">
        <v>66448.5</v>
      </c>
      <c r="AC123" s="4">
        <v>16322.65</v>
      </c>
      <c r="AD123" s="4">
        <v>122557.12</v>
      </c>
      <c r="AE123" s="4">
        <v>152683.45000000001</v>
      </c>
      <c r="AF123" s="4">
        <v>4477.6000000000004</v>
      </c>
      <c r="AG123" s="4">
        <v>159070.13</v>
      </c>
      <c r="AH123" s="4">
        <v>1189813.32</v>
      </c>
      <c r="AI123" s="4">
        <v>774396.68</v>
      </c>
      <c r="AJ123" s="4">
        <v>0</v>
      </c>
      <c r="AK123" s="4">
        <v>15778.65</v>
      </c>
      <c r="AL123" s="4">
        <v>111596.68</v>
      </c>
      <c r="AM123" s="4">
        <v>400259.22</v>
      </c>
      <c r="AN123" s="4">
        <v>370934.66</v>
      </c>
      <c r="AO123" s="4">
        <v>25435.59</v>
      </c>
      <c r="AP123" s="4">
        <v>1044717.86</v>
      </c>
      <c r="AQ123" s="4">
        <v>97820.23</v>
      </c>
      <c r="AR123" s="4">
        <v>115181.64</v>
      </c>
      <c r="AS123" s="4">
        <v>779315</v>
      </c>
      <c r="AT123" s="4">
        <v>578189.69999999995</v>
      </c>
      <c r="AU123" s="4">
        <v>179283.45</v>
      </c>
      <c r="AV123" s="4">
        <v>41809.15</v>
      </c>
      <c r="AW123" s="4">
        <v>180760.55</v>
      </c>
      <c r="AX123" s="4">
        <v>96698.8</v>
      </c>
      <c r="AY123" s="4">
        <v>66325.53</v>
      </c>
      <c r="AZ123" s="4">
        <v>112792.7</v>
      </c>
      <c r="BA123" s="4">
        <v>1017304</v>
      </c>
      <c r="BB123" s="4">
        <v>47647.15</v>
      </c>
      <c r="BC123" s="4">
        <v>336340.88</v>
      </c>
      <c r="BD123" s="4">
        <v>54146.8</v>
      </c>
      <c r="BE123" s="4">
        <v>3951430.07</v>
      </c>
      <c r="BF123" s="4">
        <v>79105.850000000006</v>
      </c>
      <c r="BG123" s="31">
        <f t="shared" si="19"/>
        <v>28932315.269999996</v>
      </c>
      <c r="BH123" s="31">
        <f t="shared" si="16"/>
        <v>15685599.640000001</v>
      </c>
      <c r="BI123" s="31">
        <f t="shared" si="17"/>
        <v>3559620.12</v>
      </c>
      <c r="BJ123" s="31">
        <f t="shared" si="18"/>
        <v>9687095.5099999998</v>
      </c>
    </row>
    <row r="124" spans="1:62" x14ac:dyDescent="0.25">
      <c r="D124">
        <v>2001</v>
      </c>
      <c r="E124" t="s">
        <v>399</v>
      </c>
      <c r="F124" s="4">
        <v>0</v>
      </c>
      <c r="G124" s="4">
        <v>523.65</v>
      </c>
      <c r="H124" s="4">
        <v>0</v>
      </c>
      <c r="I124" s="4">
        <v>-2051.12</v>
      </c>
      <c r="J124" s="4">
        <v>0</v>
      </c>
      <c r="K124" s="4">
        <v>13960</v>
      </c>
      <c r="L124" s="4">
        <v>76095.95</v>
      </c>
      <c r="M124" s="4">
        <v>-4148.3100000000004</v>
      </c>
      <c r="N124" s="4">
        <v>0</v>
      </c>
      <c r="O124" s="4">
        <v>0</v>
      </c>
      <c r="P124" s="4">
        <v>171755</v>
      </c>
      <c r="Q124" s="4">
        <v>0</v>
      </c>
      <c r="R124" s="4">
        <v>0</v>
      </c>
      <c r="S124" s="4">
        <v>0</v>
      </c>
      <c r="T124" s="4">
        <v>0</v>
      </c>
      <c r="U124" s="4">
        <v>523.5</v>
      </c>
      <c r="V124" s="4">
        <v>154332.43</v>
      </c>
      <c r="W124" s="4">
        <v>0</v>
      </c>
      <c r="X124" s="4">
        <v>43264</v>
      </c>
      <c r="Y124" s="4">
        <v>0</v>
      </c>
      <c r="Z124" s="4">
        <v>-77978.649999999994</v>
      </c>
      <c r="AA124" s="4">
        <v>197092.19</v>
      </c>
      <c r="AB124" s="4">
        <v>0</v>
      </c>
      <c r="AC124" s="4">
        <v>14507.9</v>
      </c>
      <c r="AD124" s="4">
        <v>197468.65</v>
      </c>
      <c r="AE124" s="4">
        <v>5574.6</v>
      </c>
      <c r="AF124" s="4">
        <v>0</v>
      </c>
      <c r="AG124" s="4">
        <v>-2592.3000000000002</v>
      </c>
      <c r="AH124" s="4">
        <v>43107.9</v>
      </c>
      <c r="AI124" s="4">
        <v>0</v>
      </c>
      <c r="AJ124" s="4">
        <v>607793.76</v>
      </c>
      <c r="AK124" s="4">
        <v>43044.85</v>
      </c>
      <c r="AL124" s="4">
        <v>0</v>
      </c>
      <c r="AM124" s="4">
        <v>0</v>
      </c>
      <c r="AN124" s="4">
        <v>0</v>
      </c>
      <c r="AO124" s="4">
        <v>0</v>
      </c>
      <c r="AP124" s="4">
        <v>0</v>
      </c>
      <c r="AQ124" s="4">
        <v>258859.49</v>
      </c>
      <c r="AR124" s="4">
        <v>0</v>
      </c>
      <c r="AS124" s="4">
        <v>-1625</v>
      </c>
      <c r="AT124" s="4">
        <v>0</v>
      </c>
      <c r="AU124" s="4">
        <v>0</v>
      </c>
      <c r="AV124" s="4">
        <v>0</v>
      </c>
      <c r="AW124" s="4">
        <v>-1161.3499999999999</v>
      </c>
      <c r="AX124" s="4">
        <v>0</v>
      </c>
      <c r="AY124" s="4">
        <v>0</v>
      </c>
      <c r="AZ124" s="4">
        <v>11605.35</v>
      </c>
      <c r="BA124" s="4">
        <v>0</v>
      </c>
      <c r="BB124" s="4">
        <v>0</v>
      </c>
      <c r="BC124" s="4">
        <v>0</v>
      </c>
      <c r="BD124" s="4">
        <v>27000</v>
      </c>
      <c r="BE124" s="4">
        <v>68628.100000000006</v>
      </c>
      <c r="BF124" s="4">
        <v>0</v>
      </c>
      <c r="BG124" s="31">
        <f t="shared" si="19"/>
        <v>1845580.59</v>
      </c>
      <c r="BH124" s="31">
        <f t="shared" si="16"/>
        <v>454255.1</v>
      </c>
      <c r="BI124" s="31">
        <f t="shared" si="17"/>
        <v>1028018.9</v>
      </c>
      <c r="BJ124" s="31">
        <f t="shared" si="18"/>
        <v>363306.58999999997</v>
      </c>
    </row>
    <row r="125" spans="1:62" x14ac:dyDescent="0.25">
      <c r="D125">
        <v>2002</v>
      </c>
      <c r="E125" t="s">
        <v>400</v>
      </c>
      <c r="F125" s="4">
        <v>0</v>
      </c>
      <c r="G125" s="4">
        <v>0</v>
      </c>
      <c r="H125" s="4">
        <v>390</v>
      </c>
      <c r="I125" s="4">
        <v>0</v>
      </c>
      <c r="J125" s="4">
        <v>0</v>
      </c>
      <c r="K125" s="4">
        <v>35016.67</v>
      </c>
      <c r="L125" s="4">
        <v>0</v>
      </c>
      <c r="M125" s="4">
        <v>202191.35</v>
      </c>
      <c r="N125" s="4">
        <v>0</v>
      </c>
      <c r="O125" s="4">
        <v>0</v>
      </c>
      <c r="P125" s="4">
        <v>70796.39</v>
      </c>
      <c r="Q125" s="4">
        <v>0</v>
      </c>
      <c r="R125" s="4">
        <v>0</v>
      </c>
      <c r="S125" s="4">
        <v>0</v>
      </c>
      <c r="T125" s="4">
        <v>8806.85</v>
      </c>
      <c r="U125" s="4">
        <v>0</v>
      </c>
      <c r="V125" s="4">
        <v>0</v>
      </c>
      <c r="W125" s="4">
        <v>105746.98</v>
      </c>
      <c r="X125" s="4">
        <v>0</v>
      </c>
      <c r="Y125" s="4">
        <v>0</v>
      </c>
      <c r="Z125" s="4">
        <v>38399.24</v>
      </c>
      <c r="AA125" s="4">
        <v>3880181.74</v>
      </c>
      <c r="AB125" s="4">
        <v>0</v>
      </c>
      <c r="AC125" s="4">
        <v>0</v>
      </c>
      <c r="AD125" s="4">
        <v>0</v>
      </c>
      <c r="AE125" s="4">
        <v>-11962.93</v>
      </c>
      <c r="AF125" s="4">
        <v>16406</v>
      </c>
      <c r="AG125" s="4">
        <v>0</v>
      </c>
      <c r="AH125" s="4">
        <v>0</v>
      </c>
      <c r="AI125" s="4">
        <v>0</v>
      </c>
      <c r="AJ125" s="4">
        <v>0</v>
      </c>
      <c r="AK125" s="4">
        <v>0</v>
      </c>
      <c r="AL125" s="4">
        <v>35638.85</v>
      </c>
      <c r="AM125" s="4">
        <v>0</v>
      </c>
      <c r="AN125" s="4">
        <v>0</v>
      </c>
      <c r="AO125" s="4">
        <v>0</v>
      </c>
      <c r="AP125" s="4">
        <v>0</v>
      </c>
      <c r="AQ125" s="4">
        <v>0</v>
      </c>
      <c r="AR125" s="4">
        <v>0</v>
      </c>
      <c r="AS125" s="4">
        <v>1957.5</v>
      </c>
      <c r="AT125" s="4">
        <v>17.48</v>
      </c>
      <c r="AU125" s="4">
        <v>22238.7</v>
      </c>
      <c r="AV125" s="4">
        <v>0</v>
      </c>
      <c r="AW125" s="4">
        <v>-737.39</v>
      </c>
      <c r="AX125" s="4">
        <v>0</v>
      </c>
      <c r="AY125" s="4">
        <v>0</v>
      </c>
      <c r="AZ125" s="4">
        <v>0</v>
      </c>
      <c r="BA125" s="4">
        <v>0</v>
      </c>
      <c r="BB125" s="4">
        <v>0</v>
      </c>
      <c r="BC125" s="4">
        <v>130458.02</v>
      </c>
      <c r="BD125" s="4">
        <v>0</v>
      </c>
      <c r="BE125" s="4">
        <v>184749.2</v>
      </c>
      <c r="BF125" s="4">
        <v>5283.43</v>
      </c>
      <c r="BG125" s="31">
        <f t="shared" si="19"/>
        <v>4725578.080000001</v>
      </c>
      <c r="BH125" s="31">
        <f t="shared" si="16"/>
        <v>422948.24</v>
      </c>
      <c r="BI125" s="31">
        <f t="shared" si="17"/>
        <v>3923024.0500000003</v>
      </c>
      <c r="BJ125" s="31">
        <f t="shared" si="18"/>
        <v>379605.79</v>
      </c>
    </row>
    <row r="126" spans="1:62" x14ac:dyDescent="0.25">
      <c r="D126">
        <v>2003</v>
      </c>
      <c r="E126" t="s">
        <v>401</v>
      </c>
      <c r="F126" s="4">
        <v>0</v>
      </c>
      <c r="G126" s="4">
        <v>0</v>
      </c>
      <c r="H126" s="4">
        <v>0</v>
      </c>
      <c r="I126" s="4">
        <v>0</v>
      </c>
      <c r="J126" s="4">
        <v>0</v>
      </c>
      <c r="K126" s="4">
        <v>0</v>
      </c>
      <c r="L126" s="4">
        <v>0</v>
      </c>
      <c r="M126" s="4">
        <v>0</v>
      </c>
      <c r="N126" s="4">
        <v>0</v>
      </c>
      <c r="O126" s="4">
        <v>0</v>
      </c>
      <c r="P126" s="4">
        <v>81970</v>
      </c>
      <c r="Q126" s="4">
        <v>0</v>
      </c>
      <c r="R126" s="4">
        <v>0</v>
      </c>
      <c r="S126" s="4">
        <v>0</v>
      </c>
      <c r="T126" s="4">
        <v>0</v>
      </c>
      <c r="U126" s="4">
        <v>0</v>
      </c>
      <c r="V126" s="4">
        <v>0</v>
      </c>
      <c r="W126" s="4">
        <v>0</v>
      </c>
      <c r="X126" s="4">
        <v>0</v>
      </c>
      <c r="Y126" s="4">
        <v>0</v>
      </c>
      <c r="Z126" s="4">
        <v>0</v>
      </c>
      <c r="AA126" s="4">
        <v>0</v>
      </c>
      <c r="AB126" s="4">
        <v>0</v>
      </c>
      <c r="AC126" s="4">
        <v>100</v>
      </c>
      <c r="AD126" s="4">
        <v>0</v>
      </c>
      <c r="AE126" s="4">
        <v>0</v>
      </c>
      <c r="AF126" s="4">
        <v>0</v>
      </c>
      <c r="AG126" s="4">
        <v>0</v>
      </c>
      <c r="AH126" s="4">
        <v>0</v>
      </c>
      <c r="AI126" s="4">
        <v>0</v>
      </c>
      <c r="AJ126" s="4">
        <v>0</v>
      </c>
      <c r="AK126" s="4">
        <v>0</v>
      </c>
      <c r="AL126" s="4">
        <v>0</v>
      </c>
      <c r="AM126" s="4">
        <v>0</v>
      </c>
      <c r="AN126" s="4">
        <v>0</v>
      </c>
      <c r="AO126" s="4">
        <v>0</v>
      </c>
      <c r="AP126" s="4">
        <v>0</v>
      </c>
      <c r="AQ126" s="4">
        <v>0</v>
      </c>
      <c r="AR126" s="4">
        <v>0</v>
      </c>
      <c r="AS126" s="4">
        <v>0</v>
      </c>
      <c r="AT126" s="4">
        <v>0</v>
      </c>
      <c r="AU126" s="4">
        <v>0</v>
      </c>
      <c r="AV126" s="4">
        <v>0</v>
      </c>
      <c r="AW126" s="4">
        <v>0</v>
      </c>
      <c r="AX126" s="4">
        <v>0</v>
      </c>
      <c r="AY126" s="4">
        <v>0</v>
      </c>
      <c r="AZ126" s="4">
        <v>0</v>
      </c>
      <c r="BA126" s="4">
        <v>0</v>
      </c>
      <c r="BB126" s="4">
        <v>0</v>
      </c>
      <c r="BC126" s="4">
        <v>0</v>
      </c>
      <c r="BD126" s="4">
        <v>0</v>
      </c>
      <c r="BE126" s="4">
        <v>0</v>
      </c>
      <c r="BF126" s="4">
        <v>0</v>
      </c>
      <c r="BG126" s="31">
        <f t="shared" si="19"/>
        <v>82070</v>
      </c>
      <c r="BH126" s="31">
        <f t="shared" si="16"/>
        <v>81970</v>
      </c>
      <c r="BI126" s="31">
        <f t="shared" si="17"/>
        <v>100</v>
      </c>
      <c r="BJ126" s="31">
        <f t="shared" si="18"/>
        <v>0</v>
      </c>
    </row>
    <row r="127" spans="1:62" x14ac:dyDescent="0.25">
      <c r="D127">
        <v>2004</v>
      </c>
      <c r="E127" t="s">
        <v>402</v>
      </c>
      <c r="F127" s="4">
        <v>0</v>
      </c>
      <c r="G127" s="4">
        <v>0</v>
      </c>
      <c r="H127" s="4">
        <v>0</v>
      </c>
      <c r="I127" s="4">
        <v>0</v>
      </c>
      <c r="J127" s="4">
        <v>0</v>
      </c>
      <c r="K127" s="4">
        <v>400000</v>
      </c>
      <c r="L127" s="4">
        <v>0</v>
      </c>
      <c r="M127" s="4">
        <v>0</v>
      </c>
      <c r="N127" s="4">
        <v>0</v>
      </c>
      <c r="O127" s="4">
        <v>0</v>
      </c>
      <c r="P127" s="4">
        <v>0</v>
      </c>
      <c r="Q127" s="4">
        <v>0</v>
      </c>
      <c r="R127" s="4">
        <v>0</v>
      </c>
      <c r="S127" s="4">
        <v>0</v>
      </c>
      <c r="T127" s="4">
        <v>0</v>
      </c>
      <c r="U127" s="4">
        <v>0</v>
      </c>
      <c r="V127" s="4">
        <v>0</v>
      </c>
      <c r="W127" s="4">
        <v>0</v>
      </c>
      <c r="X127" s="4">
        <v>4693.1499999999996</v>
      </c>
      <c r="Y127" s="4">
        <v>0</v>
      </c>
      <c r="Z127" s="4">
        <v>0</v>
      </c>
      <c r="AA127" s="4">
        <v>0</v>
      </c>
      <c r="AB127" s="4">
        <v>0</v>
      </c>
      <c r="AC127" s="4">
        <v>0</v>
      </c>
      <c r="AD127" s="4">
        <v>0</v>
      </c>
      <c r="AE127" s="4">
        <v>0</v>
      </c>
      <c r="AF127" s="4">
        <v>0</v>
      </c>
      <c r="AG127" s="4">
        <v>0</v>
      </c>
      <c r="AH127" s="4">
        <v>0</v>
      </c>
      <c r="AI127" s="4">
        <v>0</v>
      </c>
      <c r="AJ127" s="4">
        <v>0</v>
      </c>
      <c r="AK127" s="4">
        <v>0</v>
      </c>
      <c r="AL127" s="4">
        <v>0</v>
      </c>
      <c r="AM127" s="4">
        <v>0</v>
      </c>
      <c r="AN127" s="4">
        <v>0</v>
      </c>
      <c r="AO127" s="4">
        <v>0</v>
      </c>
      <c r="AP127" s="4">
        <v>0</v>
      </c>
      <c r="AQ127" s="4">
        <v>0</v>
      </c>
      <c r="AR127" s="4">
        <v>0</v>
      </c>
      <c r="AS127" s="4">
        <v>0</v>
      </c>
      <c r="AT127" s="4">
        <v>0</v>
      </c>
      <c r="AU127" s="4">
        <v>0</v>
      </c>
      <c r="AV127" s="4">
        <v>0</v>
      </c>
      <c r="AW127" s="4">
        <v>0</v>
      </c>
      <c r="AX127" s="4">
        <v>0</v>
      </c>
      <c r="AY127" s="4">
        <v>0</v>
      </c>
      <c r="AZ127" s="4">
        <v>0</v>
      </c>
      <c r="BA127" s="4">
        <v>0</v>
      </c>
      <c r="BB127" s="4">
        <v>0</v>
      </c>
      <c r="BC127" s="4">
        <v>0</v>
      </c>
      <c r="BD127" s="4">
        <v>0</v>
      </c>
      <c r="BE127" s="4">
        <v>0</v>
      </c>
      <c r="BF127" s="4">
        <v>0</v>
      </c>
      <c r="BG127" s="31">
        <f t="shared" si="19"/>
        <v>404693.15</v>
      </c>
      <c r="BH127" s="31">
        <f t="shared" si="16"/>
        <v>404693.15</v>
      </c>
      <c r="BI127" s="31">
        <f t="shared" si="17"/>
        <v>0</v>
      </c>
      <c r="BJ127" s="31">
        <f t="shared" si="18"/>
        <v>0</v>
      </c>
    </row>
    <row r="128" spans="1:62" x14ac:dyDescent="0.25">
      <c r="D128">
        <v>2005</v>
      </c>
      <c r="E128" t="s">
        <v>323</v>
      </c>
      <c r="F128" s="4">
        <v>0</v>
      </c>
      <c r="G128" s="4">
        <v>0</v>
      </c>
      <c r="H128" s="4">
        <v>0</v>
      </c>
      <c r="I128" s="4">
        <v>94000</v>
      </c>
      <c r="J128" s="4">
        <v>0</v>
      </c>
      <c r="K128" s="4">
        <v>0</v>
      </c>
      <c r="L128" s="4">
        <v>0</v>
      </c>
      <c r="M128" s="4">
        <v>-10915.37</v>
      </c>
      <c r="N128" s="4">
        <v>0</v>
      </c>
      <c r="O128" s="4">
        <v>0</v>
      </c>
      <c r="P128" s="4">
        <v>0</v>
      </c>
      <c r="Q128" s="4">
        <v>101715.57</v>
      </c>
      <c r="R128" s="4">
        <v>0</v>
      </c>
      <c r="S128" s="4">
        <v>0</v>
      </c>
      <c r="T128" s="4">
        <v>0</v>
      </c>
      <c r="U128" s="4">
        <v>0</v>
      </c>
      <c r="V128" s="4">
        <v>0</v>
      </c>
      <c r="W128" s="4">
        <v>0</v>
      </c>
      <c r="X128" s="4">
        <v>831614.57</v>
      </c>
      <c r="Y128" s="4">
        <v>0</v>
      </c>
      <c r="Z128" s="4">
        <v>0</v>
      </c>
      <c r="AA128" s="4">
        <v>0</v>
      </c>
      <c r="AB128" s="4">
        <v>0</v>
      </c>
      <c r="AC128" s="4">
        <v>0</v>
      </c>
      <c r="AD128" s="4">
        <v>39893.64</v>
      </c>
      <c r="AE128" s="4">
        <v>0</v>
      </c>
      <c r="AF128" s="4">
        <v>0</v>
      </c>
      <c r="AG128" s="4">
        <v>21003.7</v>
      </c>
      <c r="AH128" s="4">
        <v>0</v>
      </c>
      <c r="AI128" s="4">
        <v>0</v>
      </c>
      <c r="AJ128" s="4">
        <v>0</v>
      </c>
      <c r="AK128" s="4">
        <v>0</v>
      </c>
      <c r="AL128" s="4">
        <v>0</v>
      </c>
      <c r="AM128" s="4">
        <v>0</v>
      </c>
      <c r="AN128" s="4">
        <v>0</v>
      </c>
      <c r="AO128" s="4">
        <v>0</v>
      </c>
      <c r="AP128" s="4">
        <v>0</v>
      </c>
      <c r="AQ128" s="4">
        <v>0</v>
      </c>
      <c r="AR128" s="4">
        <v>0</v>
      </c>
      <c r="AS128" s="4">
        <v>0</v>
      </c>
      <c r="AT128" s="4">
        <v>0</v>
      </c>
      <c r="AU128" s="4">
        <v>103128.01</v>
      </c>
      <c r="AV128" s="4">
        <v>0</v>
      </c>
      <c r="AW128" s="4">
        <v>-13578.9</v>
      </c>
      <c r="AX128" s="4">
        <v>0</v>
      </c>
      <c r="AY128" s="4">
        <v>0</v>
      </c>
      <c r="AZ128" s="4">
        <v>0</v>
      </c>
      <c r="BA128" s="4">
        <v>0</v>
      </c>
      <c r="BB128" s="4">
        <v>0</v>
      </c>
      <c r="BC128" s="4">
        <v>0</v>
      </c>
      <c r="BD128" s="4">
        <v>0</v>
      </c>
      <c r="BE128" s="4">
        <v>-1475.41</v>
      </c>
      <c r="BF128" s="4">
        <v>191408.05</v>
      </c>
      <c r="BG128" s="31">
        <f t="shared" si="19"/>
        <v>1356793.86</v>
      </c>
      <c r="BH128" s="31">
        <f t="shared" si="16"/>
        <v>1016414.77</v>
      </c>
      <c r="BI128" s="31">
        <f t="shared" si="17"/>
        <v>60897.34</v>
      </c>
      <c r="BJ128" s="31">
        <f t="shared" si="18"/>
        <v>279481.75</v>
      </c>
    </row>
    <row r="129" spans="3:62" x14ac:dyDescent="0.25">
      <c r="D129">
        <v>2006</v>
      </c>
      <c r="E129" t="s">
        <v>447</v>
      </c>
      <c r="F129" s="4">
        <v>0</v>
      </c>
      <c r="G129" s="4">
        <v>1400</v>
      </c>
      <c r="H129" s="4">
        <v>0</v>
      </c>
      <c r="I129" s="4">
        <v>0</v>
      </c>
      <c r="J129" s="4">
        <v>0</v>
      </c>
      <c r="K129" s="4">
        <v>11445</v>
      </c>
      <c r="L129" s="4">
        <v>2000</v>
      </c>
      <c r="M129" s="4">
        <v>26496.7</v>
      </c>
      <c r="N129" s="4">
        <v>800</v>
      </c>
      <c r="O129" s="4">
        <v>0</v>
      </c>
      <c r="P129" s="4">
        <v>9547.7000000000007</v>
      </c>
      <c r="Q129" s="4">
        <v>0</v>
      </c>
      <c r="R129" s="4">
        <v>0</v>
      </c>
      <c r="S129" s="4">
        <v>0</v>
      </c>
      <c r="T129" s="4">
        <v>0</v>
      </c>
      <c r="U129" s="4">
        <v>0</v>
      </c>
      <c r="V129" s="4">
        <v>0</v>
      </c>
      <c r="W129" s="4">
        <v>390</v>
      </c>
      <c r="X129" s="4">
        <v>1600</v>
      </c>
      <c r="Y129" s="4">
        <v>0</v>
      </c>
      <c r="Z129" s="4">
        <v>0</v>
      </c>
      <c r="AA129" s="4">
        <v>0</v>
      </c>
      <c r="AB129" s="4">
        <v>0</v>
      </c>
      <c r="AC129" s="4">
        <v>0</v>
      </c>
      <c r="AD129" s="4">
        <v>360</v>
      </c>
      <c r="AE129" s="4">
        <v>0</v>
      </c>
      <c r="AF129" s="4">
        <v>0</v>
      </c>
      <c r="AG129" s="4">
        <v>0</v>
      </c>
      <c r="AH129" s="4">
        <v>3220</v>
      </c>
      <c r="AI129" s="4">
        <v>0</v>
      </c>
      <c r="AJ129" s="4">
        <v>0</v>
      </c>
      <c r="AK129" s="4">
        <v>1420</v>
      </c>
      <c r="AL129" s="4">
        <v>2000</v>
      </c>
      <c r="AM129" s="4">
        <v>0</v>
      </c>
      <c r="AN129" s="4">
        <v>2410</v>
      </c>
      <c r="AO129" s="4">
        <v>0</v>
      </c>
      <c r="AP129" s="4">
        <v>900</v>
      </c>
      <c r="AQ129" s="4">
        <v>0</v>
      </c>
      <c r="AR129" s="4">
        <v>0</v>
      </c>
      <c r="AS129" s="4">
        <v>0</v>
      </c>
      <c r="AT129" s="4">
        <v>0</v>
      </c>
      <c r="AU129" s="4">
        <v>0</v>
      </c>
      <c r="AV129" s="4">
        <v>0</v>
      </c>
      <c r="AW129" s="4">
        <v>4400</v>
      </c>
      <c r="AX129" s="4">
        <v>0</v>
      </c>
      <c r="AY129" s="4">
        <v>750</v>
      </c>
      <c r="AZ129" s="4">
        <v>0</v>
      </c>
      <c r="BA129" s="4">
        <v>0</v>
      </c>
      <c r="BB129" s="4">
        <v>0</v>
      </c>
      <c r="BC129" s="4">
        <v>0</v>
      </c>
      <c r="BD129" s="4">
        <v>0</v>
      </c>
      <c r="BE129" s="4">
        <v>3360</v>
      </c>
      <c r="BF129" s="4">
        <v>0</v>
      </c>
      <c r="BG129" s="31">
        <f t="shared" si="19"/>
        <v>72499.399999999994</v>
      </c>
      <c r="BH129" s="31">
        <f t="shared" si="16"/>
        <v>53679.399999999994</v>
      </c>
      <c r="BI129" s="31">
        <f t="shared" si="17"/>
        <v>5000</v>
      </c>
      <c r="BJ129" s="31">
        <f t="shared" si="18"/>
        <v>13820</v>
      </c>
    </row>
    <row r="130" spans="3:62" x14ac:dyDescent="0.25">
      <c r="D130">
        <v>2009</v>
      </c>
      <c r="E130" t="s">
        <v>404</v>
      </c>
      <c r="F130" s="4">
        <v>0</v>
      </c>
      <c r="G130" s="4">
        <v>0</v>
      </c>
      <c r="H130" s="4">
        <v>0</v>
      </c>
      <c r="I130" s="4">
        <v>0</v>
      </c>
      <c r="J130" s="4">
        <v>0</v>
      </c>
      <c r="K130" s="4">
        <v>0</v>
      </c>
      <c r="L130" s="4">
        <v>0</v>
      </c>
      <c r="M130" s="4">
        <v>0</v>
      </c>
      <c r="N130" s="4">
        <v>0</v>
      </c>
      <c r="O130" s="4">
        <v>78133.58</v>
      </c>
      <c r="P130" s="4">
        <v>0</v>
      </c>
      <c r="Q130" s="4">
        <v>0</v>
      </c>
      <c r="R130" s="4">
        <v>0</v>
      </c>
      <c r="S130" s="4">
        <v>0</v>
      </c>
      <c r="T130" s="4">
        <v>0</v>
      </c>
      <c r="U130" s="4">
        <v>0</v>
      </c>
      <c r="V130" s="4">
        <v>0</v>
      </c>
      <c r="W130" s="4">
        <v>0</v>
      </c>
      <c r="X130" s="4">
        <v>0</v>
      </c>
      <c r="Y130" s="4">
        <v>0</v>
      </c>
      <c r="Z130" s="4">
        <v>0</v>
      </c>
      <c r="AA130" s="4">
        <v>0</v>
      </c>
      <c r="AB130" s="4">
        <v>0</v>
      </c>
      <c r="AC130" s="4">
        <v>0</v>
      </c>
      <c r="AD130" s="4">
        <v>0</v>
      </c>
      <c r="AE130" s="4">
        <v>0</v>
      </c>
      <c r="AF130" s="4">
        <v>0</v>
      </c>
      <c r="AG130" s="4">
        <v>0</v>
      </c>
      <c r="AH130" s="4">
        <v>0</v>
      </c>
      <c r="AI130" s="4">
        <v>0</v>
      </c>
      <c r="AJ130" s="4">
        <v>0</v>
      </c>
      <c r="AK130" s="4">
        <v>0</v>
      </c>
      <c r="AL130" s="4">
        <v>0</v>
      </c>
      <c r="AM130" s="4">
        <v>0</v>
      </c>
      <c r="AN130" s="4">
        <v>0</v>
      </c>
      <c r="AO130" s="4">
        <v>0</v>
      </c>
      <c r="AP130" s="4">
        <v>0</v>
      </c>
      <c r="AQ130" s="4">
        <v>0</v>
      </c>
      <c r="AR130" s="4">
        <v>0</v>
      </c>
      <c r="AS130" s="4">
        <v>0</v>
      </c>
      <c r="AT130" s="4">
        <v>0</v>
      </c>
      <c r="AU130" s="4">
        <v>0</v>
      </c>
      <c r="AV130" s="4">
        <v>0</v>
      </c>
      <c r="AW130" s="4">
        <v>0</v>
      </c>
      <c r="AX130" s="4">
        <v>0</v>
      </c>
      <c r="AY130" s="4">
        <v>0</v>
      </c>
      <c r="AZ130" s="4">
        <v>0</v>
      </c>
      <c r="BA130" s="4">
        <v>0</v>
      </c>
      <c r="BB130" s="4">
        <v>0</v>
      </c>
      <c r="BC130" s="4">
        <v>80400</v>
      </c>
      <c r="BD130" s="4">
        <v>0</v>
      </c>
      <c r="BE130" s="4">
        <v>0</v>
      </c>
      <c r="BF130" s="4">
        <v>0</v>
      </c>
      <c r="BG130" s="31">
        <f t="shared" si="19"/>
        <v>158533.58000000002</v>
      </c>
      <c r="BH130" s="31">
        <f t="shared" si="16"/>
        <v>78133.58</v>
      </c>
      <c r="BI130" s="31">
        <f t="shared" si="17"/>
        <v>0</v>
      </c>
      <c r="BJ130" s="31">
        <f t="shared" si="18"/>
        <v>80400</v>
      </c>
    </row>
    <row r="131" spans="3:62" x14ac:dyDescent="0.25">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31"/>
      <c r="BH131" s="31"/>
      <c r="BI131" s="31"/>
      <c r="BJ131" s="31"/>
    </row>
    <row r="132" spans="3:62" x14ac:dyDescent="0.25">
      <c r="C132" s="66">
        <v>201</v>
      </c>
      <c r="D132" s="66"/>
      <c r="E132" s="66" t="s">
        <v>254</v>
      </c>
      <c r="F132" s="67">
        <f>F133+F134+F135+F136+F137+F138+F139+F140</f>
        <v>5748056.3600000003</v>
      </c>
      <c r="G132" s="67">
        <f t="shared" ref="G132:BF132" si="28">G133+G134+G135+G136+G137+G138+G139+G140</f>
        <v>308700</v>
      </c>
      <c r="H132" s="67">
        <f t="shared" si="28"/>
        <v>140800</v>
      </c>
      <c r="I132" s="67">
        <f t="shared" si="28"/>
        <v>252741.71999999997</v>
      </c>
      <c r="J132" s="67">
        <f t="shared" si="28"/>
        <v>5587130.7400000002</v>
      </c>
      <c r="K132" s="67">
        <f t="shared" si="28"/>
        <v>6015550</v>
      </c>
      <c r="L132" s="67">
        <f t="shared" si="28"/>
        <v>390000</v>
      </c>
      <c r="M132" s="67">
        <f t="shared" si="28"/>
        <v>37051659</v>
      </c>
      <c r="N132" s="67">
        <f t="shared" si="28"/>
        <v>267000</v>
      </c>
      <c r="O132" s="67">
        <f t="shared" si="28"/>
        <v>0</v>
      </c>
      <c r="P132" s="67">
        <f t="shared" si="28"/>
        <v>16290985.550000001</v>
      </c>
      <c r="Q132" s="67">
        <f t="shared" si="28"/>
        <v>1214136.27</v>
      </c>
      <c r="R132" s="67">
        <f t="shared" si="28"/>
        <v>120408.18</v>
      </c>
      <c r="S132" s="67">
        <f t="shared" si="28"/>
        <v>0</v>
      </c>
      <c r="T132" s="67">
        <f t="shared" si="28"/>
        <v>2979081.9000000004</v>
      </c>
      <c r="U132" s="67">
        <f t="shared" si="28"/>
        <v>0</v>
      </c>
      <c r="V132" s="67">
        <f t="shared" si="28"/>
        <v>168291.86</v>
      </c>
      <c r="W132" s="67">
        <f t="shared" si="28"/>
        <v>235989.22999999998</v>
      </c>
      <c r="X132" s="67">
        <f t="shared" si="28"/>
        <v>2545622.62</v>
      </c>
      <c r="Y132" s="67">
        <f t="shared" si="28"/>
        <v>405605</v>
      </c>
      <c r="Z132" s="67">
        <f t="shared" si="28"/>
        <v>1490285.95</v>
      </c>
      <c r="AA132" s="67">
        <f t="shared" si="28"/>
        <v>2640000</v>
      </c>
      <c r="AB132" s="67">
        <f t="shared" si="28"/>
        <v>0</v>
      </c>
      <c r="AC132" s="67">
        <f t="shared" si="28"/>
        <v>12500</v>
      </c>
      <c r="AD132" s="67">
        <f t="shared" si="28"/>
        <v>1235051.02</v>
      </c>
      <c r="AE132" s="67">
        <f t="shared" si="28"/>
        <v>-22825.81</v>
      </c>
      <c r="AF132" s="67">
        <f t="shared" si="28"/>
        <v>587125.71</v>
      </c>
      <c r="AG132" s="67">
        <f t="shared" si="28"/>
        <v>490796.39999999997</v>
      </c>
      <c r="AH132" s="67">
        <f t="shared" si="28"/>
        <v>876760.84</v>
      </c>
      <c r="AI132" s="67">
        <f t="shared" si="28"/>
        <v>1234262.1499999999</v>
      </c>
      <c r="AJ132" s="67">
        <f t="shared" si="28"/>
        <v>239485.96</v>
      </c>
      <c r="AK132" s="67">
        <f t="shared" si="28"/>
        <v>148300</v>
      </c>
      <c r="AL132" s="67">
        <f t="shared" si="28"/>
        <v>496152.57</v>
      </c>
      <c r="AM132" s="67">
        <f t="shared" si="28"/>
        <v>573216.67000000004</v>
      </c>
      <c r="AN132" s="67">
        <f t="shared" si="28"/>
        <v>377313.03</v>
      </c>
      <c r="AO132" s="67">
        <f t="shared" si="28"/>
        <v>0</v>
      </c>
      <c r="AP132" s="67">
        <f t="shared" si="28"/>
        <v>0</v>
      </c>
      <c r="AQ132" s="67">
        <f t="shared" si="28"/>
        <v>102400</v>
      </c>
      <c r="AR132" s="67">
        <f t="shared" si="28"/>
        <v>536240</v>
      </c>
      <c r="AS132" s="67">
        <f t="shared" si="28"/>
        <v>1050</v>
      </c>
      <c r="AT132" s="67">
        <f t="shared" si="28"/>
        <v>249777.17</v>
      </c>
      <c r="AU132" s="67">
        <f t="shared" si="28"/>
        <v>294313</v>
      </c>
      <c r="AV132" s="67">
        <f t="shared" si="28"/>
        <v>19300</v>
      </c>
      <c r="AW132" s="67">
        <f t="shared" si="28"/>
        <v>0</v>
      </c>
      <c r="AX132" s="67">
        <f t="shared" si="28"/>
        <v>666341.01</v>
      </c>
      <c r="AY132" s="67">
        <f t="shared" si="28"/>
        <v>0</v>
      </c>
      <c r="AZ132" s="67">
        <f t="shared" si="28"/>
        <v>0</v>
      </c>
      <c r="BA132" s="67">
        <f t="shared" si="28"/>
        <v>999818.38</v>
      </c>
      <c r="BB132" s="67">
        <f t="shared" si="28"/>
        <v>1162137.02</v>
      </c>
      <c r="BC132" s="67">
        <f t="shared" si="28"/>
        <v>2681903.5300000003</v>
      </c>
      <c r="BD132" s="67">
        <f t="shared" si="28"/>
        <v>0</v>
      </c>
      <c r="BE132" s="67">
        <f t="shared" si="28"/>
        <v>10280540</v>
      </c>
      <c r="BF132" s="67">
        <f t="shared" si="28"/>
        <v>185450.16</v>
      </c>
      <c r="BG132" s="67">
        <f t="shared" si="19"/>
        <v>107279453.19000001</v>
      </c>
      <c r="BH132" s="67">
        <f t="shared" si="16"/>
        <v>79316153.430000022</v>
      </c>
      <c r="BI132" s="67">
        <f t="shared" si="17"/>
        <v>9337347.2200000025</v>
      </c>
      <c r="BJ132" s="67">
        <f t="shared" si="18"/>
        <v>18625952.539999999</v>
      </c>
    </row>
    <row r="133" spans="3:62" x14ac:dyDescent="0.25">
      <c r="D133">
        <v>2010</v>
      </c>
      <c r="E133" t="s">
        <v>405</v>
      </c>
      <c r="F133" s="4">
        <v>5619656.3600000003</v>
      </c>
      <c r="G133" s="4">
        <v>200000</v>
      </c>
      <c r="H133" s="4">
        <v>0</v>
      </c>
      <c r="I133" s="4">
        <v>88825.89</v>
      </c>
      <c r="J133" s="4">
        <v>5587130.7400000002</v>
      </c>
      <c r="K133" s="4">
        <v>5930000</v>
      </c>
      <c r="L133" s="4">
        <v>390000</v>
      </c>
      <c r="M133" s="4">
        <v>0</v>
      </c>
      <c r="N133" s="4">
        <v>0</v>
      </c>
      <c r="O133" s="4">
        <v>0</v>
      </c>
      <c r="P133" s="4">
        <v>0</v>
      </c>
      <c r="Q133" s="4">
        <v>1214173.47</v>
      </c>
      <c r="R133" s="4">
        <v>120408.18</v>
      </c>
      <c r="S133" s="4">
        <v>0</v>
      </c>
      <c r="T133" s="4">
        <v>2471657.64</v>
      </c>
      <c r="U133" s="4">
        <v>0</v>
      </c>
      <c r="V133" s="4">
        <v>108091.86</v>
      </c>
      <c r="W133" s="4">
        <v>99494.23</v>
      </c>
      <c r="X133" s="4">
        <v>1245622.6200000001</v>
      </c>
      <c r="Y133" s="4">
        <v>0</v>
      </c>
      <c r="Z133" s="4">
        <v>0</v>
      </c>
      <c r="AA133" s="4">
        <v>2640000</v>
      </c>
      <c r="AB133" s="4">
        <v>0</v>
      </c>
      <c r="AC133" s="4">
        <v>12500</v>
      </c>
      <c r="AD133" s="4">
        <v>1171611.02</v>
      </c>
      <c r="AE133" s="4">
        <v>-22825.81</v>
      </c>
      <c r="AF133" s="4">
        <v>87725.71</v>
      </c>
      <c r="AG133" s="4">
        <v>449117.3</v>
      </c>
      <c r="AH133" s="4">
        <v>876760.84</v>
      </c>
      <c r="AI133" s="4">
        <v>0</v>
      </c>
      <c r="AJ133" s="4">
        <v>180498.96</v>
      </c>
      <c r="AK133" s="4">
        <v>0</v>
      </c>
      <c r="AL133" s="4">
        <v>3152.57</v>
      </c>
      <c r="AM133" s="4">
        <v>258916.67</v>
      </c>
      <c r="AN133" s="4">
        <v>230143.03</v>
      </c>
      <c r="AO133" s="4">
        <v>0</v>
      </c>
      <c r="AP133" s="4">
        <v>0</v>
      </c>
      <c r="AQ133" s="4">
        <v>0</v>
      </c>
      <c r="AR133" s="4">
        <v>0</v>
      </c>
      <c r="AS133" s="4">
        <v>0</v>
      </c>
      <c r="AT133" s="4">
        <v>5497.17</v>
      </c>
      <c r="AU133" s="4">
        <v>0</v>
      </c>
      <c r="AV133" s="4">
        <v>0</v>
      </c>
      <c r="AW133" s="4">
        <v>0</v>
      </c>
      <c r="AX133" s="4">
        <v>30041.01</v>
      </c>
      <c r="AY133" s="4">
        <v>0</v>
      </c>
      <c r="AZ133" s="4">
        <v>0</v>
      </c>
      <c r="BA133" s="4">
        <v>220968.38</v>
      </c>
      <c r="BB133" s="4">
        <v>1162137.02</v>
      </c>
      <c r="BC133" s="4">
        <v>1588143.53</v>
      </c>
      <c r="BD133" s="4">
        <v>0</v>
      </c>
      <c r="BE133" s="4">
        <v>3000000</v>
      </c>
      <c r="BF133" s="4">
        <v>37365.160000000003</v>
      </c>
      <c r="BG133" s="31">
        <f t="shared" si="19"/>
        <v>35006813.550000012</v>
      </c>
      <c r="BH133" s="31">
        <f t="shared" si="16"/>
        <v>23075060.990000002</v>
      </c>
      <c r="BI133" s="31">
        <f t="shared" si="17"/>
        <v>5395388.0199999996</v>
      </c>
      <c r="BJ133" s="31">
        <f t="shared" si="18"/>
        <v>6536364.54</v>
      </c>
    </row>
    <row r="134" spans="3:62" x14ac:dyDescent="0.25">
      <c r="D134">
        <v>2011</v>
      </c>
      <c r="E134" t="s">
        <v>406</v>
      </c>
      <c r="F134" s="4">
        <v>0</v>
      </c>
      <c r="G134" s="4">
        <v>0</v>
      </c>
      <c r="H134" s="4">
        <v>0</v>
      </c>
      <c r="I134" s="4">
        <v>163915.82999999999</v>
      </c>
      <c r="J134" s="4">
        <v>0</v>
      </c>
      <c r="K134" s="4">
        <v>0</v>
      </c>
      <c r="L134" s="4">
        <v>0</v>
      </c>
      <c r="M134" s="4">
        <v>0</v>
      </c>
      <c r="N134" s="4">
        <v>0</v>
      </c>
      <c r="O134" s="4">
        <v>0</v>
      </c>
      <c r="P134" s="4">
        <v>11000000</v>
      </c>
      <c r="Q134" s="4">
        <v>-37.200000000000003</v>
      </c>
      <c r="R134" s="4">
        <v>0</v>
      </c>
      <c r="S134" s="4">
        <v>0</v>
      </c>
      <c r="T134" s="4">
        <v>507424.26</v>
      </c>
      <c r="U134" s="4">
        <v>0</v>
      </c>
      <c r="V134" s="4">
        <v>0</v>
      </c>
      <c r="W134" s="4">
        <v>0</v>
      </c>
      <c r="X134" s="4">
        <v>1300000</v>
      </c>
      <c r="Y134" s="4">
        <v>0</v>
      </c>
      <c r="Z134" s="4">
        <v>0</v>
      </c>
      <c r="AA134" s="4">
        <v>0</v>
      </c>
      <c r="AB134" s="4">
        <v>0</v>
      </c>
      <c r="AC134" s="4">
        <v>0</v>
      </c>
      <c r="AD134" s="4">
        <v>0</v>
      </c>
      <c r="AE134" s="4">
        <v>0</v>
      </c>
      <c r="AF134" s="4">
        <v>0</v>
      </c>
      <c r="AG134" s="4">
        <v>17479.099999999999</v>
      </c>
      <c r="AH134" s="4">
        <v>0</v>
      </c>
      <c r="AI134" s="4">
        <v>0</v>
      </c>
      <c r="AJ134" s="4">
        <v>0</v>
      </c>
      <c r="AK134" s="4">
        <v>0</v>
      </c>
      <c r="AL134" s="4">
        <v>0</v>
      </c>
      <c r="AM134" s="4">
        <v>0</v>
      </c>
      <c r="AN134" s="4">
        <v>-120000</v>
      </c>
      <c r="AO134" s="4">
        <v>0</v>
      </c>
      <c r="AP134" s="4">
        <v>0</v>
      </c>
      <c r="AQ134" s="4">
        <v>0</v>
      </c>
      <c r="AR134" s="4">
        <v>0</v>
      </c>
      <c r="AS134" s="4">
        <v>0</v>
      </c>
      <c r="AT134" s="4">
        <v>0</v>
      </c>
      <c r="AU134" s="4">
        <v>0</v>
      </c>
      <c r="AV134" s="4">
        <v>0</v>
      </c>
      <c r="AW134" s="4">
        <v>0</v>
      </c>
      <c r="AX134" s="4">
        <v>0</v>
      </c>
      <c r="AY134" s="4">
        <v>0</v>
      </c>
      <c r="AZ134" s="4">
        <v>0</v>
      </c>
      <c r="BA134" s="4">
        <v>0</v>
      </c>
      <c r="BB134" s="4">
        <v>0</v>
      </c>
      <c r="BC134" s="4">
        <v>0</v>
      </c>
      <c r="BD134" s="4">
        <v>0</v>
      </c>
      <c r="BE134" s="4">
        <v>0</v>
      </c>
      <c r="BF134" s="4">
        <v>0</v>
      </c>
      <c r="BG134" s="31">
        <f t="shared" si="19"/>
        <v>12868781.99</v>
      </c>
      <c r="BH134" s="31">
        <f t="shared" si="16"/>
        <v>12971302.890000001</v>
      </c>
      <c r="BI134" s="31">
        <f t="shared" si="17"/>
        <v>17479.099999999999</v>
      </c>
      <c r="BJ134" s="31">
        <f t="shared" si="18"/>
        <v>-120000</v>
      </c>
    </row>
    <row r="135" spans="3:62" x14ac:dyDescent="0.25">
      <c r="D135">
        <v>2012</v>
      </c>
      <c r="E135" t="s">
        <v>407</v>
      </c>
      <c r="F135" s="4">
        <v>0</v>
      </c>
      <c r="G135" s="4">
        <v>0</v>
      </c>
      <c r="H135" s="4">
        <v>0</v>
      </c>
      <c r="I135" s="4">
        <v>0</v>
      </c>
      <c r="J135" s="4">
        <v>0</v>
      </c>
      <c r="K135" s="4">
        <v>0</v>
      </c>
      <c r="L135" s="4">
        <v>0</v>
      </c>
      <c r="M135" s="4">
        <v>0</v>
      </c>
      <c r="N135" s="4">
        <v>0</v>
      </c>
      <c r="O135" s="4">
        <v>0</v>
      </c>
      <c r="P135" s="4">
        <v>0</v>
      </c>
      <c r="Q135" s="4">
        <v>0</v>
      </c>
      <c r="R135" s="4">
        <v>0</v>
      </c>
      <c r="S135" s="4">
        <v>0</v>
      </c>
      <c r="T135" s="4">
        <v>0</v>
      </c>
      <c r="U135" s="4">
        <v>0</v>
      </c>
      <c r="V135" s="4">
        <v>0</v>
      </c>
      <c r="W135" s="4">
        <v>0</v>
      </c>
      <c r="X135" s="4">
        <v>0</v>
      </c>
      <c r="Y135" s="4">
        <v>0</v>
      </c>
      <c r="Z135" s="4">
        <v>0</v>
      </c>
      <c r="AA135" s="4">
        <v>0</v>
      </c>
      <c r="AB135" s="4">
        <v>0</v>
      </c>
      <c r="AC135" s="4">
        <v>0</v>
      </c>
      <c r="AD135" s="4">
        <v>0</v>
      </c>
      <c r="AE135" s="4">
        <v>0</v>
      </c>
      <c r="AF135" s="4">
        <v>0</v>
      </c>
      <c r="AG135" s="4">
        <v>0</v>
      </c>
      <c r="AH135" s="4">
        <v>0</v>
      </c>
      <c r="AI135" s="4">
        <v>0</v>
      </c>
      <c r="AJ135" s="4">
        <v>0</v>
      </c>
      <c r="AK135" s="4">
        <v>0</v>
      </c>
      <c r="AL135" s="4">
        <v>0</v>
      </c>
      <c r="AM135" s="4">
        <v>0</v>
      </c>
      <c r="AN135" s="4">
        <v>0</v>
      </c>
      <c r="AO135" s="4">
        <v>0</v>
      </c>
      <c r="AP135" s="4">
        <v>0</v>
      </c>
      <c r="AQ135" s="4">
        <v>0</v>
      </c>
      <c r="AR135" s="4">
        <v>0</v>
      </c>
      <c r="AS135" s="4">
        <v>0</v>
      </c>
      <c r="AT135" s="4">
        <v>0</v>
      </c>
      <c r="AU135" s="4">
        <v>0</v>
      </c>
      <c r="AV135" s="4">
        <v>0</v>
      </c>
      <c r="AW135" s="4">
        <v>0</v>
      </c>
      <c r="AX135" s="4">
        <v>0</v>
      </c>
      <c r="AY135" s="4">
        <v>0</v>
      </c>
      <c r="AZ135" s="4">
        <v>0</v>
      </c>
      <c r="BA135" s="4">
        <v>0</v>
      </c>
      <c r="BB135" s="4">
        <v>0</v>
      </c>
      <c r="BC135" s="4">
        <v>0</v>
      </c>
      <c r="BD135" s="4">
        <v>0</v>
      </c>
      <c r="BE135" s="4">
        <v>0</v>
      </c>
      <c r="BF135" s="4">
        <v>0</v>
      </c>
      <c r="BG135" s="31">
        <f t="shared" si="19"/>
        <v>0</v>
      </c>
      <c r="BH135" s="31">
        <f t="shared" ref="BH135:BH198" si="29">SUM(F135:X135)</f>
        <v>0</v>
      </c>
      <c r="BI135" s="31">
        <f t="shared" ref="BI135:BI198" si="30">SUM(Y135:AK135)</f>
        <v>0</v>
      </c>
      <c r="BJ135" s="31">
        <f t="shared" ref="BJ135:BJ198" si="31">SUM(AL135:BF135)</f>
        <v>0</v>
      </c>
    </row>
    <row r="136" spans="3:62" x14ac:dyDescent="0.25">
      <c r="D136">
        <v>2013</v>
      </c>
      <c r="E136" t="s">
        <v>408</v>
      </c>
      <c r="F136" s="4">
        <v>0</v>
      </c>
      <c r="G136" s="4">
        <v>0</v>
      </c>
      <c r="H136" s="4">
        <v>0</v>
      </c>
      <c r="I136" s="4">
        <v>0</v>
      </c>
      <c r="J136" s="4">
        <v>0</v>
      </c>
      <c r="K136" s="4">
        <v>0</v>
      </c>
      <c r="L136" s="4">
        <v>0</v>
      </c>
      <c r="M136" s="4">
        <v>0</v>
      </c>
      <c r="N136" s="4">
        <v>0</v>
      </c>
      <c r="O136" s="4">
        <v>0</v>
      </c>
      <c r="P136" s="4">
        <v>0</v>
      </c>
      <c r="Q136" s="4">
        <v>0</v>
      </c>
      <c r="R136" s="4">
        <v>0</v>
      </c>
      <c r="S136" s="4">
        <v>0</v>
      </c>
      <c r="T136" s="4">
        <v>0</v>
      </c>
      <c r="U136" s="4">
        <v>0</v>
      </c>
      <c r="V136" s="4">
        <v>0</v>
      </c>
      <c r="W136" s="4">
        <v>0</v>
      </c>
      <c r="X136" s="4">
        <v>0</v>
      </c>
      <c r="Y136" s="4">
        <v>0</v>
      </c>
      <c r="Z136" s="4">
        <v>0</v>
      </c>
      <c r="AA136" s="4">
        <v>0</v>
      </c>
      <c r="AB136" s="4">
        <v>0</v>
      </c>
      <c r="AC136" s="4">
        <v>0</v>
      </c>
      <c r="AD136" s="4">
        <v>0</v>
      </c>
      <c r="AE136" s="4">
        <v>0</v>
      </c>
      <c r="AF136" s="4">
        <v>0</v>
      </c>
      <c r="AG136" s="4">
        <v>0</v>
      </c>
      <c r="AH136" s="4">
        <v>0</v>
      </c>
      <c r="AI136" s="4">
        <v>0</v>
      </c>
      <c r="AJ136" s="4">
        <v>0</v>
      </c>
      <c r="AK136" s="4">
        <v>0</v>
      </c>
      <c r="AL136" s="4">
        <v>0</v>
      </c>
      <c r="AM136" s="4">
        <v>0</v>
      </c>
      <c r="AN136" s="4">
        <v>0</v>
      </c>
      <c r="AO136" s="4">
        <v>0</v>
      </c>
      <c r="AP136" s="4">
        <v>0</v>
      </c>
      <c r="AQ136" s="4">
        <v>0</v>
      </c>
      <c r="AR136" s="4">
        <v>0</v>
      </c>
      <c r="AS136" s="4">
        <v>0</v>
      </c>
      <c r="AT136" s="4">
        <v>0</v>
      </c>
      <c r="AU136" s="4">
        <v>0</v>
      </c>
      <c r="AV136" s="4">
        <v>0</v>
      </c>
      <c r="AW136" s="4">
        <v>0</v>
      </c>
      <c r="AX136" s="4">
        <v>0</v>
      </c>
      <c r="AY136" s="4">
        <v>0</v>
      </c>
      <c r="AZ136" s="4">
        <v>0</v>
      </c>
      <c r="BA136" s="4">
        <v>0</v>
      </c>
      <c r="BB136" s="4">
        <v>0</v>
      </c>
      <c r="BC136" s="4">
        <v>0</v>
      </c>
      <c r="BD136" s="4">
        <v>0</v>
      </c>
      <c r="BE136" s="4">
        <v>0</v>
      </c>
      <c r="BF136" s="4">
        <v>0</v>
      </c>
      <c r="BG136" s="31">
        <f t="shared" ref="BG136:BG198" si="32">SUM(F136:BF136)</f>
        <v>0</v>
      </c>
      <c r="BH136" s="31">
        <f t="shared" si="29"/>
        <v>0</v>
      </c>
      <c r="BI136" s="31">
        <f t="shared" si="30"/>
        <v>0</v>
      </c>
      <c r="BJ136" s="31">
        <f t="shared" si="31"/>
        <v>0</v>
      </c>
    </row>
    <row r="137" spans="3:62" x14ac:dyDescent="0.25">
      <c r="D137">
        <v>2014</v>
      </c>
      <c r="E137" t="s">
        <v>410</v>
      </c>
      <c r="F137" s="4">
        <v>128400</v>
      </c>
      <c r="G137" s="4">
        <v>108700</v>
      </c>
      <c r="H137" s="4">
        <v>140800</v>
      </c>
      <c r="I137" s="4">
        <v>0</v>
      </c>
      <c r="J137" s="4">
        <v>0</v>
      </c>
      <c r="K137" s="4">
        <v>85550</v>
      </c>
      <c r="L137" s="4">
        <v>0</v>
      </c>
      <c r="M137" s="4">
        <v>37051659</v>
      </c>
      <c r="N137" s="4">
        <v>267000</v>
      </c>
      <c r="O137" s="4">
        <v>0</v>
      </c>
      <c r="P137" s="4">
        <v>5290985.55</v>
      </c>
      <c r="Q137" s="4">
        <v>0</v>
      </c>
      <c r="R137" s="4">
        <v>0</v>
      </c>
      <c r="S137" s="4">
        <v>0</v>
      </c>
      <c r="T137" s="4">
        <v>0</v>
      </c>
      <c r="U137" s="4">
        <v>0</v>
      </c>
      <c r="V137" s="4">
        <v>60200</v>
      </c>
      <c r="W137" s="4">
        <v>136495</v>
      </c>
      <c r="X137" s="4">
        <v>0</v>
      </c>
      <c r="Y137" s="4">
        <v>405605</v>
      </c>
      <c r="Z137" s="4">
        <v>1490285.95</v>
      </c>
      <c r="AA137" s="4">
        <v>0</v>
      </c>
      <c r="AB137" s="4">
        <v>0</v>
      </c>
      <c r="AC137" s="4">
        <v>0</v>
      </c>
      <c r="AD137" s="4">
        <v>63440</v>
      </c>
      <c r="AE137" s="4">
        <v>0</v>
      </c>
      <c r="AF137" s="4">
        <v>499400</v>
      </c>
      <c r="AG137" s="4">
        <v>24200</v>
      </c>
      <c r="AH137" s="4">
        <v>0</v>
      </c>
      <c r="AI137" s="4">
        <v>1234262.1499999999</v>
      </c>
      <c r="AJ137" s="4">
        <v>58987</v>
      </c>
      <c r="AK137" s="4">
        <v>148300</v>
      </c>
      <c r="AL137" s="4">
        <v>493000</v>
      </c>
      <c r="AM137" s="4">
        <v>314300</v>
      </c>
      <c r="AN137" s="4">
        <v>267170</v>
      </c>
      <c r="AO137" s="4">
        <v>0</v>
      </c>
      <c r="AP137" s="4">
        <v>0</v>
      </c>
      <c r="AQ137" s="4">
        <v>102400</v>
      </c>
      <c r="AR137" s="4">
        <v>536240</v>
      </c>
      <c r="AS137" s="4">
        <v>1050</v>
      </c>
      <c r="AT137" s="4">
        <v>244280</v>
      </c>
      <c r="AU137" s="4">
        <v>294313</v>
      </c>
      <c r="AV137" s="4">
        <v>19300</v>
      </c>
      <c r="AW137" s="4">
        <v>0</v>
      </c>
      <c r="AX137" s="4">
        <v>636300</v>
      </c>
      <c r="AY137" s="4">
        <v>0</v>
      </c>
      <c r="AZ137" s="4">
        <v>0</v>
      </c>
      <c r="BA137" s="4">
        <v>0</v>
      </c>
      <c r="BB137" s="4">
        <v>0</v>
      </c>
      <c r="BC137" s="4">
        <v>1093760</v>
      </c>
      <c r="BD137" s="4">
        <v>0</v>
      </c>
      <c r="BE137" s="4">
        <v>7280540</v>
      </c>
      <c r="BF137" s="4">
        <v>148085</v>
      </c>
      <c r="BG137" s="31">
        <f t="shared" si="32"/>
        <v>58625007.649999999</v>
      </c>
      <c r="BH137" s="31">
        <f t="shared" si="29"/>
        <v>43269789.549999997</v>
      </c>
      <c r="BI137" s="31">
        <f t="shared" si="30"/>
        <v>3924480.1</v>
      </c>
      <c r="BJ137" s="31">
        <f t="shared" si="31"/>
        <v>11430738</v>
      </c>
    </row>
    <row r="138" spans="3:62" x14ac:dyDescent="0.25">
      <c r="D138">
        <v>2015</v>
      </c>
      <c r="E138" t="s">
        <v>409</v>
      </c>
      <c r="F138" s="4">
        <v>0</v>
      </c>
      <c r="G138" s="4">
        <v>0</v>
      </c>
      <c r="H138" s="4">
        <v>0</v>
      </c>
      <c r="I138" s="4">
        <v>0</v>
      </c>
      <c r="J138" s="4">
        <v>0</v>
      </c>
      <c r="K138" s="4">
        <v>0</v>
      </c>
      <c r="L138" s="4">
        <v>0</v>
      </c>
      <c r="M138" s="4">
        <v>0</v>
      </c>
      <c r="N138" s="4">
        <v>0</v>
      </c>
      <c r="O138" s="4">
        <v>0</v>
      </c>
      <c r="P138" s="4">
        <v>0</v>
      </c>
      <c r="Q138" s="4">
        <v>0</v>
      </c>
      <c r="R138" s="4">
        <v>0</v>
      </c>
      <c r="S138" s="4">
        <v>0</v>
      </c>
      <c r="T138" s="4">
        <v>0</v>
      </c>
      <c r="U138" s="4">
        <v>0</v>
      </c>
      <c r="V138" s="4">
        <v>0</v>
      </c>
      <c r="W138" s="4">
        <v>0</v>
      </c>
      <c r="X138" s="4">
        <v>0</v>
      </c>
      <c r="Y138" s="4">
        <v>0</v>
      </c>
      <c r="Z138" s="4">
        <v>0</v>
      </c>
      <c r="AA138" s="4">
        <v>0</v>
      </c>
      <c r="AB138" s="4">
        <v>0</v>
      </c>
      <c r="AC138" s="4">
        <v>0</v>
      </c>
      <c r="AD138" s="4">
        <v>0</v>
      </c>
      <c r="AE138" s="4">
        <v>0</v>
      </c>
      <c r="AF138" s="4">
        <v>0</v>
      </c>
      <c r="AG138" s="4">
        <v>0</v>
      </c>
      <c r="AH138" s="4">
        <v>0</v>
      </c>
      <c r="AI138" s="4">
        <v>0</v>
      </c>
      <c r="AJ138" s="4">
        <v>0</v>
      </c>
      <c r="AK138" s="4">
        <v>0</v>
      </c>
      <c r="AL138" s="4">
        <v>0</v>
      </c>
      <c r="AM138" s="4">
        <v>0</v>
      </c>
      <c r="AN138" s="4">
        <v>0</v>
      </c>
      <c r="AO138" s="4">
        <v>0</v>
      </c>
      <c r="AP138" s="4">
        <v>0</v>
      </c>
      <c r="AQ138" s="4">
        <v>0</v>
      </c>
      <c r="AR138" s="4">
        <v>0</v>
      </c>
      <c r="AS138" s="4">
        <v>0</v>
      </c>
      <c r="AT138" s="4">
        <v>0</v>
      </c>
      <c r="AU138" s="4">
        <v>0</v>
      </c>
      <c r="AV138" s="4">
        <v>0</v>
      </c>
      <c r="AW138" s="4">
        <v>0</v>
      </c>
      <c r="AX138" s="4">
        <v>0</v>
      </c>
      <c r="AY138" s="4">
        <v>0</v>
      </c>
      <c r="AZ138" s="4">
        <v>0</v>
      </c>
      <c r="BA138" s="4">
        <v>0</v>
      </c>
      <c r="BB138" s="4">
        <v>0</v>
      </c>
      <c r="BC138" s="4">
        <v>0</v>
      </c>
      <c r="BD138" s="4">
        <v>0</v>
      </c>
      <c r="BE138" s="4">
        <v>0</v>
      </c>
      <c r="BF138" s="4">
        <v>0</v>
      </c>
      <c r="BG138" s="31">
        <f t="shared" si="32"/>
        <v>0</v>
      </c>
      <c r="BH138" s="31">
        <f t="shared" si="29"/>
        <v>0</v>
      </c>
      <c r="BI138" s="31">
        <f t="shared" si="30"/>
        <v>0</v>
      </c>
      <c r="BJ138" s="31">
        <f t="shared" si="31"/>
        <v>0</v>
      </c>
    </row>
    <row r="139" spans="3:62" x14ac:dyDescent="0.25">
      <c r="D139">
        <v>2016</v>
      </c>
      <c r="E139" t="s">
        <v>269</v>
      </c>
      <c r="F139" s="4">
        <v>0</v>
      </c>
      <c r="G139" s="4">
        <v>0</v>
      </c>
      <c r="H139" s="4">
        <v>0</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0</v>
      </c>
      <c r="AF139" s="4">
        <v>0</v>
      </c>
      <c r="AG139" s="4">
        <v>0</v>
      </c>
      <c r="AH139" s="4">
        <v>0</v>
      </c>
      <c r="AI139" s="4">
        <v>0</v>
      </c>
      <c r="AJ139" s="4">
        <v>0</v>
      </c>
      <c r="AK139" s="4">
        <v>0</v>
      </c>
      <c r="AL139" s="4">
        <v>0</v>
      </c>
      <c r="AM139" s="4">
        <v>0</v>
      </c>
      <c r="AN139" s="4">
        <v>0</v>
      </c>
      <c r="AO139" s="4">
        <v>0</v>
      </c>
      <c r="AP139" s="4">
        <v>0</v>
      </c>
      <c r="AQ139" s="4">
        <v>0</v>
      </c>
      <c r="AR139" s="4">
        <v>0</v>
      </c>
      <c r="AS139" s="4">
        <v>0</v>
      </c>
      <c r="AT139" s="4">
        <v>0</v>
      </c>
      <c r="AU139" s="4">
        <v>0</v>
      </c>
      <c r="AV139" s="4">
        <v>0</v>
      </c>
      <c r="AW139" s="4">
        <v>0</v>
      </c>
      <c r="AX139" s="4">
        <v>0</v>
      </c>
      <c r="AY139" s="4">
        <v>0</v>
      </c>
      <c r="AZ139" s="4">
        <v>0</v>
      </c>
      <c r="BA139" s="4">
        <v>0</v>
      </c>
      <c r="BB139" s="4">
        <v>0</v>
      </c>
      <c r="BC139" s="4">
        <v>0</v>
      </c>
      <c r="BD139" s="4">
        <v>0</v>
      </c>
      <c r="BE139" s="4">
        <v>0</v>
      </c>
      <c r="BF139" s="4">
        <v>0</v>
      </c>
      <c r="BG139" s="31">
        <f t="shared" si="32"/>
        <v>0</v>
      </c>
      <c r="BH139" s="31">
        <f t="shared" si="29"/>
        <v>0</v>
      </c>
      <c r="BI139" s="31">
        <f t="shared" si="30"/>
        <v>0</v>
      </c>
      <c r="BJ139" s="31">
        <f t="shared" si="31"/>
        <v>0</v>
      </c>
    </row>
    <row r="140" spans="3:62" x14ac:dyDescent="0.25">
      <c r="D140">
        <v>2019</v>
      </c>
      <c r="E140" t="s">
        <v>411</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
        <v>0</v>
      </c>
      <c r="AG140" s="4">
        <v>0</v>
      </c>
      <c r="AH140" s="4">
        <v>0</v>
      </c>
      <c r="AI140" s="4">
        <v>0</v>
      </c>
      <c r="AJ140" s="4">
        <v>0</v>
      </c>
      <c r="AK140" s="4">
        <v>0</v>
      </c>
      <c r="AL140" s="4">
        <v>0</v>
      </c>
      <c r="AM140" s="4">
        <v>0</v>
      </c>
      <c r="AN140" s="4">
        <v>0</v>
      </c>
      <c r="AO140" s="4">
        <v>0</v>
      </c>
      <c r="AP140" s="4">
        <v>0</v>
      </c>
      <c r="AQ140" s="4">
        <v>0</v>
      </c>
      <c r="AR140" s="4">
        <v>0</v>
      </c>
      <c r="AS140" s="4">
        <v>0</v>
      </c>
      <c r="AT140" s="4">
        <v>0</v>
      </c>
      <c r="AU140" s="4">
        <v>0</v>
      </c>
      <c r="AV140" s="4">
        <v>0</v>
      </c>
      <c r="AW140" s="4">
        <v>0</v>
      </c>
      <c r="AX140" s="4">
        <v>0</v>
      </c>
      <c r="AY140" s="4">
        <v>0</v>
      </c>
      <c r="AZ140" s="4">
        <v>0</v>
      </c>
      <c r="BA140" s="4">
        <v>778850</v>
      </c>
      <c r="BB140" s="4">
        <v>0</v>
      </c>
      <c r="BC140" s="4">
        <v>0</v>
      </c>
      <c r="BD140" s="4">
        <v>0</v>
      </c>
      <c r="BE140" s="4">
        <v>0</v>
      </c>
      <c r="BF140" s="4">
        <v>0</v>
      </c>
      <c r="BG140" s="31">
        <f t="shared" si="32"/>
        <v>778850</v>
      </c>
      <c r="BH140" s="31">
        <f t="shared" si="29"/>
        <v>0</v>
      </c>
      <c r="BI140" s="31">
        <f t="shared" si="30"/>
        <v>0</v>
      </c>
      <c r="BJ140" s="31">
        <f t="shared" si="31"/>
        <v>778850</v>
      </c>
    </row>
    <row r="141" spans="3:62" x14ac:dyDescent="0.25">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31"/>
      <c r="BH141" s="31"/>
      <c r="BI141" s="31"/>
      <c r="BJ141" s="31"/>
    </row>
    <row r="142" spans="3:62" x14ac:dyDescent="0.25">
      <c r="C142" s="66">
        <v>204</v>
      </c>
      <c r="D142" s="66"/>
      <c r="E142" s="66" t="s">
        <v>255</v>
      </c>
      <c r="F142" s="67">
        <f>F143+F144+F145+F146+F147+F148+F149+F150</f>
        <v>166973.4</v>
      </c>
      <c r="G142" s="67">
        <f t="shared" ref="G142:BF142" si="33">G143+G144+G145+G146+G147+G148+G149+G150</f>
        <v>1710.5</v>
      </c>
      <c r="H142" s="67">
        <f t="shared" si="33"/>
        <v>411964.19</v>
      </c>
      <c r="I142" s="67">
        <f t="shared" si="33"/>
        <v>312367.87</v>
      </c>
      <c r="J142" s="67">
        <f t="shared" si="33"/>
        <v>511474.63</v>
      </c>
      <c r="K142" s="67">
        <f t="shared" si="33"/>
        <v>109112.89000000001</v>
      </c>
      <c r="L142" s="67">
        <f t="shared" si="33"/>
        <v>648339.77</v>
      </c>
      <c r="M142" s="67">
        <f t="shared" si="33"/>
        <v>1491640.0100000002</v>
      </c>
      <c r="N142" s="67">
        <f t="shared" si="33"/>
        <v>88229.35</v>
      </c>
      <c r="O142" s="67">
        <f t="shared" si="33"/>
        <v>44145.3</v>
      </c>
      <c r="P142" s="67">
        <f t="shared" si="33"/>
        <v>284772.00999999995</v>
      </c>
      <c r="Q142" s="67">
        <f t="shared" si="33"/>
        <v>383002.79</v>
      </c>
      <c r="R142" s="67">
        <f t="shared" si="33"/>
        <v>77569.820000000007</v>
      </c>
      <c r="S142" s="67">
        <f t="shared" si="33"/>
        <v>2100</v>
      </c>
      <c r="T142" s="67">
        <f t="shared" si="33"/>
        <v>30300</v>
      </c>
      <c r="U142" s="67">
        <f t="shared" si="33"/>
        <v>4098.6000000000004</v>
      </c>
      <c r="V142" s="67">
        <f t="shared" si="33"/>
        <v>58843.700000000004</v>
      </c>
      <c r="W142" s="67">
        <f t="shared" si="33"/>
        <v>340062.1</v>
      </c>
      <c r="X142" s="67">
        <f t="shared" si="33"/>
        <v>133973.17000000001</v>
      </c>
      <c r="Y142" s="67">
        <f t="shared" si="33"/>
        <v>63494.6</v>
      </c>
      <c r="Z142" s="67">
        <f t="shared" si="33"/>
        <v>61990.5</v>
      </c>
      <c r="AA142" s="67">
        <f t="shared" si="33"/>
        <v>1081427.33</v>
      </c>
      <c r="AB142" s="67">
        <f t="shared" si="33"/>
        <v>6383.6</v>
      </c>
      <c r="AC142" s="67">
        <f t="shared" si="33"/>
        <v>116506.6</v>
      </c>
      <c r="AD142" s="67">
        <f t="shared" si="33"/>
        <v>5965.45</v>
      </c>
      <c r="AE142" s="67">
        <f t="shared" si="33"/>
        <v>157793.22</v>
      </c>
      <c r="AF142" s="67">
        <f t="shared" si="33"/>
        <v>202354.41</v>
      </c>
      <c r="AG142" s="67">
        <f t="shared" si="33"/>
        <v>794299.84</v>
      </c>
      <c r="AH142" s="67">
        <f t="shared" si="33"/>
        <v>95537.41</v>
      </c>
      <c r="AI142" s="67">
        <f t="shared" si="33"/>
        <v>158959.33000000002</v>
      </c>
      <c r="AJ142" s="67">
        <f t="shared" si="33"/>
        <v>73847.990000000005</v>
      </c>
      <c r="AK142" s="67">
        <f t="shared" si="33"/>
        <v>39881.149999999994</v>
      </c>
      <c r="AL142" s="67">
        <f t="shared" si="33"/>
        <v>838336.9</v>
      </c>
      <c r="AM142" s="67">
        <f t="shared" si="33"/>
        <v>510511.45</v>
      </c>
      <c r="AN142" s="67">
        <f t="shared" si="33"/>
        <v>545807.85</v>
      </c>
      <c r="AO142" s="67">
        <f t="shared" si="33"/>
        <v>9346.15</v>
      </c>
      <c r="AP142" s="67">
        <f t="shared" si="33"/>
        <v>171856.47</v>
      </c>
      <c r="AQ142" s="67">
        <f t="shared" si="33"/>
        <v>9756.8200000000015</v>
      </c>
      <c r="AR142" s="67">
        <f t="shared" si="33"/>
        <v>9351</v>
      </c>
      <c r="AS142" s="67">
        <f t="shared" si="33"/>
        <v>78536.25</v>
      </c>
      <c r="AT142" s="67">
        <f t="shared" si="33"/>
        <v>8825.5</v>
      </c>
      <c r="AU142" s="67">
        <f t="shared" si="33"/>
        <v>149290.91</v>
      </c>
      <c r="AV142" s="67">
        <f t="shared" si="33"/>
        <v>264954.17000000004</v>
      </c>
      <c r="AW142" s="67">
        <f t="shared" si="33"/>
        <v>436415.24999999994</v>
      </c>
      <c r="AX142" s="67">
        <f t="shared" si="33"/>
        <v>63344.15</v>
      </c>
      <c r="AY142" s="67">
        <f t="shared" si="33"/>
        <v>238.5</v>
      </c>
      <c r="AZ142" s="67">
        <f t="shared" si="33"/>
        <v>43682.15</v>
      </c>
      <c r="BA142" s="67">
        <f t="shared" si="33"/>
        <v>199659.76</v>
      </c>
      <c r="BB142" s="67">
        <f t="shared" si="33"/>
        <v>18502.68</v>
      </c>
      <c r="BC142" s="67">
        <f t="shared" si="33"/>
        <v>136748.9</v>
      </c>
      <c r="BD142" s="67">
        <f t="shared" si="33"/>
        <v>85239.56</v>
      </c>
      <c r="BE142" s="67">
        <f t="shared" si="33"/>
        <v>1116170.21</v>
      </c>
      <c r="BF142" s="67">
        <f t="shared" si="33"/>
        <v>244666.74</v>
      </c>
      <c r="BG142" s="67">
        <f t="shared" si="32"/>
        <v>12900362.9</v>
      </c>
      <c r="BH142" s="67">
        <f t="shared" si="29"/>
        <v>5100680.0999999996</v>
      </c>
      <c r="BI142" s="67">
        <f t="shared" si="30"/>
        <v>2858441.4300000006</v>
      </c>
      <c r="BJ142" s="67">
        <f t="shared" si="31"/>
        <v>4941241.370000001</v>
      </c>
    </row>
    <row r="143" spans="3:62" x14ac:dyDescent="0.25">
      <c r="D143">
        <v>2040</v>
      </c>
      <c r="E143" t="s">
        <v>61</v>
      </c>
      <c r="F143" s="4">
        <v>0</v>
      </c>
      <c r="G143" s="4">
        <v>0</v>
      </c>
      <c r="H143" s="4">
        <v>0</v>
      </c>
      <c r="I143" s="4">
        <v>0</v>
      </c>
      <c r="J143" s="4">
        <v>2146.15</v>
      </c>
      <c r="K143" s="4">
        <v>5247</v>
      </c>
      <c r="L143" s="4">
        <v>0</v>
      </c>
      <c r="M143" s="4">
        <v>0</v>
      </c>
      <c r="N143" s="4">
        <v>0</v>
      </c>
      <c r="O143" s="4">
        <v>0</v>
      </c>
      <c r="P143" s="4">
        <v>156.65</v>
      </c>
      <c r="Q143" s="4">
        <v>0</v>
      </c>
      <c r="R143" s="4">
        <v>272.89999999999998</v>
      </c>
      <c r="S143" s="4">
        <v>0</v>
      </c>
      <c r="T143" s="4">
        <v>0</v>
      </c>
      <c r="U143" s="4">
        <v>0</v>
      </c>
      <c r="V143" s="4">
        <v>0</v>
      </c>
      <c r="W143" s="4">
        <v>0</v>
      </c>
      <c r="X143" s="4">
        <v>6022.55</v>
      </c>
      <c r="Y143" s="4">
        <v>0</v>
      </c>
      <c r="Z143" s="4">
        <v>0</v>
      </c>
      <c r="AA143" s="4">
        <v>34645.25</v>
      </c>
      <c r="AB143" s="4">
        <v>0</v>
      </c>
      <c r="AC143" s="4">
        <v>4822.3</v>
      </c>
      <c r="AD143" s="4">
        <v>0</v>
      </c>
      <c r="AE143" s="4">
        <v>0</v>
      </c>
      <c r="AF143" s="4">
        <v>0</v>
      </c>
      <c r="AG143" s="4">
        <v>0</v>
      </c>
      <c r="AH143" s="4">
        <v>0</v>
      </c>
      <c r="AI143" s="4">
        <v>2133.9499999999998</v>
      </c>
      <c r="AJ143" s="4">
        <v>0</v>
      </c>
      <c r="AK143" s="4">
        <v>0</v>
      </c>
      <c r="AL143" s="4">
        <v>0</v>
      </c>
      <c r="AM143" s="4">
        <v>0</v>
      </c>
      <c r="AN143" s="4">
        <v>-1879.05</v>
      </c>
      <c r="AO143" s="4">
        <v>0</v>
      </c>
      <c r="AP143" s="4">
        <v>13547.9</v>
      </c>
      <c r="AQ143" s="4">
        <v>0</v>
      </c>
      <c r="AR143" s="4">
        <v>0</v>
      </c>
      <c r="AS143" s="4">
        <v>0</v>
      </c>
      <c r="AT143" s="4">
        <v>0</v>
      </c>
      <c r="AU143" s="4">
        <v>4000</v>
      </c>
      <c r="AV143" s="4">
        <v>0</v>
      </c>
      <c r="AW143" s="4">
        <v>0</v>
      </c>
      <c r="AX143" s="4">
        <v>0</v>
      </c>
      <c r="AY143" s="4">
        <v>0</v>
      </c>
      <c r="AZ143" s="4">
        <v>0</v>
      </c>
      <c r="BA143" s="4">
        <v>0</v>
      </c>
      <c r="BB143" s="4">
        <v>0</v>
      </c>
      <c r="BC143" s="4">
        <v>1986.15</v>
      </c>
      <c r="BD143" s="4">
        <v>0</v>
      </c>
      <c r="BE143" s="4">
        <v>535388.1</v>
      </c>
      <c r="BF143" s="4">
        <v>0</v>
      </c>
      <c r="BG143" s="31">
        <f t="shared" si="32"/>
        <v>608489.85</v>
      </c>
      <c r="BH143" s="31">
        <f t="shared" si="29"/>
        <v>13845.25</v>
      </c>
      <c r="BI143" s="31">
        <f t="shared" si="30"/>
        <v>41601.5</v>
      </c>
      <c r="BJ143" s="31">
        <f t="shared" si="31"/>
        <v>553043.1</v>
      </c>
    </row>
    <row r="144" spans="3:62" x14ac:dyDescent="0.25">
      <c r="D144">
        <v>2041</v>
      </c>
      <c r="E144" t="s">
        <v>277</v>
      </c>
      <c r="F144" s="4">
        <v>154885.6</v>
      </c>
      <c r="G144" s="4">
        <v>1710.5</v>
      </c>
      <c r="H144" s="4">
        <v>111532.9</v>
      </c>
      <c r="I144" s="4">
        <v>312367.87</v>
      </c>
      <c r="J144" s="4">
        <v>0</v>
      </c>
      <c r="K144" s="4">
        <v>55279.94</v>
      </c>
      <c r="L144" s="4">
        <v>356465.87</v>
      </c>
      <c r="M144" s="4">
        <v>1163319.1100000001</v>
      </c>
      <c r="N144" s="4">
        <v>88229.35</v>
      </c>
      <c r="O144" s="4">
        <v>44145.3</v>
      </c>
      <c r="P144" s="4">
        <v>201623.9</v>
      </c>
      <c r="Q144" s="4">
        <v>383002.79</v>
      </c>
      <c r="R144" s="4">
        <v>58364.75</v>
      </c>
      <c r="S144" s="4">
        <v>2100</v>
      </c>
      <c r="T144" s="4">
        <v>30300</v>
      </c>
      <c r="U144" s="4">
        <v>4098.6000000000004</v>
      </c>
      <c r="V144" s="4">
        <v>3300</v>
      </c>
      <c r="W144" s="4">
        <v>97963.3</v>
      </c>
      <c r="X144" s="4">
        <v>95291.82</v>
      </c>
      <c r="Y144" s="4">
        <v>25528.75</v>
      </c>
      <c r="Z144" s="4">
        <v>61990.5</v>
      </c>
      <c r="AA144" s="4">
        <v>1046782.08</v>
      </c>
      <c r="AB144" s="4">
        <v>0</v>
      </c>
      <c r="AC144" s="4">
        <v>5050</v>
      </c>
      <c r="AD144" s="4">
        <v>5965.45</v>
      </c>
      <c r="AE144" s="4">
        <v>151035.98000000001</v>
      </c>
      <c r="AF144" s="4">
        <v>201647.85</v>
      </c>
      <c r="AG144" s="4">
        <v>794299.84</v>
      </c>
      <c r="AH144" s="4">
        <v>95537.41</v>
      </c>
      <c r="AI144" s="4">
        <v>9449.17</v>
      </c>
      <c r="AJ144" s="4">
        <v>73847.990000000005</v>
      </c>
      <c r="AK144" s="4">
        <v>0</v>
      </c>
      <c r="AL144" s="4">
        <v>37000</v>
      </c>
      <c r="AM144" s="4">
        <v>510511.45</v>
      </c>
      <c r="AN144" s="4">
        <v>28428.35</v>
      </c>
      <c r="AO144" s="4">
        <v>9346.15</v>
      </c>
      <c r="AP144" s="4">
        <v>158308.57</v>
      </c>
      <c r="AQ144" s="4">
        <v>10711.62</v>
      </c>
      <c r="AR144" s="4">
        <v>9351</v>
      </c>
      <c r="AS144" s="4">
        <v>46320.65</v>
      </c>
      <c r="AT144" s="4">
        <v>4873.3</v>
      </c>
      <c r="AU144" s="4">
        <v>-6986.56</v>
      </c>
      <c r="AV144" s="4">
        <v>11500</v>
      </c>
      <c r="AW144" s="4">
        <v>227369.15</v>
      </c>
      <c r="AX144" s="4">
        <v>63344.15</v>
      </c>
      <c r="AY144" s="4">
        <v>238.5</v>
      </c>
      <c r="AZ144" s="4">
        <v>27200</v>
      </c>
      <c r="BA144" s="4">
        <v>199659.76</v>
      </c>
      <c r="BB144" s="4">
        <v>5960.73</v>
      </c>
      <c r="BC144" s="4">
        <v>50412.75</v>
      </c>
      <c r="BD144" s="4">
        <v>85239.56</v>
      </c>
      <c r="BE144" s="4">
        <v>358426.86</v>
      </c>
      <c r="BF144" s="4">
        <v>3248.9</v>
      </c>
      <c r="BG144" s="31">
        <f t="shared" si="32"/>
        <v>7475581.5100000026</v>
      </c>
      <c r="BH144" s="31">
        <f t="shared" si="29"/>
        <v>3163981.5999999996</v>
      </c>
      <c r="BI144" s="31">
        <f t="shared" si="30"/>
        <v>2471135.0200000005</v>
      </c>
      <c r="BJ144" s="31">
        <f t="shared" si="31"/>
        <v>1840464.8900000001</v>
      </c>
    </row>
    <row r="145" spans="3:62" x14ac:dyDescent="0.25">
      <c r="D145">
        <v>2042</v>
      </c>
      <c r="E145" t="s">
        <v>331</v>
      </c>
      <c r="F145" s="4">
        <v>12087.8</v>
      </c>
      <c r="G145" s="4">
        <v>0</v>
      </c>
      <c r="H145" s="4">
        <v>387.02</v>
      </c>
      <c r="I145" s="4">
        <v>0</v>
      </c>
      <c r="J145" s="4">
        <v>44585.45</v>
      </c>
      <c r="K145" s="4">
        <v>43769.57</v>
      </c>
      <c r="L145" s="4">
        <v>266204.40000000002</v>
      </c>
      <c r="M145" s="4">
        <v>328255.90000000002</v>
      </c>
      <c r="N145" s="4">
        <v>0</v>
      </c>
      <c r="O145" s="4">
        <v>0</v>
      </c>
      <c r="P145" s="4">
        <v>0</v>
      </c>
      <c r="Q145" s="4">
        <v>0</v>
      </c>
      <c r="R145" s="4">
        <v>0</v>
      </c>
      <c r="S145" s="4">
        <v>0</v>
      </c>
      <c r="T145" s="4">
        <v>0</v>
      </c>
      <c r="U145" s="4">
        <v>0</v>
      </c>
      <c r="V145" s="4">
        <v>0</v>
      </c>
      <c r="W145" s="4">
        <v>57664.05</v>
      </c>
      <c r="X145" s="4">
        <v>0</v>
      </c>
      <c r="Y145" s="4">
        <v>0</v>
      </c>
      <c r="Z145" s="4">
        <v>0</v>
      </c>
      <c r="AA145" s="4">
        <v>0</v>
      </c>
      <c r="AB145" s="4">
        <v>6383.6</v>
      </c>
      <c r="AC145" s="4">
        <v>99.2</v>
      </c>
      <c r="AD145" s="4">
        <v>0</v>
      </c>
      <c r="AE145" s="4">
        <v>0</v>
      </c>
      <c r="AF145" s="4">
        <v>190.55</v>
      </c>
      <c r="AG145" s="4">
        <v>0</v>
      </c>
      <c r="AH145" s="4">
        <v>0</v>
      </c>
      <c r="AI145" s="4">
        <v>0</v>
      </c>
      <c r="AJ145" s="4">
        <v>0</v>
      </c>
      <c r="AK145" s="4">
        <v>7263.3</v>
      </c>
      <c r="AL145" s="4">
        <v>0</v>
      </c>
      <c r="AM145" s="4">
        <v>0</v>
      </c>
      <c r="AN145" s="4">
        <v>0</v>
      </c>
      <c r="AO145" s="4">
        <v>0</v>
      </c>
      <c r="AP145" s="4">
        <v>0</v>
      </c>
      <c r="AQ145" s="4">
        <v>-954.8</v>
      </c>
      <c r="AR145" s="4">
        <v>0</v>
      </c>
      <c r="AS145" s="4">
        <v>0</v>
      </c>
      <c r="AT145" s="4">
        <v>3952.2</v>
      </c>
      <c r="AU145" s="4">
        <v>120885.85</v>
      </c>
      <c r="AV145" s="4">
        <v>253454.17</v>
      </c>
      <c r="AW145" s="4">
        <v>208305.55</v>
      </c>
      <c r="AX145" s="4">
        <v>0</v>
      </c>
      <c r="AY145" s="4">
        <v>0</v>
      </c>
      <c r="AZ145" s="4">
        <v>0</v>
      </c>
      <c r="BA145" s="4">
        <v>0</v>
      </c>
      <c r="BB145" s="4">
        <v>12541.95</v>
      </c>
      <c r="BC145" s="4">
        <v>0</v>
      </c>
      <c r="BD145" s="4">
        <v>0</v>
      </c>
      <c r="BE145" s="4">
        <v>0</v>
      </c>
      <c r="BF145" s="4">
        <v>0</v>
      </c>
      <c r="BG145" s="31">
        <f t="shared" si="32"/>
        <v>1365075.76</v>
      </c>
      <c r="BH145" s="31">
        <f t="shared" si="29"/>
        <v>752954.19000000006</v>
      </c>
      <c r="BI145" s="31">
        <f t="shared" si="30"/>
        <v>13936.650000000001</v>
      </c>
      <c r="BJ145" s="31">
        <f t="shared" si="31"/>
        <v>598184.91999999993</v>
      </c>
    </row>
    <row r="146" spans="3:62" x14ac:dyDescent="0.25">
      <c r="D146">
        <v>2043</v>
      </c>
      <c r="E146" t="s">
        <v>332</v>
      </c>
      <c r="F146" s="4">
        <v>0</v>
      </c>
      <c r="G146" s="4">
        <v>0</v>
      </c>
      <c r="H146" s="4">
        <v>198850.27</v>
      </c>
      <c r="I146" s="4">
        <v>0</v>
      </c>
      <c r="J146" s="4">
        <v>361150.78</v>
      </c>
      <c r="K146" s="4">
        <v>0</v>
      </c>
      <c r="L146" s="4">
        <v>8238.15</v>
      </c>
      <c r="M146" s="4">
        <v>0</v>
      </c>
      <c r="N146" s="4">
        <v>0</v>
      </c>
      <c r="O146" s="4">
        <v>0</v>
      </c>
      <c r="P146" s="4">
        <v>84221.36</v>
      </c>
      <c r="Q146" s="4">
        <v>0</v>
      </c>
      <c r="R146" s="4">
        <v>18087.169999999998</v>
      </c>
      <c r="S146" s="4">
        <v>0</v>
      </c>
      <c r="T146" s="4">
        <v>0</v>
      </c>
      <c r="U146" s="4">
        <v>0</v>
      </c>
      <c r="V146" s="4">
        <v>51965.4</v>
      </c>
      <c r="W146" s="4">
        <v>184434.75</v>
      </c>
      <c r="X146" s="4">
        <v>32658.799999999999</v>
      </c>
      <c r="Y146" s="4">
        <v>35552.5</v>
      </c>
      <c r="Z146" s="4">
        <v>0</v>
      </c>
      <c r="AA146" s="4">
        <v>0</v>
      </c>
      <c r="AB146" s="4">
        <v>0</v>
      </c>
      <c r="AC146" s="4">
        <v>97406.05</v>
      </c>
      <c r="AD146" s="4">
        <v>0</v>
      </c>
      <c r="AE146" s="4">
        <v>0</v>
      </c>
      <c r="AF146" s="4">
        <v>0</v>
      </c>
      <c r="AG146" s="4">
        <v>0</v>
      </c>
      <c r="AH146" s="4">
        <v>0</v>
      </c>
      <c r="AI146" s="4">
        <v>120417.45</v>
      </c>
      <c r="AJ146" s="4">
        <v>0</v>
      </c>
      <c r="AK146" s="4">
        <v>16932</v>
      </c>
      <c r="AL146" s="4">
        <v>0</v>
      </c>
      <c r="AM146" s="4">
        <v>0</v>
      </c>
      <c r="AN146" s="4">
        <v>519258.55</v>
      </c>
      <c r="AO146" s="4">
        <v>0</v>
      </c>
      <c r="AP146" s="4">
        <v>0</v>
      </c>
      <c r="AQ146" s="4">
        <v>0</v>
      </c>
      <c r="AR146" s="4">
        <v>0</v>
      </c>
      <c r="AS146" s="4">
        <v>0</v>
      </c>
      <c r="AT146" s="4">
        <v>0</v>
      </c>
      <c r="AU146" s="4">
        <v>31715.119999999999</v>
      </c>
      <c r="AV146" s="4">
        <v>0</v>
      </c>
      <c r="AW146" s="4">
        <v>740.55</v>
      </c>
      <c r="AX146" s="4">
        <v>0</v>
      </c>
      <c r="AY146" s="4">
        <v>0</v>
      </c>
      <c r="AZ146" s="4">
        <v>0</v>
      </c>
      <c r="BA146" s="4">
        <v>0</v>
      </c>
      <c r="BB146" s="4">
        <v>0</v>
      </c>
      <c r="BC146" s="4">
        <v>81000</v>
      </c>
      <c r="BD146" s="4">
        <v>0</v>
      </c>
      <c r="BE146" s="4">
        <v>0</v>
      </c>
      <c r="BF146" s="4">
        <v>241417.84</v>
      </c>
      <c r="BG146" s="31">
        <f t="shared" si="32"/>
        <v>2084046.7400000005</v>
      </c>
      <c r="BH146" s="31">
        <f t="shared" si="29"/>
        <v>939606.68000000017</v>
      </c>
      <c r="BI146" s="31">
        <f t="shared" si="30"/>
        <v>270308</v>
      </c>
      <c r="BJ146" s="31">
        <f t="shared" si="31"/>
        <v>874132.06</v>
      </c>
    </row>
    <row r="147" spans="3:62" x14ac:dyDescent="0.25">
      <c r="D147">
        <v>2044</v>
      </c>
      <c r="E147" t="s">
        <v>412</v>
      </c>
      <c r="F147" s="4">
        <v>0</v>
      </c>
      <c r="G147" s="4">
        <v>0</v>
      </c>
      <c r="H147" s="4">
        <v>0</v>
      </c>
      <c r="I147" s="4">
        <v>0</v>
      </c>
      <c r="J147" s="4">
        <v>103592.25</v>
      </c>
      <c r="K147" s="4">
        <v>4816.38</v>
      </c>
      <c r="L147" s="4">
        <v>0</v>
      </c>
      <c r="M147" s="4">
        <v>0</v>
      </c>
      <c r="N147" s="4">
        <v>0</v>
      </c>
      <c r="O147" s="4">
        <v>0</v>
      </c>
      <c r="P147" s="4">
        <v>0</v>
      </c>
      <c r="Q147" s="4">
        <v>0</v>
      </c>
      <c r="R147" s="4">
        <v>0</v>
      </c>
      <c r="S147" s="4">
        <v>0</v>
      </c>
      <c r="T147" s="4">
        <v>0</v>
      </c>
      <c r="U147" s="4">
        <v>0</v>
      </c>
      <c r="V147" s="4">
        <v>3578.3</v>
      </c>
      <c r="W147" s="4">
        <v>0</v>
      </c>
      <c r="X147" s="4">
        <v>0</v>
      </c>
      <c r="Y147" s="4">
        <v>1182</v>
      </c>
      <c r="Z147" s="4">
        <v>0</v>
      </c>
      <c r="AA147" s="4">
        <v>0</v>
      </c>
      <c r="AB147" s="4">
        <v>0</v>
      </c>
      <c r="AC147" s="4">
        <v>1738.55</v>
      </c>
      <c r="AD147" s="4">
        <v>0</v>
      </c>
      <c r="AE147" s="4">
        <v>0</v>
      </c>
      <c r="AF147" s="4">
        <v>516.01</v>
      </c>
      <c r="AG147" s="4">
        <v>0</v>
      </c>
      <c r="AH147" s="4">
        <v>0</v>
      </c>
      <c r="AI147" s="4">
        <v>26118.76</v>
      </c>
      <c r="AJ147" s="4">
        <v>0</v>
      </c>
      <c r="AK147" s="4">
        <v>421.55</v>
      </c>
      <c r="AL147" s="4">
        <v>0</v>
      </c>
      <c r="AM147" s="4">
        <v>0</v>
      </c>
      <c r="AN147" s="4">
        <v>0</v>
      </c>
      <c r="AO147" s="4">
        <v>0</v>
      </c>
      <c r="AP147" s="4">
        <v>0</v>
      </c>
      <c r="AQ147" s="4">
        <v>0</v>
      </c>
      <c r="AR147" s="4">
        <v>0</v>
      </c>
      <c r="AS147" s="4">
        <v>0</v>
      </c>
      <c r="AT147" s="4">
        <v>0</v>
      </c>
      <c r="AU147" s="4">
        <v>0</v>
      </c>
      <c r="AV147" s="4">
        <v>0</v>
      </c>
      <c r="AW147" s="4">
        <v>0</v>
      </c>
      <c r="AX147" s="4">
        <v>0</v>
      </c>
      <c r="AY147" s="4">
        <v>0</v>
      </c>
      <c r="AZ147" s="4">
        <v>16482.150000000001</v>
      </c>
      <c r="BA147" s="4">
        <v>0</v>
      </c>
      <c r="BB147" s="4">
        <v>0</v>
      </c>
      <c r="BC147" s="4">
        <v>3350</v>
      </c>
      <c r="BD147" s="4">
        <v>0</v>
      </c>
      <c r="BE147" s="4">
        <v>222355.25</v>
      </c>
      <c r="BF147" s="4">
        <v>0</v>
      </c>
      <c r="BG147" s="31">
        <f t="shared" si="32"/>
        <v>384151.19999999995</v>
      </c>
      <c r="BH147" s="31">
        <f t="shared" si="29"/>
        <v>111986.93000000001</v>
      </c>
      <c r="BI147" s="31">
        <f t="shared" si="30"/>
        <v>29976.87</v>
      </c>
      <c r="BJ147" s="31">
        <f t="shared" si="31"/>
        <v>242187.4</v>
      </c>
    </row>
    <row r="148" spans="3:62" x14ac:dyDescent="0.25">
      <c r="D148">
        <v>2045</v>
      </c>
      <c r="E148" t="s">
        <v>334</v>
      </c>
      <c r="F148" s="4">
        <v>0</v>
      </c>
      <c r="G148" s="4">
        <v>0</v>
      </c>
      <c r="H148" s="4">
        <v>0</v>
      </c>
      <c r="I148" s="4">
        <v>0</v>
      </c>
      <c r="J148" s="4">
        <v>0</v>
      </c>
      <c r="K148" s="4">
        <v>0</v>
      </c>
      <c r="L148" s="4">
        <v>0</v>
      </c>
      <c r="M148" s="4">
        <v>65</v>
      </c>
      <c r="N148" s="4">
        <v>0</v>
      </c>
      <c r="O148" s="4">
        <v>0</v>
      </c>
      <c r="P148" s="4">
        <v>-1229.9000000000001</v>
      </c>
      <c r="Q148" s="4">
        <v>0</v>
      </c>
      <c r="R148" s="4">
        <v>845</v>
      </c>
      <c r="S148" s="4">
        <v>0</v>
      </c>
      <c r="T148" s="4">
        <v>0</v>
      </c>
      <c r="U148" s="4">
        <v>0</v>
      </c>
      <c r="V148" s="4">
        <v>0</v>
      </c>
      <c r="W148" s="4">
        <v>0</v>
      </c>
      <c r="X148" s="4">
        <v>0</v>
      </c>
      <c r="Y148" s="4">
        <v>0</v>
      </c>
      <c r="Z148" s="4">
        <v>0</v>
      </c>
      <c r="AA148" s="4">
        <v>0</v>
      </c>
      <c r="AB148" s="4">
        <v>0</v>
      </c>
      <c r="AC148" s="4">
        <v>7390.5</v>
      </c>
      <c r="AD148" s="4">
        <v>0</v>
      </c>
      <c r="AE148" s="4">
        <v>6757.24</v>
      </c>
      <c r="AF148" s="4">
        <v>0</v>
      </c>
      <c r="AG148" s="4">
        <v>0</v>
      </c>
      <c r="AH148" s="4">
        <v>0</v>
      </c>
      <c r="AI148" s="4">
        <v>840</v>
      </c>
      <c r="AJ148" s="4">
        <v>0</v>
      </c>
      <c r="AK148" s="4">
        <v>15264.3</v>
      </c>
      <c r="AL148" s="4">
        <v>0</v>
      </c>
      <c r="AM148" s="4">
        <v>0</v>
      </c>
      <c r="AN148" s="4">
        <v>0</v>
      </c>
      <c r="AO148" s="4">
        <v>0</v>
      </c>
      <c r="AP148" s="4">
        <v>0</v>
      </c>
      <c r="AQ148" s="4">
        <v>0</v>
      </c>
      <c r="AR148" s="4">
        <v>0</v>
      </c>
      <c r="AS148" s="4">
        <v>32215.599999999999</v>
      </c>
      <c r="AT148" s="4">
        <v>0</v>
      </c>
      <c r="AU148" s="4">
        <v>-323.5</v>
      </c>
      <c r="AV148" s="4">
        <v>0</v>
      </c>
      <c r="AW148" s="4">
        <v>0</v>
      </c>
      <c r="AX148" s="4">
        <v>0</v>
      </c>
      <c r="AY148" s="4">
        <v>0</v>
      </c>
      <c r="AZ148" s="4">
        <v>0</v>
      </c>
      <c r="BA148" s="4">
        <v>0</v>
      </c>
      <c r="BB148" s="4">
        <v>0</v>
      </c>
      <c r="BC148" s="4">
        <v>0</v>
      </c>
      <c r="BD148" s="4">
        <v>0</v>
      </c>
      <c r="BE148" s="4">
        <v>0</v>
      </c>
      <c r="BF148" s="4">
        <v>0</v>
      </c>
      <c r="BG148" s="31">
        <f t="shared" si="32"/>
        <v>61824.24</v>
      </c>
      <c r="BH148" s="31">
        <f t="shared" si="29"/>
        <v>-319.90000000000009</v>
      </c>
      <c r="BI148" s="31">
        <f t="shared" si="30"/>
        <v>30252.04</v>
      </c>
      <c r="BJ148" s="31">
        <f t="shared" si="31"/>
        <v>31892.1</v>
      </c>
    </row>
    <row r="149" spans="3:62" x14ac:dyDescent="0.25">
      <c r="D149">
        <v>2046</v>
      </c>
      <c r="E149" t="s">
        <v>413</v>
      </c>
      <c r="F149" s="4">
        <v>0</v>
      </c>
      <c r="G149" s="4">
        <v>0</v>
      </c>
      <c r="H149" s="4">
        <v>101194</v>
      </c>
      <c r="I149" s="4">
        <v>0</v>
      </c>
      <c r="J149" s="4">
        <v>0</v>
      </c>
      <c r="K149" s="4">
        <v>0</v>
      </c>
      <c r="L149" s="4">
        <v>0</v>
      </c>
      <c r="M149" s="4">
        <v>0</v>
      </c>
      <c r="N149" s="4">
        <v>0</v>
      </c>
      <c r="O149" s="4">
        <v>0</v>
      </c>
      <c r="P149" s="4">
        <v>0</v>
      </c>
      <c r="Q149" s="4">
        <v>0</v>
      </c>
      <c r="R149" s="4">
        <v>0</v>
      </c>
      <c r="S149" s="4">
        <v>0</v>
      </c>
      <c r="T149" s="4">
        <v>0</v>
      </c>
      <c r="U149" s="4">
        <v>0</v>
      </c>
      <c r="V149" s="4">
        <v>0</v>
      </c>
      <c r="W149" s="4">
        <v>0</v>
      </c>
      <c r="X149" s="4">
        <v>0</v>
      </c>
      <c r="Y149" s="4">
        <v>1231.3499999999999</v>
      </c>
      <c r="Z149" s="4">
        <v>0</v>
      </c>
      <c r="AA149" s="4">
        <v>0</v>
      </c>
      <c r="AB149" s="4">
        <v>0</v>
      </c>
      <c r="AC149" s="4">
        <v>0</v>
      </c>
      <c r="AD149" s="4">
        <v>0</v>
      </c>
      <c r="AE149" s="4">
        <v>0</v>
      </c>
      <c r="AF149" s="4">
        <v>0</v>
      </c>
      <c r="AG149" s="4">
        <v>0</v>
      </c>
      <c r="AH149" s="4">
        <v>0</v>
      </c>
      <c r="AI149" s="4">
        <v>0</v>
      </c>
      <c r="AJ149" s="4">
        <v>0</v>
      </c>
      <c r="AK149" s="4">
        <v>0</v>
      </c>
      <c r="AL149" s="4">
        <v>0</v>
      </c>
      <c r="AM149" s="4">
        <v>0</v>
      </c>
      <c r="AN149" s="4">
        <v>0</v>
      </c>
      <c r="AO149" s="4">
        <v>0</v>
      </c>
      <c r="AP149" s="4">
        <v>0</v>
      </c>
      <c r="AQ149" s="4">
        <v>0</v>
      </c>
      <c r="AR149" s="4">
        <v>0</v>
      </c>
      <c r="AS149" s="4">
        <v>0</v>
      </c>
      <c r="AT149" s="4">
        <v>0</v>
      </c>
      <c r="AU149" s="4">
        <v>0</v>
      </c>
      <c r="AV149" s="4">
        <v>0</v>
      </c>
      <c r="AW149" s="4">
        <v>0</v>
      </c>
      <c r="AX149" s="4">
        <v>0</v>
      </c>
      <c r="AY149" s="4">
        <v>0</v>
      </c>
      <c r="AZ149" s="4">
        <v>0</v>
      </c>
      <c r="BA149" s="4">
        <v>0</v>
      </c>
      <c r="BB149" s="4">
        <v>0</v>
      </c>
      <c r="BC149" s="4">
        <v>0</v>
      </c>
      <c r="BD149" s="4">
        <v>0</v>
      </c>
      <c r="BE149" s="4">
        <v>0</v>
      </c>
      <c r="BF149" s="4">
        <v>0</v>
      </c>
      <c r="BG149" s="31">
        <f t="shared" si="32"/>
        <v>102425.35</v>
      </c>
      <c r="BH149" s="31">
        <f t="shared" si="29"/>
        <v>101194</v>
      </c>
      <c r="BI149" s="31">
        <f t="shared" si="30"/>
        <v>1231.3499999999999</v>
      </c>
      <c r="BJ149" s="31">
        <f t="shared" si="31"/>
        <v>0</v>
      </c>
    </row>
    <row r="150" spans="3:62" x14ac:dyDescent="0.25">
      <c r="D150">
        <v>2049</v>
      </c>
      <c r="E150" t="s">
        <v>414</v>
      </c>
      <c r="F150" s="4">
        <v>0</v>
      </c>
      <c r="G150" s="4">
        <v>0</v>
      </c>
      <c r="H150" s="4">
        <v>0</v>
      </c>
      <c r="I150" s="4">
        <v>0</v>
      </c>
      <c r="J150" s="4">
        <v>0</v>
      </c>
      <c r="K150" s="4">
        <v>0</v>
      </c>
      <c r="L150" s="4">
        <v>17431.349999999999</v>
      </c>
      <c r="M150" s="4">
        <v>0</v>
      </c>
      <c r="N150" s="4">
        <v>0</v>
      </c>
      <c r="O150" s="4">
        <v>0</v>
      </c>
      <c r="P150" s="4">
        <v>0</v>
      </c>
      <c r="Q150" s="4">
        <v>0</v>
      </c>
      <c r="R150" s="4">
        <v>0</v>
      </c>
      <c r="S150" s="4">
        <v>0</v>
      </c>
      <c r="T150" s="4">
        <v>0</v>
      </c>
      <c r="U150" s="4">
        <v>0</v>
      </c>
      <c r="V150" s="4">
        <v>0</v>
      </c>
      <c r="W150" s="4">
        <v>0</v>
      </c>
      <c r="X150" s="4">
        <v>0</v>
      </c>
      <c r="Y150" s="4">
        <v>0</v>
      </c>
      <c r="Z150" s="4">
        <v>0</v>
      </c>
      <c r="AA150" s="4">
        <v>0</v>
      </c>
      <c r="AB150" s="4">
        <v>0</v>
      </c>
      <c r="AC150" s="4">
        <v>0</v>
      </c>
      <c r="AD150" s="4">
        <v>0</v>
      </c>
      <c r="AE150" s="4">
        <v>0</v>
      </c>
      <c r="AF150" s="4">
        <v>0</v>
      </c>
      <c r="AG150" s="4">
        <v>0</v>
      </c>
      <c r="AH150" s="4">
        <v>0</v>
      </c>
      <c r="AI150" s="4">
        <v>0</v>
      </c>
      <c r="AJ150" s="4">
        <v>0</v>
      </c>
      <c r="AK150" s="4">
        <v>0</v>
      </c>
      <c r="AL150" s="4">
        <v>801336.9</v>
      </c>
      <c r="AM150" s="4">
        <v>0</v>
      </c>
      <c r="AN150" s="4">
        <v>0</v>
      </c>
      <c r="AO150" s="4">
        <v>0</v>
      </c>
      <c r="AP150" s="4">
        <v>0</v>
      </c>
      <c r="AQ150" s="4">
        <v>0</v>
      </c>
      <c r="AR150" s="4">
        <v>0</v>
      </c>
      <c r="AS150" s="4">
        <v>0</v>
      </c>
      <c r="AT150" s="4">
        <v>0</v>
      </c>
      <c r="AU150" s="4">
        <v>0</v>
      </c>
      <c r="AV150" s="4">
        <v>0</v>
      </c>
      <c r="AW150" s="4">
        <v>0</v>
      </c>
      <c r="AX150" s="4">
        <v>0</v>
      </c>
      <c r="AY150" s="4">
        <v>0</v>
      </c>
      <c r="AZ150" s="4">
        <v>0</v>
      </c>
      <c r="BA150" s="4">
        <v>0</v>
      </c>
      <c r="BB150" s="4">
        <v>0</v>
      </c>
      <c r="BC150" s="4">
        <v>0</v>
      </c>
      <c r="BD150" s="4">
        <v>0</v>
      </c>
      <c r="BE150" s="4">
        <v>0</v>
      </c>
      <c r="BF150" s="4">
        <v>0</v>
      </c>
      <c r="BG150" s="31">
        <f t="shared" si="32"/>
        <v>818768.25</v>
      </c>
      <c r="BH150" s="31">
        <f t="shared" si="29"/>
        <v>17431.349999999999</v>
      </c>
      <c r="BI150" s="31">
        <f t="shared" si="30"/>
        <v>0</v>
      </c>
      <c r="BJ150" s="31">
        <f t="shared" si="31"/>
        <v>801336.9</v>
      </c>
    </row>
    <row r="151" spans="3:62" x14ac:dyDescent="0.25">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31"/>
      <c r="BH151" s="31"/>
      <c r="BI151" s="31"/>
      <c r="BJ151" s="31"/>
    </row>
    <row r="152" spans="3:62" x14ac:dyDescent="0.25">
      <c r="C152" s="66">
        <v>205</v>
      </c>
      <c r="D152" s="66"/>
      <c r="E152" s="66" t="s">
        <v>256</v>
      </c>
      <c r="F152" s="67">
        <f>F153+F154+F155+F156+F157+F158+F159+F160+F161+F162</f>
        <v>0</v>
      </c>
      <c r="G152" s="67">
        <f t="shared" ref="G152:BF152" si="34">G153+G154+G155+G156+G157+G158+G159+G160+G161+G162</f>
        <v>0</v>
      </c>
      <c r="H152" s="67">
        <f t="shared" si="34"/>
        <v>0</v>
      </c>
      <c r="I152" s="67">
        <f t="shared" si="34"/>
        <v>0</v>
      </c>
      <c r="J152" s="67">
        <f t="shared" si="34"/>
        <v>0</v>
      </c>
      <c r="K152" s="67">
        <f t="shared" si="34"/>
        <v>0</v>
      </c>
      <c r="L152" s="67">
        <f t="shared" si="34"/>
        <v>20000</v>
      </c>
      <c r="M152" s="67">
        <f t="shared" si="34"/>
        <v>420000</v>
      </c>
      <c r="N152" s="67">
        <f t="shared" si="34"/>
        <v>0</v>
      </c>
      <c r="O152" s="67">
        <f t="shared" si="34"/>
        <v>0</v>
      </c>
      <c r="P152" s="67">
        <f t="shared" si="34"/>
        <v>109573.70000000001</v>
      </c>
      <c r="Q152" s="67">
        <f t="shared" si="34"/>
        <v>0</v>
      </c>
      <c r="R152" s="67">
        <f t="shared" si="34"/>
        <v>0</v>
      </c>
      <c r="S152" s="67">
        <f t="shared" si="34"/>
        <v>0</v>
      </c>
      <c r="T152" s="67">
        <f t="shared" si="34"/>
        <v>0</v>
      </c>
      <c r="U152" s="67">
        <f t="shared" si="34"/>
        <v>-1135.0999999999999</v>
      </c>
      <c r="V152" s="67">
        <f t="shared" si="34"/>
        <v>10000</v>
      </c>
      <c r="W152" s="67">
        <f t="shared" si="34"/>
        <v>0</v>
      </c>
      <c r="X152" s="67">
        <f t="shared" si="34"/>
        <v>101000</v>
      </c>
      <c r="Y152" s="67">
        <f t="shared" si="34"/>
        <v>0</v>
      </c>
      <c r="Z152" s="67">
        <f t="shared" si="34"/>
        <v>1365.15</v>
      </c>
      <c r="AA152" s="67">
        <f t="shared" si="34"/>
        <v>0</v>
      </c>
      <c r="AB152" s="67">
        <f t="shared" si="34"/>
        <v>0</v>
      </c>
      <c r="AC152" s="67">
        <f t="shared" si="34"/>
        <v>0</v>
      </c>
      <c r="AD152" s="67">
        <f t="shared" si="34"/>
        <v>0</v>
      </c>
      <c r="AE152" s="67">
        <f t="shared" si="34"/>
        <v>0</v>
      </c>
      <c r="AF152" s="67">
        <f t="shared" si="34"/>
        <v>0</v>
      </c>
      <c r="AG152" s="67">
        <f t="shared" si="34"/>
        <v>0</v>
      </c>
      <c r="AH152" s="67">
        <f t="shared" si="34"/>
        <v>0</v>
      </c>
      <c r="AI152" s="67">
        <f t="shared" si="34"/>
        <v>93642</v>
      </c>
      <c r="AJ152" s="67">
        <f t="shared" si="34"/>
        <v>0</v>
      </c>
      <c r="AK152" s="67">
        <f t="shared" si="34"/>
        <v>0</v>
      </c>
      <c r="AL152" s="67">
        <f t="shared" si="34"/>
        <v>0</v>
      </c>
      <c r="AM152" s="67">
        <f t="shared" si="34"/>
        <v>0</v>
      </c>
      <c r="AN152" s="67">
        <f t="shared" si="34"/>
        <v>0</v>
      </c>
      <c r="AO152" s="67">
        <f t="shared" si="34"/>
        <v>0</v>
      </c>
      <c r="AP152" s="67">
        <f t="shared" si="34"/>
        <v>30000</v>
      </c>
      <c r="AQ152" s="67">
        <f t="shared" si="34"/>
        <v>0</v>
      </c>
      <c r="AR152" s="67">
        <f t="shared" si="34"/>
        <v>0</v>
      </c>
      <c r="AS152" s="67">
        <f t="shared" si="34"/>
        <v>25000</v>
      </c>
      <c r="AT152" s="67">
        <f t="shared" si="34"/>
        <v>0</v>
      </c>
      <c r="AU152" s="67">
        <f t="shared" si="34"/>
        <v>0</v>
      </c>
      <c r="AV152" s="67">
        <f t="shared" si="34"/>
        <v>0</v>
      </c>
      <c r="AW152" s="67">
        <f t="shared" si="34"/>
        <v>177250.85</v>
      </c>
      <c r="AX152" s="67">
        <f t="shared" si="34"/>
        <v>31267.31</v>
      </c>
      <c r="AY152" s="67">
        <f t="shared" si="34"/>
        <v>0</v>
      </c>
      <c r="AZ152" s="67">
        <f t="shared" si="34"/>
        <v>0</v>
      </c>
      <c r="BA152" s="67">
        <f t="shared" si="34"/>
        <v>0</v>
      </c>
      <c r="BB152" s="67">
        <f t="shared" si="34"/>
        <v>0</v>
      </c>
      <c r="BC152" s="67">
        <f t="shared" si="34"/>
        <v>0</v>
      </c>
      <c r="BD152" s="67">
        <f t="shared" si="34"/>
        <v>0</v>
      </c>
      <c r="BE152" s="67">
        <f t="shared" si="34"/>
        <v>0</v>
      </c>
      <c r="BF152" s="67">
        <f t="shared" si="34"/>
        <v>0</v>
      </c>
      <c r="BG152" s="67">
        <f t="shared" si="32"/>
        <v>1017963.91</v>
      </c>
      <c r="BH152" s="67">
        <f t="shared" si="29"/>
        <v>659438.6</v>
      </c>
      <c r="BI152" s="67">
        <f t="shared" si="30"/>
        <v>95007.15</v>
      </c>
      <c r="BJ152" s="67">
        <f t="shared" si="31"/>
        <v>263518.16000000003</v>
      </c>
    </row>
    <row r="153" spans="3:62" x14ac:dyDescent="0.25">
      <c r="D153">
        <v>2050</v>
      </c>
      <c r="E153" t="s">
        <v>415</v>
      </c>
      <c r="F153" s="4">
        <v>0</v>
      </c>
      <c r="G153" s="4">
        <v>0</v>
      </c>
      <c r="H153" s="4">
        <v>0</v>
      </c>
      <c r="I153" s="4">
        <v>0</v>
      </c>
      <c r="J153" s="4">
        <v>0</v>
      </c>
      <c r="K153" s="4">
        <v>0</v>
      </c>
      <c r="L153" s="4">
        <v>20000</v>
      </c>
      <c r="M153" s="4">
        <v>420000</v>
      </c>
      <c r="N153" s="4">
        <v>0</v>
      </c>
      <c r="O153" s="4">
        <v>0</v>
      </c>
      <c r="P153" s="4">
        <v>105000</v>
      </c>
      <c r="Q153" s="4">
        <v>0</v>
      </c>
      <c r="R153" s="4">
        <v>0</v>
      </c>
      <c r="S153" s="4">
        <v>0</v>
      </c>
      <c r="T153" s="4">
        <v>0</v>
      </c>
      <c r="U153" s="4">
        <v>-1135.0999999999999</v>
      </c>
      <c r="V153" s="4">
        <v>0</v>
      </c>
      <c r="W153" s="4">
        <v>0</v>
      </c>
      <c r="X153" s="4">
        <v>98000</v>
      </c>
      <c r="Y153" s="4">
        <v>0</v>
      </c>
      <c r="Z153" s="4">
        <v>1365.15</v>
      </c>
      <c r="AA153" s="4">
        <v>0</v>
      </c>
      <c r="AB153" s="4">
        <v>0</v>
      </c>
      <c r="AC153" s="4">
        <v>0</v>
      </c>
      <c r="AD153" s="4">
        <v>0</v>
      </c>
      <c r="AE153" s="4">
        <v>0</v>
      </c>
      <c r="AF153" s="4">
        <v>0</v>
      </c>
      <c r="AG153" s="4">
        <v>0</v>
      </c>
      <c r="AH153" s="4">
        <v>0</v>
      </c>
      <c r="AI153" s="4">
        <v>65000</v>
      </c>
      <c r="AJ153" s="4">
        <v>0</v>
      </c>
      <c r="AK153" s="4">
        <v>0</v>
      </c>
      <c r="AL153" s="4">
        <v>0</v>
      </c>
      <c r="AM153" s="4">
        <v>0</v>
      </c>
      <c r="AN153" s="4">
        <v>0</v>
      </c>
      <c r="AO153" s="4">
        <v>0</v>
      </c>
      <c r="AP153" s="4">
        <v>0</v>
      </c>
      <c r="AQ153" s="4">
        <v>0</v>
      </c>
      <c r="AR153" s="4">
        <v>0</v>
      </c>
      <c r="AS153" s="4">
        <v>0</v>
      </c>
      <c r="AT153" s="4">
        <v>0</v>
      </c>
      <c r="AU153" s="4">
        <v>0</v>
      </c>
      <c r="AV153" s="4">
        <v>0</v>
      </c>
      <c r="AW153" s="4">
        <v>0</v>
      </c>
      <c r="AX153" s="4">
        <v>20777.310000000001</v>
      </c>
      <c r="AY153" s="4">
        <v>0</v>
      </c>
      <c r="AZ153" s="4">
        <v>0</v>
      </c>
      <c r="BA153" s="4">
        <v>0</v>
      </c>
      <c r="BB153" s="4">
        <v>0</v>
      </c>
      <c r="BC153" s="4">
        <v>0</v>
      </c>
      <c r="BD153" s="4">
        <v>0</v>
      </c>
      <c r="BE153" s="4">
        <v>0</v>
      </c>
      <c r="BF153" s="4">
        <v>0</v>
      </c>
      <c r="BG153" s="31">
        <f t="shared" si="32"/>
        <v>729007.3600000001</v>
      </c>
      <c r="BH153" s="31">
        <f t="shared" si="29"/>
        <v>641864.9</v>
      </c>
      <c r="BI153" s="31">
        <f t="shared" si="30"/>
        <v>66365.149999999994</v>
      </c>
      <c r="BJ153" s="31">
        <f t="shared" si="31"/>
        <v>20777.310000000001</v>
      </c>
    </row>
    <row r="154" spans="3:62" x14ac:dyDescent="0.25">
      <c r="D154">
        <v>2051</v>
      </c>
      <c r="E154" t="s">
        <v>416</v>
      </c>
      <c r="F154" s="4">
        <v>0</v>
      </c>
      <c r="G154" s="4">
        <v>0</v>
      </c>
      <c r="H154" s="4">
        <v>0</v>
      </c>
      <c r="I154" s="4">
        <v>0</v>
      </c>
      <c r="J154" s="4">
        <v>0</v>
      </c>
      <c r="K154" s="4">
        <v>0</v>
      </c>
      <c r="L154" s="4">
        <v>0</v>
      </c>
      <c r="M154" s="4">
        <v>0</v>
      </c>
      <c r="N154" s="4">
        <v>0</v>
      </c>
      <c r="O154" s="4">
        <v>0</v>
      </c>
      <c r="P154" s="4">
        <v>0</v>
      </c>
      <c r="Q154" s="4">
        <v>0</v>
      </c>
      <c r="R154" s="4">
        <v>0</v>
      </c>
      <c r="S154" s="4">
        <v>0</v>
      </c>
      <c r="T154" s="4">
        <v>0</v>
      </c>
      <c r="U154" s="4">
        <v>0</v>
      </c>
      <c r="V154" s="4">
        <v>0</v>
      </c>
      <c r="W154" s="4">
        <v>0</v>
      </c>
      <c r="X154" s="4">
        <v>0</v>
      </c>
      <c r="Y154" s="4">
        <v>0</v>
      </c>
      <c r="Z154" s="4">
        <v>0</v>
      </c>
      <c r="AA154" s="4">
        <v>0</v>
      </c>
      <c r="AB154" s="4">
        <v>0</v>
      </c>
      <c r="AC154" s="4">
        <v>0</v>
      </c>
      <c r="AD154" s="4">
        <v>0</v>
      </c>
      <c r="AE154" s="4">
        <v>0</v>
      </c>
      <c r="AF154" s="4">
        <v>0</v>
      </c>
      <c r="AG154" s="4">
        <v>0</v>
      </c>
      <c r="AH154" s="4">
        <v>0</v>
      </c>
      <c r="AI154" s="4">
        <v>0</v>
      </c>
      <c r="AJ154" s="4">
        <v>0</v>
      </c>
      <c r="AK154" s="4">
        <v>0</v>
      </c>
      <c r="AL154" s="4">
        <v>0</v>
      </c>
      <c r="AM154" s="4">
        <v>0</v>
      </c>
      <c r="AN154" s="4">
        <v>0</v>
      </c>
      <c r="AO154" s="4">
        <v>0</v>
      </c>
      <c r="AP154" s="4">
        <v>0</v>
      </c>
      <c r="AQ154" s="4">
        <v>0</v>
      </c>
      <c r="AR154" s="4">
        <v>0</v>
      </c>
      <c r="AS154" s="4">
        <v>0</v>
      </c>
      <c r="AT154" s="4">
        <v>0</v>
      </c>
      <c r="AU154" s="4">
        <v>0</v>
      </c>
      <c r="AV154" s="4">
        <v>0</v>
      </c>
      <c r="AW154" s="4">
        <v>0</v>
      </c>
      <c r="AX154" s="4">
        <v>0</v>
      </c>
      <c r="AY154" s="4">
        <v>0</v>
      </c>
      <c r="AZ154" s="4">
        <v>0</v>
      </c>
      <c r="BA154" s="4">
        <v>0</v>
      </c>
      <c r="BB154" s="4">
        <v>0</v>
      </c>
      <c r="BC154" s="4">
        <v>0</v>
      </c>
      <c r="BD154" s="4">
        <v>0</v>
      </c>
      <c r="BE154" s="4">
        <v>0</v>
      </c>
      <c r="BF154" s="4">
        <v>0</v>
      </c>
      <c r="BG154" s="31">
        <f t="shared" si="32"/>
        <v>0</v>
      </c>
      <c r="BH154" s="31">
        <f t="shared" si="29"/>
        <v>0</v>
      </c>
      <c r="BI154" s="31">
        <f t="shared" si="30"/>
        <v>0</v>
      </c>
      <c r="BJ154" s="31">
        <f t="shared" si="31"/>
        <v>0</v>
      </c>
    </row>
    <row r="155" spans="3:62" x14ac:dyDescent="0.25">
      <c r="D155">
        <v>2052</v>
      </c>
      <c r="E155" t="s">
        <v>417</v>
      </c>
      <c r="F155" s="4">
        <v>0</v>
      </c>
      <c r="G155" s="4">
        <v>0</v>
      </c>
      <c r="H155" s="4">
        <v>0</v>
      </c>
      <c r="I155" s="4">
        <v>0</v>
      </c>
      <c r="J155" s="4">
        <v>0</v>
      </c>
      <c r="K155" s="4">
        <v>0</v>
      </c>
      <c r="L155" s="4">
        <v>0</v>
      </c>
      <c r="M155" s="4">
        <v>0</v>
      </c>
      <c r="N155" s="4">
        <v>0</v>
      </c>
      <c r="O155" s="4">
        <v>0</v>
      </c>
      <c r="P155" s="4">
        <v>0</v>
      </c>
      <c r="Q155" s="4">
        <v>0</v>
      </c>
      <c r="R155" s="4">
        <v>0</v>
      </c>
      <c r="S155" s="4">
        <v>0</v>
      </c>
      <c r="T155" s="4">
        <v>0</v>
      </c>
      <c r="U155" s="4">
        <v>0</v>
      </c>
      <c r="V155" s="4">
        <v>5000</v>
      </c>
      <c r="W155" s="4">
        <v>0</v>
      </c>
      <c r="X155" s="4">
        <v>0</v>
      </c>
      <c r="Y155" s="4">
        <v>0</v>
      </c>
      <c r="Z155" s="4">
        <v>0</v>
      </c>
      <c r="AA155" s="4">
        <v>0</v>
      </c>
      <c r="AB155" s="4">
        <v>0</v>
      </c>
      <c r="AC155" s="4">
        <v>0</v>
      </c>
      <c r="AD155" s="4">
        <v>0</v>
      </c>
      <c r="AE155" s="4">
        <v>0</v>
      </c>
      <c r="AF155" s="4">
        <v>0</v>
      </c>
      <c r="AG155" s="4">
        <v>0</v>
      </c>
      <c r="AH155" s="4">
        <v>0</v>
      </c>
      <c r="AI155" s="4">
        <v>0</v>
      </c>
      <c r="AJ155" s="4">
        <v>0</v>
      </c>
      <c r="AK155" s="4">
        <v>0</v>
      </c>
      <c r="AL155" s="4">
        <v>0</v>
      </c>
      <c r="AM155" s="4">
        <v>0</v>
      </c>
      <c r="AN155" s="4">
        <v>0</v>
      </c>
      <c r="AO155" s="4">
        <v>0</v>
      </c>
      <c r="AP155" s="4">
        <v>0</v>
      </c>
      <c r="AQ155" s="4">
        <v>0</v>
      </c>
      <c r="AR155" s="4">
        <v>0</v>
      </c>
      <c r="AS155" s="4">
        <v>0</v>
      </c>
      <c r="AT155" s="4">
        <v>0</v>
      </c>
      <c r="AU155" s="4">
        <v>0</v>
      </c>
      <c r="AV155" s="4">
        <v>0</v>
      </c>
      <c r="AW155" s="4">
        <v>0</v>
      </c>
      <c r="AX155" s="4">
        <v>10490</v>
      </c>
      <c r="AY155" s="4">
        <v>0</v>
      </c>
      <c r="AZ155" s="4">
        <v>0</v>
      </c>
      <c r="BA155" s="4">
        <v>0</v>
      </c>
      <c r="BB155" s="4">
        <v>0</v>
      </c>
      <c r="BC155" s="4">
        <v>0</v>
      </c>
      <c r="BD155" s="4">
        <v>0</v>
      </c>
      <c r="BE155" s="4">
        <v>0</v>
      </c>
      <c r="BF155" s="4">
        <v>0</v>
      </c>
      <c r="BG155" s="31">
        <f t="shared" si="32"/>
        <v>15490</v>
      </c>
      <c r="BH155" s="31">
        <f t="shared" si="29"/>
        <v>5000</v>
      </c>
      <c r="BI155" s="31">
        <f t="shared" si="30"/>
        <v>0</v>
      </c>
      <c r="BJ155" s="31">
        <f t="shared" si="31"/>
        <v>10490</v>
      </c>
    </row>
    <row r="156" spans="3:62" x14ac:dyDescent="0.25">
      <c r="D156">
        <v>2053</v>
      </c>
      <c r="E156" t="s">
        <v>421</v>
      </c>
      <c r="F156" s="4">
        <v>0</v>
      </c>
      <c r="G156" s="4">
        <v>0</v>
      </c>
      <c r="H156" s="4">
        <v>0</v>
      </c>
      <c r="I156" s="4">
        <v>0</v>
      </c>
      <c r="J156" s="4">
        <v>0</v>
      </c>
      <c r="K156" s="4">
        <v>0</v>
      </c>
      <c r="L156" s="4">
        <v>0</v>
      </c>
      <c r="M156" s="4">
        <v>0</v>
      </c>
      <c r="N156" s="4">
        <v>0</v>
      </c>
      <c r="O156" s="4">
        <v>0</v>
      </c>
      <c r="P156" s="4">
        <v>0</v>
      </c>
      <c r="Q156" s="4">
        <v>0</v>
      </c>
      <c r="R156" s="4">
        <v>0</v>
      </c>
      <c r="S156" s="4">
        <v>0</v>
      </c>
      <c r="T156" s="4">
        <v>0</v>
      </c>
      <c r="U156" s="4">
        <v>0</v>
      </c>
      <c r="V156" s="4">
        <v>5000</v>
      </c>
      <c r="W156" s="4">
        <v>0</v>
      </c>
      <c r="X156" s="4">
        <v>0</v>
      </c>
      <c r="Y156" s="4">
        <v>0</v>
      </c>
      <c r="Z156" s="4">
        <v>0</v>
      </c>
      <c r="AA156" s="4">
        <v>0</v>
      </c>
      <c r="AB156" s="4">
        <v>0</v>
      </c>
      <c r="AC156" s="4">
        <v>0</v>
      </c>
      <c r="AD156" s="4">
        <v>0</v>
      </c>
      <c r="AE156" s="4">
        <v>0</v>
      </c>
      <c r="AF156" s="4">
        <v>0</v>
      </c>
      <c r="AG156" s="4">
        <v>0</v>
      </c>
      <c r="AH156" s="4">
        <v>0</v>
      </c>
      <c r="AI156" s="4">
        <v>0</v>
      </c>
      <c r="AJ156" s="4">
        <v>0</v>
      </c>
      <c r="AK156" s="4">
        <v>0</v>
      </c>
      <c r="AL156" s="4">
        <v>0</v>
      </c>
      <c r="AM156" s="4">
        <v>0</v>
      </c>
      <c r="AN156" s="4">
        <v>0</v>
      </c>
      <c r="AO156" s="4">
        <v>0</v>
      </c>
      <c r="AP156" s="4">
        <v>30000</v>
      </c>
      <c r="AQ156" s="4">
        <v>0</v>
      </c>
      <c r="AR156" s="4">
        <v>0</v>
      </c>
      <c r="AS156" s="4">
        <v>0</v>
      </c>
      <c r="AT156" s="4">
        <v>0</v>
      </c>
      <c r="AU156" s="4">
        <v>0</v>
      </c>
      <c r="AV156" s="4">
        <v>0</v>
      </c>
      <c r="AW156" s="4">
        <v>90763.32</v>
      </c>
      <c r="AX156" s="4">
        <v>0</v>
      </c>
      <c r="AY156" s="4">
        <v>0</v>
      </c>
      <c r="AZ156" s="4">
        <v>0</v>
      </c>
      <c r="BA156" s="4">
        <v>0</v>
      </c>
      <c r="BB156" s="4">
        <v>0</v>
      </c>
      <c r="BC156" s="4">
        <v>0</v>
      </c>
      <c r="BD156" s="4">
        <v>0</v>
      </c>
      <c r="BE156" s="4">
        <v>0</v>
      </c>
      <c r="BF156" s="4">
        <v>0</v>
      </c>
      <c r="BG156" s="31">
        <f t="shared" si="32"/>
        <v>125763.32</v>
      </c>
      <c r="BH156" s="31">
        <f t="shared" si="29"/>
        <v>5000</v>
      </c>
      <c r="BI156" s="31">
        <f t="shared" si="30"/>
        <v>0</v>
      </c>
      <c r="BJ156" s="31">
        <f t="shared" si="31"/>
        <v>120763.32</v>
      </c>
    </row>
    <row r="157" spans="3:62" x14ac:dyDescent="0.25">
      <c r="D157">
        <v>2054</v>
      </c>
      <c r="E157" t="s">
        <v>419</v>
      </c>
      <c r="F157" s="4">
        <v>0</v>
      </c>
      <c r="G157" s="4">
        <v>0</v>
      </c>
      <c r="H157" s="4">
        <v>0</v>
      </c>
      <c r="I157" s="4">
        <v>0</v>
      </c>
      <c r="J157" s="4">
        <v>0</v>
      </c>
      <c r="K157" s="4">
        <v>0</v>
      </c>
      <c r="L157" s="4">
        <v>0</v>
      </c>
      <c r="M157" s="4">
        <v>0</v>
      </c>
      <c r="N157" s="4">
        <v>0</v>
      </c>
      <c r="O157" s="4">
        <v>0</v>
      </c>
      <c r="P157" s="4">
        <v>495.6</v>
      </c>
      <c r="Q157" s="4">
        <v>0</v>
      </c>
      <c r="R157" s="4">
        <v>0</v>
      </c>
      <c r="S157" s="4">
        <v>0</v>
      </c>
      <c r="T157" s="4">
        <v>0</v>
      </c>
      <c r="U157" s="4">
        <v>0</v>
      </c>
      <c r="V157" s="4">
        <v>0</v>
      </c>
      <c r="W157" s="4">
        <v>0</v>
      </c>
      <c r="X157" s="4">
        <v>0</v>
      </c>
      <c r="Y157" s="4">
        <v>0</v>
      </c>
      <c r="Z157" s="4">
        <v>0</v>
      </c>
      <c r="AA157" s="4">
        <v>0</v>
      </c>
      <c r="AB157" s="4">
        <v>0</v>
      </c>
      <c r="AC157" s="4">
        <v>0</v>
      </c>
      <c r="AD157" s="4">
        <v>0</v>
      </c>
      <c r="AE157" s="4">
        <v>0</v>
      </c>
      <c r="AF157" s="4">
        <v>0</v>
      </c>
      <c r="AG157" s="4">
        <v>0</v>
      </c>
      <c r="AH157" s="4">
        <v>0</v>
      </c>
      <c r="AI157" s="4">
        <v>0</v>
      </c>
      <c r="AJ157" s="4">
        <v>0</v>
      </c>
      <c r="AK157" s="4">
        <v>0</v>
      </c>
      <c r="AL157" s="4">
        <v>0</v>
      </c>
      <c r="AM157" s="4">
        <v>0</v>
      </c>
      <c r="AN157" s="4">
        <v>0</v>
      </c>
      <c r="AO157" s="4">
        <v>0</v>
      </c>
      <c r="AP157" s="4">
        <v>0</v>
      </c>
      <c r="AQ157" s="4">
        <v>0</v>
      </c>
      <c r="AR157" s="4">
        <v>0</v>
      </c>
      <c r="AS157" s="4">
        <v>0</v>
      </c>
      <c r="AT157" s="4">
        <v>0</v>
      </c>
      <c r="AU157" s="4">
        <v>0</v>
      </c>
      <c r="AV157" s="4">
        <v>0</v>
      </c>
      <c r="AW157" s="4">
        <v>0</v>
      </c>
      <c r="AX157" s="4">
        <v>0</v>
      </c>
      <c r="AY157" s="4">
        <v>0</v>
      </c>
      <c r="AZ157" s="4">
        <v>0</v>
      </c>
      <c r="BA157" s="4">
        <v>0</v>
      </c>
      <c r="BB157" s="4">
        <v>0</v>
      </c>
      <c r="BC157" s="4">
        <v>0</v>
      </c>
      <c r="BD157" s="4">
        <v>0</v>
      </c>
      <c r="BE157" s="4">
        <v>0</v>
      </c>
      <c r="BF157" s="4">
        <v>0</v>
      </c>
      <c r="BG157" s="31">
        <f t="shared" si="32"/>
        <v>495.6</v>
      </c>
      <c r="BH157" s="31">
        <f t="shared" si="29"/>
        <v>495.6</v>
      </c>
      <c r="BI157" s="31">
        <f t="shared" si="30"/>
        <v>0</v>
      </c>
      <c r="BJ157" s="31">
        <f t="shared" si="31"/>
        <v>0</v>
      </c>
    </row>
    <row r="158" spans="3:62" x14ac:dyDescent="0.25">
      <c r="D158">
        <v>2055</v>
      </c>
      <c r="E158" t="s">
        <v>418</v>
      </c>
      <c r="F158" s="4">
        <v>0</v>
      </c>
      <c r="G158" s="4">
        <v>0</v>
      </c>
      <c r="H158" s="4">
        <v>0</v>
      </c>
      <c r="I158" s="4">
        <v>0</v>
      </c>
      <c r="J158" s="4">
        <v>0</v>
      </c>
      <c r="K158" s="4">
        <v>0</v>
      </c>
      <c r="L158" s="4">
        <v>0</v>
      </c>
      <c r="M158" s="4">
        <v>0</v>
      </c>
      <c r="N158" s="4">
        <v>0</v>
      </c>
      <c r="O158" s="4">
        <v>0</v>
      </c>
      <c r="P158" s="4">
        <v>0</v>
      </c>
      <c r="Q158" s="4">
        <v>0</v>
      </c>
      <c r="R158" s="4">
        <v>0</v>
      </c>
      <c r="S158" s="4">
        <v>0</v>
      </c>
      <c r="T158" s="4">
        <v>0</v>
      </c>
      <c r="U158" s="4">
        <v>0</v>
      </c>
      <c r="V158" s="4">
        <v>0</v>
      </c>
      <c r="W158" s="4">
        <v>0</v>
      </c>
      <c r="X158" s="4">
        <v>0</v>
      </c>
      <c r="Y158" s="4">
        <v>0</v>
      </c>
      <c r="Z158" s="4">
        <v>0</v>
      </c>
      <c r="AA158" s="4">
        <v>0</v>
      </c>
      <c r="AB158" s="4">
        <v>0</v>
      </c>
      <c r="AC158" s="4">
        <v>0</v>
      </c>
      <c r="AD158" s="4">
        <v>0</v>
      </c>
      <c r="AE158" s="4">
        <v>0</v>
      </c>
      <c r="AF158" s="4">
        <v>0</v>
      </c>
      <c r="AG158" s="4">
        <v>0</v>
      </c>
      <c r="AH158" s="4">
        <v>0</v>
      </c>
      <c r="AI158" s="4">
        <v>0</v>
      </c>
      <c r="AJ158" s="4">
        <v>0</v>
      </c>
      <c r="AK158" s="4">
        <v>0</v>
      </c>
      <c r="AL158" s="4">
        <v>0</v>
      </c>
      <c r="AM158" s="4">
        <v>0</v>
      </c>
      <c r="AN158" s="4">
        <v>0</v>
      </c>
      <c r="AO158" s="4">
        <v>0</v>
      </c>
      <c r="AP158" s="4">
        <v>0</v>
      </c>
      <c r="AQ158" s="4">
        <v>0</v>
      </c>
      <c r="AR158" s="4">
        <v>0</v>
      </c>
      <c r="AS158" s="4">
        <v>0</v>
      </c>
      <c r="AT158" s="4">
        <v>0</v>
      </c>
      <c r="AU158" s="4">
        <v>0</v>
      </c>
      <c r="AV158" s="4">
        <v>0</v>
      </c>
      <c r="AW158" s="4">
        <v>86487.53</v>
      </c>
      <c r="AX158" s="4">
        <v>0</v>
      </c>
      <c r="AY158" s="4">
        <v>0</v>
      </c>
      <c r="AZ158" s="4">
        <v>0</v>
      </c>
      <c r="BA158" s="4">
        <v>0</v>
      </c>
      <c r="BB158" s="4">
        <v>0</v>
      </c>
      <c r="BC158" s="4">
        <v>0</v>
      </c>
      <c r="BD158" s="4">
        <v>0</v>
      </c>
      <c r="BE158" s="4">
        <v>0</v>
      </c>
      <c r="BF158" s="4">
        <v>0</v>
      </c>
      <c r="BG158" s="31">
        <f t="shared" si="32"/>
        <v>86487.53</v>
      </c>
      <c r="BH158" s="31">
        <f t="shared" si="29"/>
        <v>0</v>
      </c>
      <c r="BI158" s="31">
        <f t="shared" si="30"/>
        <v>0</v>
      </c>
      <c r="BJ158" s="31">
        <f t="shared" si="31"/>
        <v>86487.53</v>
      </c>
    </row>
    <row r="159" spans="3:62" x14ac:dyDescent="0.25">
      <c r="D159">
        <v>2056</v>
      </c>
      <c r="E159" t="s">
        <v>420</v>
      </c>
      <c r="F159" s="4">
        <v>0</v>
      </c>
      <c r="G159" s="4">
        <v>0</v>
      </c>
      <c r="H159" s="4">
        <v>0</v>
      </c>
      <c r="I159" s="4">
        <v>0</v>
      </c>
      <c r="J159" s="4">
        <v>0</v>
      </c>
      <c r="K159" s="4">
        <v>0</v>
      </c>
      <c r="L159" s="4">
        <v>0</v>
      </c>
      <c r="M159" s="4">
        <v>0</v>
      </c>
      <c r="N159" s="4">
        <v>0</v>
      </c>
      <c r="O159" s="4">
        <v>0</v>
      </c>
      <c r="P159" s="4">
        <v>0</v>
      </c>
      <c r="Q159" s="4">
        <v>0</v>
      </c>
      <c r="R159" s="4">
        <v>0</v>
      </c>
      <c r="S159" s="4">
        <v>0</v>
      </c>
      <c r="T159" s="4">
        <v>0</v>
      </c>
      <c r="U159" s="4">
        <v>0</v>
      </c>
      <c r="V159" s="4">
        <v>0</v>
      </c>
      <c r="W159" s="4">
        <v>0</v>
      </c>
      <c r="X159" s="4">
        <v>0</v>
      </c>
      <c r="Y159" s="4">
        <v>0</v>
      </c>
      <c r="Z159" s="4">
        <v>0</v>
      </c>
      <c r="AA159" s="4">
        <v>0</v>
      </c>
      <c r="AB159" s="4">
        <v>0</v>
      </c>
      <c r="AC159" s="4">
        <v>0</v>
      </c>
      <c r="AD159" s="4">
        <v>0</v>
      </c>
      <c r="AE159" s="4">
        <v>0</v>
      </c>
      <c r="AF159" s="4">
        <v>0</v>
      </c>
      <c r="AG159" s="4">
        <v>0</v>
      </c>
      <c r="AH159" s="4">
        <v>0</v>
      </c>
      <c r="AI159" s="4">
        <v>0</v>
      </c>
      <c r="AJ159" s="4">
        <v>0</v>
      </c>
      <c r="AK159" s="4">
        <v>0</v>
      </c>
      <c r="AL159" s="4">
        <v>0</v>
      </c>
      <c r="AM159" s="4">
        <v>0</v>
      </c>
      <c r="AN159" s="4">
        <v>0</v>
      </c>
      <c r="AO159" s="4">
        <v>0</v>
      </c>
      <c r="AP159" s="4">
        <v>0</v>
      </c>
      <c r="AQ159" s="4">
        <v>0</v>
      </c>
      <c r="AR159" s="4">
        <v>0</v>
      </c>
      <c r="AS159" s="4">
        <v>0</v>
      </c>
      <c r="AT159" s="4">
        <v>0</v>
      </c>
      <c r="AU159" s="4">
        <v>0</v>
      </c>
      <c r="AV159" s="4">
        <v>0</v>
      </c>
      <c r="AW159" s="4">
        <v>0</v>
      </c>
      <c r="AX159" s="4">
        <v>0</v>
      </c>
      <c r="AY159" s="4">
        <v>0</v>
      </c>
      <c r="AZ159" s="4">
        <v>0</v>
      </c>
      <c r="BA159" s="4">
        <v>0</v>
      </c>
      <c r="BB159" s="4">
        <v>0</v>
      </c>
      <c r="BC159" s="4">
        <v>0</v>
      </c>
      <c r="BD159" s="4">
        <v>0</v>
      </c>
      <c r="BE159" s="4">
        <v>0</v>
      </c>
      <c r="BF159" s="4">
        <v>0</v>
      </c>
      <c r="BG159" s="31">
        <f t="shared" si="32"/>
        <v>0</v>
      </c>
      <c r="BH159" s="31">
        <f t="shared" si="29"/>
        <v>0</v>
      </c>
      <c r="BI159" s="31">
        <f t="shared" si="30"/>
        <v>0</v>
      </c>
      <c r="BJ159" s="31">
        <f t="shared" si="31"/>
        <v>0</v>
      </c>
    </row>
    <row r="160" spans="3:62" x14ac:dyDescent="0.25">
      <c r="D160">
        <v>2057</v>
      </c>
      <c r="E160" t="s">
        <v>422</v>
      </c>
      <c r="F160" s="4">
        <v>0</v>
      </c>
      <c r="G160" s="4">
        <v>0</v>
      </c>
      <c r="H160" s="4">
        <v>0</v>
      </c>
      <c r="I160" s="4">
        <v>0</v>
      </c>
      <c r="J160" s="4">
        <v>0</v>
      </c>
      <c r="K160" s="4">
        <v>0</v>
      </c>
      <c r="L160" s="4">
        <v>0</v>
      </c>
      <c r="M160" s="4">
        <v>0</v>
      </c>
      <c r="N160" s="4">
        <v>0</v>
      </c>
      <c r="O160" s="4">
        <v>0</v>
      </c>
      <c r="P160" s="4">
        <v>0</v>
      </c>
      <c r="Q160" s="4">
        <v>0</v>
      </c>
      <c r="R160" s="4">
        <v>0</v>
      </c>
      <c r="S160" s="4">
        <v>0</v>
      </c>
      <c r="T160" s="4">
        <v>0</v>
      </c>
      <c r="U160" s="4">
        <v>0</v>
      </c>
      <c r="V160" s="4">
        <v>0</v>
      </c>
      <c r="W160" s="4">
        <v>0</v>
      </c>
      <c r="X160" s="4">
        <v>0</v>
      </c>
      <c r="Y160" s="4">
        <v>0</v>
      </c>
      <c r="Z160" s="4">
        <v>0</v>
      </c>
      <c r="AA160" s="4">
        <v>0</v>
      </c>
      <c r="AB160" s="4">
        <v>0</v>
      </c>
      <c r="AC160" s="4">
        <v>0</v>
      </c>
      <c r="AD160" s="4">
        <v>0</v>
      </c>
      <c r="AE160" s="4">
        <v>0</v>
      </c>
      <c r="AF160" s="4">
        <v>0</v>
      </c>
      <c r="AG160" s="4">
        <v>0</v>
      </c>
      <c r="AH160" s="4">
        <v>0</v>
      </c>
      <c r="AI160" s="4">
        <v>28642</v>
      </c>
      <c r="AJ160" s="4">
        <v>0</v>
      </c>
      <c r="AK160" s="4">
        <v>0</v>
      </c>
      <c r="AL160" s="4">
        <v>0</v>
      </c>
      <c r="AM160" s="4">
        <v>0</v>
      </c>
      <c r="AN160" s="4">
        <v>0</v>
      </c>
      <c r="AO160" s="4">
        <v>0</v>
      </c>
      <c r="AP160" s="4">
        <v>0</v>
      </c>
      <c r="AQ160" s="4">
        <v>0</v>
      </c>
      <c r="AR160" s="4">
        <v>0</v>
      </c>
      <c r="AS160" s="4">
        <v>0</v>
      </c>
      <c r="AT160" s="4">
        <v>0</v>
      </c>
      <c r="AU160" s="4">
        <v>0</v>
      </c>
      <c r="AV160" s="4">
        <v>0</v>
      </c>
      <c r="AW160" s="4">
        <v>0</v>
      </c>
      <c r="AX160" s="4">
        <v>0</v>
      </c>
      <c r="AY160" s="4">
        <v>0</v>
      </c>
      <c r="AZ160" s="4">
        <v>0</v>
      </c>
      <c r="BA160" s="4">
        <v>0</v>
      </c>
      <c r="BB160" s="4">
        <v>0</v>
      </c>
      <c r="BC160" s="4">
        <v>0</v>
      </c>
      <c r="BD160" s="4">
        <v>0</v>
      </c>
      <c r="BE160" s="4">
        <v>0</v>
      </c>
      <c r="BF160" s="4">
        <v>0</v>
      </c>
      <c r="BG160" s="31">
        <f t="shared" si="32"/>
        <v>28642</v>
      </c>
      <c r="BH160" s="31">
        <f t="shared" si="29"/>
        <v>0</v>
      </c>
      <c r="BI160" s="31">
        <f t="shared" si="30"/>
        <v>28642</v>
      </c>
      <c r="BJ160" s="31">
        <f t="shared" si="31"/>
        <v>0</v>
      </c>
    </row>
    <row r="161" spans="3:62" x14ac:dyDescent="0.25">
      <c r="D161">
        <v>2058</v>
      </c>
      <c r="E161" t="s">
        <v>423</v>
      </c>
      <c r="F161" s="4">
        <v>0</v>
      </c>
      <c r="G161" s="4">
        <v>0</v>
      </c>
      <c r="H161" s="4">
        <v>0</v>
      </c>
      <c r="I161" s="4">
        <v>0</v>
      </c>
      <c r="J161" s="4">
        <v>0</v>
      </c>
      <c r="K161" s="4">
        <v>0</v>
      </c>
      <c r="L161" s="4">
        <v>0</v>
      </c>
      <c r="M161" s="4">
        <v>0</v>
      </c>
      <c r="N161" s="4">
        <v>0</v>
      </c>
      <c r="O161" s="4">
        <v>0</v>
      </c>
      <c r="P161" s="4">
        <v>0</v>
      </c>
      <c r="Q161" s="4">
        <v>0</v>
      </c>
      <c r="R161" s="4">
        <v>0</v>
      </c>
      <c r="S161" s="4">
        <v>0</v>
      </c>
      <c r="T161" s="4">
        <v>0</v>
      </c>
      <c r="U161" s="4">
        <v>0</v>
      </c>
      <c r="V161" s="4">
        <v>0</v>
      </c>
      <c r="W161" s="4">
        <v>0</v>
      </c>
      <c r="X161" s="4">
        <v>0</v>
      </c>
      <c r="Y161" s="4">
        <v>0</v>
      </c>
      <c r="Z161" s="4">
        <v>0</v>
      </c>
      <c r="AA161" s="4">
        <v>0</v>
      </c>
      <c r="AB161" s="4">
        <v>0</v>
      </c>
      <c r="AC161" s="4">
        <v>0</v>
      </c>
      <c r="AD161" s="4">
        <v>0</v>
      </c>
      <c r="AE161" s="4">
        <v>0</v>
      </c>
      <c r="AF161" s="4">
        <v>0</v>
      </c>
      <c r="AG161" s="4">
        <v>0</v>
      </c>
      <c r="AH161" s="4">
        <v>0</v>
      </c>
      <c r="AI161" s="4">
        <v>0</v>
      </c>
      <c r="AJ161" s="4">
        <v>0</v>
      </c>
      <c r="AK161" s="4">
        <v>0</v>
      </c>
      <c r="AL161" s="4">
        <v>0</v>
      </c>
      <c r="AM161" s="4">
        <v>0</v>
      </c>
      <c r="AN161" s="4">
        <v>0</v>
      </c>
      <c r="AO161" s="4">
        <v>0</v>
      </c>
      <c r="AP161" s="4">
        <v>0</v>
      </c>
      <c r="AQ161" s="4">
        <v>0</v>
      </c>
      <c r="AR161" s="4">
        <v>0</v>
      </c>
      <c r="AS161" s="4">
        <v>25000</v>
      </c>
      <c r="AT161" s="4">
        <v>0</v>
      </c>
      <c r="AU161" s="4">
        <v>0</v>
      </c>
      <c r="AV161" s="4">
        <v>0</v>
      </c>
      <c r="AW161" s="4">
        <v>0</v>
      </c>
      <c r="AX161" s="4">
        <v>0</v>
      </c>
      <c r="AY161" s="4">
        <v>0</v>
      </c>
      <c r="AZ161" s="4">
        <v>0</v>
      </c>
      <c r="BA161" s="4">
        <v>0</v>
      </c>
      <c r="BB161" s="4">
        <v>0</v>
      </c>
      <c r="BC161" s="4">
        <v>0</v>
      </c>
      <c r="BD161" s="4">
        <v>0</v>
      </c>
      <c r="BE161" s="4">
        <v>0</v>
      </c>
      <c r="BF161" s="4">
        <v>0</v>
      </c>
      <c r="BG161" s="31">
        <f t="shared" si="32"/>
        <v>25000</v>
      </c>
      <c r="BH161" s="31">
        <f t="shared" si="29"/>
        <v>0</v>
      </c>
      <c r="BI161" s="31">
        <f t="shared" si="30"/>
        <v>0</v>
      </c>
      <c r="BJ161" s="31">
        <f t="shared" si="31"/>
        <v>25000</v>
      </c>
    </row>
    <row r="162" spans="3:62" x14ac:dyDescent="0.25">
      <c r="D162">
        <v>2059</v>
      </c>
      <c r="E162" t="s">
        <v>424</v>
      </c>
      <c r="F162" s="4">
        <v>0</v>
      </c>
      <c r="G162" s="4">
        <v>0</v>
      </c>
      <c r="H162" s="4">
        <v>0</v>
      </c>
      <c r="I162" s="4">
        <v>0</v>
      </c>
      <c r="J162" s="4">
        <v>0</v>
      </c>
      <c r="K162" s="4">
        <v>0</v>
      </c>
      <c r="L162" s="4">
        <v>0</v>
      </c>
      <c r="M162" s="4">
        <v>0</v>
      </c>
      <c r="N162" s="4">
        <v>0</v>
      </c>
      <c r="O162" s="4">
        <v>0</v>
      </c>
      <c r="P162" s="4">
        <v>4078.1</v>
      </c>
      <c r="Q162" s="4">
        <v>0</v>
      </c>
      <c r="R162" s="4">
        <v>0</v>
      </c>
      <c r="S162" s="4">
        <v>0</v>
      </c>
      <c r="T162" s="4">
        <v>0</v>
      </c>
      <c r="U162" s="4">
        <v>0</v>
      </c>
      <c r="V162" s="4">
        <v>0</v>
      </c>
      <c r="W162" s="4">
        <v>0</v>
      </c>
      <c r="X162" s="4">
        <v>3000</v>
      </c>
      <c r="Y162" s="4">
        <v>0</v>
      </c>
      <c r="Z162" s="4">
        <v>0</v>
      </c>
      <c r="AA162" s="4">
        <v>0</v>
      </c>
      <c r="AB162" s="4">
        <v>0</v>
      </c>
      <c r="AC162" s="4">
        <v>0</v>
      </c>
      <c r="AD162" s="4">
        <v>0</v>
      </c>
      <c r="AE162" s="4">
        <v>0</v>
      </c>
      <c r="AF162" s="4">
        <v>0</v>
      </c>
      <c r="AG162" s="4">
        <v>0</v>
      </c>
      <c r="AH162" s="4">
        <v>0</v>
      </c>
      <c r="AI162" s="4">
        <v>0</v>
      </c>
      <c r="AJ162" s="4">
        <v>0</v>
      </c>
      <c r="AK162" s="4">
        <v>0</v>
      </c>
      <c r="AL162" s="4">
        <v>0</v>
      </c>
      <c r="AM162" s="4">
        <v>0</v>
      </c>
      <c r="AN162" s="4">
        <v>0</v>
      </c>
      <c r="AO162" s="4">
        <v>0</v>
      </c>
      <c r="AP162" s="4">
        <v>0</v>
      </c>
      <c r="AQ162" s="4">
        <v>0</v>
      </c>
      <c r="AR162" s="4">
        <v>0</v>
      </c>
      <c r="AS162" s="4">
        <v>0</v>
      </c>
      <c r="AT162" s="4">
        <v>0</v>
      </c>
      <c r="AU162" s="4">
        <v>0</v>
      </c>
      <c r="AV162" s="4">
        <v>0</v>
      </c>
      <c r="AW162" s="4">
        <v>0</v>
      </c>
      <c r="AX162" s="4">
        <v>0</v>
      </c>
      <c r="AY162" s="4">
        <v>0</v>
      </c>
      <c r="AZ162" s="4">
        <v>0</v>
      </c>
      <c r="BA162" s="4">
        <v>0</v>
      </c>
      <c r="BB162" s="4">
        <v>0</v>
      </c>
      <c r="BC162" s="4">
        <v>0</v>
      </c>
      <c r="BD162" s="4">
        <v>0</v>
      </c>
      <c r="BE162" s="4">
        <v>0</v>
      </c>
      <c r="BF162" s="4">
        <v>0</v>
      </c>
      <c r="BG162" s="31">
        <f t="shared" si="32"/>
        <v>7078.1</v>
      </c>
      <c r="BH162" s="31">
        <f t="shared" si="29"/>
        <v>7078.1</v>
      </c>
      <c r="BI162" s="31">
        <f t="shared" si="30"/>
        <v>0</v>
      </c>
      <c r="BJ162" s="31">
        <f t="shared" si="31"/>
        <v>0</v>
      </c>
    </row>
    <row r="163" spans="3:62" x14ac:dyDescent="0.25">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31"/>
      <c r="BH163" s="31"/>
      <c r="BI163" s="31"/>
      <c r="BJ163" s="31"/>
    </row>
    <row r="164" spans="3:62" x14ac:dyDescent="0.25">
      <c r="C164" s="66">
        <v>206</v>
      </c>
      <c r="D164" s="66"/>
      <c r="E164" s="66" t="s">
        <v>257</v>
      </c>
      <c r="F164" s="67">
        <f>F165+F166+F167+F168+F169+F170</f>
        <v>4604400</v>
      </c>
      <c r="G164" s="67">
        <f t="shared" ref="G164:BF164" si="35">G165+G166+G167+G168+G169+G170</f>
        <v>2069199.6</v>
      </c>
      <c r="H164" s="67">
        <f t="shared" si="35"/>
        <v>5177800</v>
      </c>
      <c r="I164" s="67">
        <f t="shared" si="35"/>
        <v>3890756.96</v>
      </c>
      <c r="J164" s="67">
        <f t="shared" si="35"/>
        <v>17756300</v>
      </c>
      <c r="K164" s="67">
        <f t="shared" si="35"/>
        <v>16190550</v>
      </c>
      <c r="L164" s="67">
        <f t="shared" si="35"/>
        <v>9758495.1300000008</v>
      </c>
      <c r="M164" s="67">
        <f t="shared" si="35"/>
        <v>95091195.150000006</v>
      </c>
      <c r="N164" s="67">
        <f t="shared" si="35"/>
        <v>6134829.75</v>
      </c>
      <c r="O164" s="67">
        <f t="shared" si="35"/>
        <v>780304.9</v>
      </c>
      <c r="P164" s="67">
        <f t="shared" si="35"/>
        <v>25935350.149999999</v>
      </c>
      <c r="Q164" s="67">
        <f t="shared" si="35"/>
        <v>1776635.35</v>
      </c>
      <c r="R164" s="67">
        <f t="shared" si="35"/>
        <v>376450</v>
      </c>
      <c r="S164" s="67">
        <f t="shared" si="35"/>
        <v>2943627.35</v>
      </c>
      <c r="T164" s="67">
        <f t="shared" si="35"/>
        <v>1060911</v>
      </c>
      <c r="U164" s="67">
        <f t="shared" si="35"/>
        <v>4871800</v>
      </c>
      <c r="V164" s="67">
        <f t="shared" si="35"/>
        <v>504350</v>
      </c>
      <c r="W164" s="67">
        <f t="shared" si="35"/>
        <v>3263161.06</v>
      </c>
      <c r="X164" s="67">
        <f t="shared" si="35"/>
        <v>12462575</v>
      </c>
      <c r="Y164" s="67">
        <f t="shared" si="35"/>
        <v>196736.2</v>
      </c>
      <c r="Z164" s="67">
        <f t="shared" si="35"/>
        <v>9245800</v>
      </c>
      <c r="AA164" s="67">
        <f t="shared" si="35"/>
        <v>700000</v>
      </c>
      <c r="AB164" s="67">
        <f t="shared" si="35"/>
        <v>768670.9</v>
      </c>
      <c r="AC164" s="67">
        <f t="shared" si="35"/>
        <v>1175000</v>
      </c>
      <c r="AD164" s="67">
        <f t="shared" si="35"/>
        <v>2701405</v>
      </c>
      <c r="AE164" s="67">
        <f t="shared" si="35"/>
        <v>7038135.8499999996</v>
      </c>
      <c r="AF164" s="67">
        <f t="shared" si="35"/>
        <v>3142600</v>
      </c>
      <c r="AG164" s="67">
        <f t="shared" si="35"/>
        <v>490800</v>
      </c>
      <c r="AH164" s="67">
        <f t="shared" si="35"/>
        <v>4291400</v>
      </c>
      <c r="AI164" s="67">
        <f t="shared" si="35"/>
        <v>14869135.15</v>
      </c>
      <c r="AJ164" s="67">
        <f t="shared" si="35"/>
        <v>834750.62</v>
      </c>
      <c r="AK164" s="67">
        <f t="shared" si="35"/>
        <v>823610</v>
      </c>
      <c r="AL164" s="67">
        <f t="shared" si="35"/>
        <v>17359320</v>
      </c>
      <c r="AM164" s="67">
        <f t="shared" si="35"/>
        <v>8587000</v>
      </c>
      <c r="AN164" s="67">
        <f t="shared" si="35"/>
        <v>10539574.300000001</v>
      </c>
      <c r="AO164" s="67">
        <f t="shared" si="35"/>
        <v>1584400</v>
      </c>
      <c r="AP164" s="67">
        <f t="shared" si="35"/>
        <v>8421550</v>
      </c>
      <c r="AQ164" s="67">
        <f t="shared" si="35"/>
        <v>4601800</v>
      </c>
      <c r="AR164" s="67">
        <f t="shared" si="35"/>
        <v>3432745</v>
      </c>
      <c r="AS164" s="67">
        <f t="shared" si="35"/>
        <v>10477846.050000001</v>
      </c>
      <c r="AT164" s="67">
        <f t="shared" si="35"/>
        <v>4848271.0999999996</v>
      </c>
      <c r="AU164" s="67">
        <f t="shared" si="35"/>
        <v>8332909.5</v>
      </c>
      <c r="AV164" s="67">
        <f t="shared" si="35"/>
        <v>1806665</v>
      </c>
      <c r="AW164" s="67">
        <f t="shared" si="35"/>
        <v>12929000</v>
      </c>
      <c r="AX164" s="67">
        <f t="shared" si="35"/>
        <v>5224542</v>
      </c>
      <c r="AY164" s="67">
        <f t="shared" si="35"/>
        <v>637770</v>
      </c>
      <c r="AZ164" s="67">
        <f t="shared" si="35"/>
        <v>1878500</v>
      </c>
      <c r="BA164" s="67">
        <f t="shared" si="35"/>
        <v>17771972</v>
      </c>
      <c r="BB164" s="67">
        <f t="shared" si="35"/>
        <v>860500</v>
      </c>
      <c r="BC164" s="67">
        <f t="shared" si="35"/>
        <v>7129460</v>
      </c>
      <c r="BD164" s="67">
        <f t="shared" si="35"/>
        <v>138745.70000000001</v>
      </c>
      <c r="BE164" s="67">
        <f t="shared" si="35"/>
        <v>52417022</v>
      </c>
      <c r="BF164" s="67">
        <f t="shared" si="35"/>
        <v>3579778.15</v>
      </c>
      <c r="BG164" s="67">
        <f t="shared" si="32"/>
        <v>443486105.92000002</v>
      </c>
      <c r="BH164" s="67">
        <f t="shared" si="29"/>
        <v>214648691.40000001</v>
      </c>
      <c r="BI164" s="67">
        <f t="shared" si="30"/>
        <v>46278043.719999999</v>
      </c>
      <c r="BJ164" s="67">
        <f t="shared" si="31"/>
        <v>182559370.79999998</v>
      </c>
    </row>
    <row r="165" spans="3:62" x14ac:dyDescent="0.25">
      <c r="D165">
        <v>2060</v>
      </c>
      <c r="E165" t="s">
        <v>425</v>
      </c>
      <c r="F165" s="4">
        <v>0</v>
      </c>
      <c r="G165" s="4">
        <v>542800</v>
      </c>
      <c r="H165" s="4">
        <v>5168000</v>
      </c>
      <c r="I165" s="4">
        <v>0</v>
      </c>
      <c r="J165" s="4">
        <v>0</v>
      </c>
      <c r="K165" s="4">
        <v>0</v>
      </c>
      <c r="L165" s="4">
        <v>0</v>
      </c>
      <c r="M165" s="4">
        <v>0</v>
      </c>
      <c r="N165" s="4">
        <v>0</v>
      </c>
      <c r="O165" s="4">
        <v>0</v>
      </c>
      <c r="P165" s="4">
        <v>0</v>
      </c>
      <c r="Q165" s="4">
        <v>0</v>
      </c>
      <c r="R165" s="4">
        <v>0</v>
      </c>
      <c r="S165" s="4">
        <v>0</v>
      </c>
      <c r="T165" s="4">
        <v>0</v>
      </c>
      <c r="U165" s="4">
        <v>105500</v>
      </c>
      <c r="V165" s="4">
        <v>0</v>
      </c>
      <c r="W165" s="4">
        <v>0</v>
      </c>
      <c r="X165" s="4">
        <v>0</v>
      </c>
      <c r="Y165" s="4">
        <v>0</v>
      </c>
      <c r="Z165" s="4">
        <v>0</v>
      </c>
      <c r="AA165" s="4">
        <v>0</v>
      </c>
      <c r="AB165" s="4">
        <v>0</v>
      </c>
      <c r="AC165" s="4">
        <v>0</v>
      </c>
      <c r="AD165" s="4">
        <v>2712455</v>
      </c>
      <c r="AE165" s="4">
        <v>0</v>
      </c>
      <c r="AF165" s="4">
        <v>0</v>
      </c>
      <c r="AG165" s="4">
        <v>0</v>
      </c>
      <c r="AH165" s="4">
        <v>0</v>
      </c>
      <c r="AI165" s="4">
        <v>15061716.300000001</v>
      </c>
      <c r="AJ165" s="4">
        <v>31490</v>
      </c>
      <c r="AK165" s="4">
        <v>0</v>
      </c>
      <c r="AL165" s="4">
        <v>0</v>
      </c>
      <c r="AM165" s="4">
        <v>7857700</v>
      </c>
      <c r="AN165" s="4">
        <v>0</v>
      </c>
      <c r="AO165" s="4">
        <v>0</v>
      </c>
      <c r="AP165" s="4">
        <v>0</v>
      </c>
      <c r="AQ165" s="4">
        <v>0</v>
      </c>
      <c r="AR165" s="4">
        <v>0</v>
      </c>
      <c r="AS165" s="4">
        <v>0</v>
      </c>
      <c r="AT165" s="4">
        <v>0</v>
      </c>
      <c r="AU165" s="4">
        <v>0</v>
      </c>
      <c r="AV165" s="4">
        <v>0</v>
      </c>
      <c r="AW165" s="4">
        <v>0</v>
      </c>
      <c r="AX165" s="4">
        <v>0</v>
      </c>
      <c r="AY165" s="4">
        <v>0</v>
      </c>
      <c r="AZ165" s="4">
        <v>0</v>
      </c>
      <c r="BA165" s="4">
        <v>0</v>
      </c>
      <c r="BB165" s="4">
        <v>0</v>
      </c>
      <c r="BC165" s="4">
        <v>0</v>
      </c>
      <c r="BD165" s="4">
        <v>0</v>
      </c>
      <c r="BE165" s="4">
        <v>0</v>
      </c>
      <c r="BF165" s="4">
        <v>0</v>
      </c>
      <c r="BG165" s="31">
        <f t="shared" si="32"/>
        <v>31479661.300000001</v>
      </c>
      <c r="BH165" s="31">
        <f t="shared" si="29"/>
        <v>5816300</v>
      </c>
      <c r="BI165" s="31">
        <f t="shared" si="30"/>
        <v>17805661.300000001</v>
      </c>
      <c r="BJ165" s="31">
        <f t="shared" si="31"/>
        <v>7857700</v>
      </c>
    </row>
    <row r="166" spans="3:62" x14ac:dyDescent="0.25">
      <c r="D166">
        <v>2062</v>
      </c>
      <c r="E166" t="s">
        <v>426</v>
      </c>
      <c r="F166" s="4">
        <v>0</v>
      </c>
      <c r="G166" s="4">
        <v>0</v>
      </c>
      <c r="H166" s="4">
        <v>0</v>
      </c>
      <c r="I166" s="4">
        <v>0</v>
      </c>
      <c r="J166" s="4">
        <v>0</v>
      </c>
      <c r="K166" s="4">
        <v>0</v>
      </c>
      <c r="L166" s="4">
        <v>0</v>
      </c>
      <c r="M166" s="4">
        <v>0</v>
      </c>
      <c r="N166" s="4">
        <v>0</v>
      </c>
      <c r="O166" s="4">
        <v>0</v>
      </c>
      <c r="P166" s="4">
        <v>0</v>
      </c>
      <c r="Q166" s="4">
        <v>0</v>
      </c>
      <c r="R166" s="4">
        <v>0</v>
      </c>
      <c r="S166" s="4">
        <v>0</v>
      </c>
      <c r="T166" s="4">
        <v>0</v>
      </c>
      <c r="U166" s="4">
        <v>0</v>
      </c>
      <c r="V166" s="4">
        <v>0</v>
      </c>
      <c r="W166" s="4">
        <v>0</v>
      </c>
      <c r="X166" s="4">
        <v>0</v>
      </c>
      <c r="Y166" s="4">
        <v>0</v>
      </c>
      <c r="Z166" s="4">
        <v>0</v>
      </c>
      <c r="AA166" s="4">
        <v>0</v>
      </c>
      <c r="AB166" s="4">
        <v>0</v>
      </c>
      <c r="AC166" s="4">
        <v>0</v>
      </c>
      <c r="AD166" s="4">
        <v>0</v>
      </c>
      <c r="AE166" s="4">
        <v>0</v>
      </c>
      <c r="AF166" s="4">
        <v>0</v>
      </c>
      <c r="AG166" s="4">
        <v>0</v>
      </c>
      <c r="AH166" s="4">
        <v>0</v>
      </c>
      <c r="AI166" s="4">
        <v>0</v>
      </c>
      <c r="AJ166" s="4">
        <v>0</v>
      </c>
      <c r="AK166" s="4">
        <v>0</v>
      </c>
      <c r="AL166" s="4">
        <v>0</v>
      </c>
      <c r="AM166" s="4">
        <v>0</v>
      </c>
      <c r="AN166" s="4">
        <v>0</v>
      </c>
      <c r="AO166" s="4">
        <v>0</v>
      </c>
      <c r="AP166" s="4">
        <v>0</v>
      </c>
      <c r="AQ166" s="4">
        <v>0</v>
      </c>
      <c r="AR166" s="4">
        <v>0</v>
      </c>
      <c r="AS166" s="4">
        <v>0</v>
      </c>
      <c r="AT166" s="4">
        <v>0</v>
      </c>
      <c r="AU166" s="4">
        <v>0</v>
      </c>
      <c r="AV166" s="4">
        <v>0</v>
      </c>
      <c r="AW166" s="4">
        <v>0</v>
      </c>
      <c r="AX166" s="4">
        <v>0</v>
      </c>
      <c r="AY166" s="4">
        <v>0</v>
      </c>
      <c r="AZ166" s="4">
        <v>0</v>
      </c>
      <c r="BA166" s="4">
        <v>0</v>
      </c>
      <c r="BB166" s="4">
        <v>0</v>
      </c>
      <c r="BC166" s="4">
        <v>0</v>
      </c>
      <c r="BD166" s="4">
        <v>0</v>
      </c>
      <c r="BE166" s="4">
        <v>0</v>
      </c>
      <c r="BF166" s="4">
        <v>0</v>
      </c>
      <c r="BG166" s="31">
        <f t="shared" si="32"/>
        <v>0</v>
      </c>
      <c r="BH166" s="31">
        <f t="shared" si="29"/>
        <v>0</v>
      </c>
      <c r="BI166" s="31">
        <f t="shared" si="30"/>
        <v>0</v>
      </c>
      <c r="BJ166" s="31">
        <f t="shared" si="31"/>
        <v>0</v>
      </c>
    </row>
    <row r="167" spans="3:62" x14ac:dyDescent="0.25">
      <c r="D167">
        <v>2063</v>
      </c>
      <c r="E167" t="s">
        <v>427</v>
      </c>
      <c r="F167" s="4">
        <v>0</v>
      </c>
      <c r="G167" s="4">
        <v>1456599.6</v>
      </c>
      <c r="H167" s="4">
        <v>9800</v>
      </c>
      <c r="I167" s="4">
        <v>0</v>
      </c>
      <c r="J167" s="4">
        <v>17756300</v>
      </c>
      <c r="K167" s="4">
        <v>15543500</v>
      </c>
      <c r="L167" s="4">
        <v>9021241.0500000007</v>
      </c>
      <c r="M167" s="4">
        <v>0</v>
      </c>
      <c r="N167" s="4">
        <v>6022029.75</v>
      </c>
      <c r="O167" s="4">
        <v>0</v>
      </c>
      <c r="P167" s="4">
        <v>0</v>
      </c>
      <c r="Q167" s="4">
        <v>0</v>
      </c>
      <c r="R167" s="4">
        <v>0</v>
      </c>
      <c r="S167" s="4">
        <v>2690127.35</v>
      </c>
      <c r="T167" s="4">
        <v>0</v>
      </c>
      <c r="U167" s="4">
        <v>4766300</v>
      </c>
      <c r="V167" s="4">
        <v>7400</v>
      </c>
      <c r="W167" s="4">
        <v>220010</v>
      </c>
      <c r="X167" s="4">
        <v>11669125</v>
      </c>
      <c r="Y167" s="4">
        <v>196736.2</v>
      </c>
      <c r="Z167" s="4">
        <v>9245800</v>
      </c>
      <c r="AA167" s="4">
        <v>700000</v>
      </c>
      <c r="AB167" s="4">
        <v>768670.9</v>
      </c>
      <c r="AC167" s="4">
        <v>1175000</v>
      </c>
      <c r="AD167" s="4">
        <v>52390</v>
      </c>
      <c r="AE167" s="4">
        <v>6867885.8499999996</v>
      </c>
      <c r="AF167" s="4">
        <v>3642000</v>
      </c>
      <c r="AG167" s="4">
        <v>0</v>
      </c>
      <c r="AH167" s="4">
        <v>4291400</v>
      </c>
      <c r="AI167" s="4">
        <v>-192581.15</v>
      </c>
      <c r="AJ167" s="4">
        <v>862247.62</v>
      </c>
      <c r="AK167" s="4">
        <v>823610</v>
      </c>
      <c r="AL167" s="4">
        <v>17249320</v>
      </c>
      <c r="AM167" s="4">
        <v>729300</v>
      </c>
      <c r="AN167" s="4">
        <v>10303874.300000001</v>
      </c>
      <c r="AO167" s="4">
        <v>1584400</v>
      </c>
      <c r="AP167" s="4">
        <v>8421550</v>
      </c>
      <c r="AQ167" s="4">
        <v>4549700</v>
      </c>
      <c r="AR167" s="4">
        <v>3968985</v>
      </c>
      <c r="AS167" s="4">
        <v>10227426.050000001</v>
      </c>
      <c r="AT167" s="4">
        <v>4902571.0999999996</v>
      </c>
      <c r="AU167" s="4">
        <v>8565875</v>
      </c>
      <c r="AV167" s="4">
        <v>1806665</v>
      </c>
      <c r="AW167" s="4">
        <v>12729500</v>
      </c>
      <c r="AX167" s="4">
        <v>50320</v>
      </c>
      <c r="AY167" s="4">
        <v>637770</v>
      </c>
      <c r="AZ167" s="4">
        <v>1849100</v>
      </c>
      <c r="BA167" s="4">
        <v>28400</v>
      </c>
      <c r="BB167" s="4">
        <v>849900</v>
      </c>
      <c r="BC167" s="4">
        <v>8071720</v>
      </c>
      <c r="BD167" s="4">
        <v>138745.70000000001</v>
      </c>
      <c r="BE167" s="4">
        <v>59022500</v>
      </c>
      <c r="BF167" s="4">
        <v>3579778.15</v>
      </c>
      <c r="BG167" s="31">
        <f t="shared" si="32"/>
        <v>256862992.47</v>
      </c>
      <c r="BH167" s="31">
        <f t="shared" si="29"/>
        <v>69162432.75</v>
      </c>
      <c r="BI167" s="31">
        <f t="shared" si="30"/>
        <v>28433159.420000002</v>
      </c>
      <c r="BJ167" s="31">
        <f t="shared" si="31"/>
        <v>159267400.29999998</v>
      </c>
    </row>
    <row r="168" spans="3:62" x14ac:dyDescent="0.25">
      <c r="D168">
        <v>2064</v>
      </c>
      <c r="E168" t="s">
        <v>448</v>
      </c>
      <c r="F168" s="4">
        <v>4604400</v>
      </c>
      <c r="G168" s="4">
        <v>69800</v>
      </c>
      <c r="H168" s="4">
        <v>0</v>
      </c>
      <c r="I168" s="4">
        <v>3890756.96</v>
      </c>
      <c r="J168" s="4">
        <v>0</v>
      </c>
      <c r="K168" s="4">
        <v>647050</v>
      </c>
      <c r="L168" s="4">
        <v>737254.08</v>
      </c>
      <c r="M168" s="4">
        <v>95091195.150000006</v>
      </c>
      <c r="N168" s="4">
        <v>112800</v>
      </c>
      <c r="O168" s="4">
        <v>780304.9</v>
      </c>
      <c r="P168" s="4">
        <v>25935350.149999999</v>
      </c>
      <c r="Q168" s="4">
        <v>1776635.35</v>
      </c>
      <c r="R168" s="4">
        <v>376450</v>
      </c>
      <c r="S168" s="4">
        <v>253500</v>
      </c>
      <c r="T168" s="4">
        <v>1060911</v>
      </c>
      <c r="U168" s="4">
        <v>0</v>
      </c>
      <c r="V168" s="4">
        <v>0</v>
      </c>
      <c r="W168" s="4">
        <v>3043151.06</v>
      </c>
      <c r="X168" s="4">
        <v>793450</v>
      </c>
      <c r="Y168" s="4">
        <v>0</v>
      </c>
      <c r="Z168" s="4">
        <v>0</v>
      </c>
      <c r="AA168" s="4">
        <v>0</v>
      </c>
      <c r="AB168" s="4">
        <v>0</v>
      </c>
      <c r="AC168" s="4">
        <v>0</v>
      </c>
      <c r="AD168" s="4">
        <v>0</v>
      </c>
      <c r="AE168" s="4">
        <v>170250</v>
      </c>
      <c r="AF168" s="4">
        <v>0</v>
      </c>
      <c r="AG168" s="4">
        <v>515000</v>
      </c>
      <c r="AH168" s="4">
        <v>0</v>
      </c>
      <c r="AI168" s="4">
        <v>0</v>
      </c>
      <c r="AJ168" s="4">
        <v>0</v>
      </c>
      <c r="AK168" s="4">
        <v>0</v>
      </c>
      <c r="AL168" s="4">
        <v>105000</v>
      </c>
      <c r="AM168" s="4">
        <v>0</v>
      </c>
      <c r="AN168" s="4">
        <v>235700</v>
      </c>
      <c r="AO168" s="4">
        <v>0</v>
      </c>
      <c r="AP168" s="4">
        <v>0</v>
      </c>
      <c r="AQ168" s="4">
        <v>52100</v>
      </c>
      <c r="AR168" s="4">
        <v>0</v>
      </c>
      <c r="AS168" s="4">
        <v>250420</v>
      </c>
      <c r="AT168" s="4">
        <v>-54300</v>
      </c>
      <c r="AU168" s="4">
        <v>61347.5</v>
      </c>
      <c r="AV168" s="4">
        <v>0</v>
      </c>
      <c r="AW168" s="4">
        <v>199500</v>
      </c>
      <c r="AX168" s="4">
        <v>5810522</v>
      </c>
      <c r="AY168" s="4">
        <v>0</v>
      </c>
      <c r="AZ168" s="4">
        <v>29400</v>
      </c>
      <c r="BA168" s="4">
        <v>18522422</v>
      </c>
      <c r="BB168" s="4">
        <v>10600</v>
      </c>
      <c r="BC168" s="4">
        <v>151500</v>
      </c>
      <c r="BD168" s="4">
        <v>0</v>
      </c>
      <c r="BE168" s="4">
        <v>-6605478</v>
      </c>
      <c r="BF168" s="4">
        <v>0</v>
      </c>
      <c r="BG168" s="31">
        <f t="shared" si="32"/>
        <v>158626992.15000001</v>
      </c>
      <c r="BH168" s="31">
        <f t="shared" si="29"/>
        <v>139173008.65000001</v>
      </c>
      <c r="BI168" s="31">
        <f t="shared" si="30"/>
        <v>685250</v>
      </c>
      <c r="BJ168" s="31">
        <f t="shared" si="31"/>
        <v>18768733.5</v>
      </c>
    </row>
    <row r="169" spans="3:62" x14ac:dyDescent="0.25">
      <c r="D169">
        <v>2067</v>
      </c>
      <c r="E169" t="s">
        <v>429</v>
      </c>
      <c r="F169" s="4">
        <v>0</v>
      </c>
      <c r="G169" s="4">
        <v>0</v>
      </c>
      <c r="H169" s="4">
        <v>0</v>
      </c>
      <c r="I169" s="4">
        <v>0</v>
      </c>
      <c r="J169" s="4">
        <v>0</v>
      </c>
      <c r="K169" s="4">
        <v>0</v>
      </c>
      <c r="L169" s="4">
        <v>0</v>
      </c>
      <c r="M169" s="4">
        <v>0</v>
      </c>
      <c r="N169" s="4">
        <v>0</v>
      </c>
      <c r="O169" s="4">
        <v>0</v>
      </c>
      <c r="P169" s="4">
        <v>0</v>
      </c>
      <c r="Q169" s="4">
        <v>0</v>
      </c>
      <c r="R169" s="4">
        <v>0</v>
      </c>
      <c r="S169" s="4">
        <v>0</v>
      </c>
      <c r="T169" s="4">
        <v>0</v>
      </c>
      <c r="U169" s="4">
        <v>0</v>
      </c>
      <c r="V169" s="4">
        <v>0</v>
      </c>
      <c r="W169" s="4">
        <v>0</v>
      </c>
      <c r="X169" s="4">
        <v>0</v>
      </c>
      <c r="Y169" s="4">
        <v>0</v>
      </c>
      <c r="Z169" s="4">
        <v>0</v>
      </c>
      <c r="AA169" s="4">
        <v>0</v>
      </c>
      <c r="AB169" s="4">
        <v>0</v>
      </c>
      <c r="AC169" s="4">
        <v>0</v>
      </c>
      <c r="AD169" s="4">
        <v>0</v>
      </c>
      <c r="AE169" s="4">
        <v>0</v>
      </c>
      <c r="AF169" s="4">
        <v>0</v>
      </c>
      <c r="AG169" s="4">
        <v>0</v>
      </c>
      <c r="AH169" s="4">
        <v>0</v>
      </c>
      <c r="AI169" s="4">
        <v>0</v>
      </c>
      <c r="AJ169" s="4">
        <v>0</v>
      </c>
      <c r="AK169" s="4">
        <v>0</v>
      </c>
      <c r="AL169" s="4">
        <v>0</v>
      </c>
      <c r="AM169" s="4">
        <v>0</v>
      </c>
      <c r="AN169" s="4">
        <v>0</v>
      </c>
      <c r="AO169" s="4">
        <v>0</v>
      </c>
      <c r="AP169" s="4">
        <v>0</v>
      </c>
      <c r="AQ169" s="4">
        <v>0</v>
      </c>
      <c r="AR169" s="4">
        <v>0</v>
      </c>
      <c r="AS169" s="4">
        <v>0</v>
      </c>
      <c r="AT169" s="4">
        <v>0</v>
      </c>
      <c r="AU169" s="4">
        <v>0</v>
      </c>
      <c r="AV169" s="4">
        <v>0</v>
      </c>
      <c r="AW169" s="4">
        <v>0</v>
      </c>
      <c r="AX169" s="4">
        <v>0</v>
      </c>
      <c r="AY169" s="4">
        <v>0</v>
      </c>
      <c r="AZ169" s="4">
        <v>0</v>
      </c>
      <c r="BA169" s="4">
        <v>0</v>
      </c>
      <c r="BB169" s="4">
        <v>0</v>
      </c>
      <c r="BC169" s="4">
        <v>-1093760</v>
      </c>
      <c r="BD169" s="4">
        <v>0</v>
      </c>
      <c r="BE169" s="4">
        <v>0</v>
      </c>
      <c r="BF169" s="4">
        <v>0</v>
      </c>
      <c r="BG169" s="31">
        <f t="shared" si="32"/>
        <v>-1093760</v>
      </c>
      <c r="BH169" s="31">
        <f t="shared" si="29"/>
        <v>0</v>
      </c>
      <c r="BI169" s="31">
        <f t="shared" si="30"/>
        <v>0</v>
      </c>
      <c r="BJ169" s="31">
        <f t="shared" si="31"/>
        <v>-1093760</v>
      </c>
    </row>
    <row r="170" spans="3:62" x14ac:dyDescent="0.25">
      <c r="D170">
        <v>2069</v>
      </c>
      <c r="E170" t="s">
        <v>430</v>
      </c>
      <c r="F170" s="4">
        <v>0</v>
      </c>
      <c r="G170" s="4">
        <v>0</v>
      </c>
      <c r="H170" s="4">
        <v>0</v>
      </c>
      <c r="I170" s="4">
        <v>0</v>
      </c>
      <c r="J170" s="4">
        <v>0</v>
      </c>
      <c r="K170" s="4">
        <v>0</v>
      </c>
      <c r="L170" s="4">
        <v>0</v>
      </c>
      <c r="M170" s="4">
        <v>0</v>
      </c>
      <c r="N170" s="4">
        <v>0</v>
      </c>
      <c r="O170" s="4">
        <v>0</v>
      </c>
      <c r="P170" s="4">
        <v>0</v>
      </c>
      <c r="Q170" s="4">
        <v>0</v>
      </c>
      <c r="R170" s="4">
        <v>0</v>
      </c>
      <c r="S170" s="4">
        <v>0</v>
      </c>
      <c r="T170" s="4">
        <v>0</v>
      </c>
      <c r="U170" s="4">
        <v>0</v>
      </c>
      <c r="V170" s="4">
        <v>496950</v>
      </c>
      <c r="W170" s="4">
        <v>0</v>
      </c>
      <c r="X170" s="4">
        <v>0</v>
      </c>
      <c r="Y170" s="4">
        <v>0</v>
      </c>
      <c r="Z170" s="4">
        <v>0</v>
      </c>
      <c r="AA170" s="4">
        <v>0</v>
      </c>
      <c r="AB170" s="4">
        <v>0</v>
      </c>
      <c r="AC170" s="4">
        <v>0</v>
      </c>
      <c r="AD170" s="4">
        <v>-63440</v>
      </c>
      <c r="AE170" s="4">
        <v>0</v>
      </c>
      <c r="AF170" s="4">
        <v>-499400</v>
      </c>
      <c r="AG170" s="4">
        <v>-24200</v>
      </c>
      <c r="AH170" s="4">
        <v>0</v>
      </c>
      <c r="AI170" s="4">
        <v>0</v>
      </c>
      <c r="AJ170" s="4">
        <v>-58987</v>
      </c>
      <c r="AK170" s="4">
        <v>0</v>
      </c>
      <c r="AL170" s="4">
        <v>5000</v>
      </c>
      <c r="AM170" s="4">
        <v>0</v>
      </c>
      <c r="AN170" s="4">
        <v>0</v>
      </c>
      <c r="AO170" s="4">
        <v>0</v>
      </c>
      <c r="AP170" s="4">
        <v>0</v>
      </c>
      <c r="AQ170" s="4">
        <v>0</v>
      </c>
      <c r="AR170" s="4">
        <v>-536240</v>
      </c>
      <c r="AS170" s="4">
        <v>0</v>
      </c>
      <c r="AT170" s="4">
        <v>0</v>
      </c>
      <c r="AU170" s="4">
        <v>-294313</v>
      </c>
      <c r="AV170" s="4">
        <v>0</v>
      </c>
      <c r="AW170" s="4">
        <v>0</v>
      </c>
      <c r="AX170" s="4">
        <v>-636300</v>
      </c>
      <c r="AY170" s="4">
        <v>0</v>
      </c>
      <c r="AZ170" s="4">
        <v>0</v>
      </c>
      <c r="BA170" s="4">
        <v>-778850</v>
      </c>
      <c r="BB170" s="4">
        <v>0</v>
      </c>
      <c r="BC170" s="4">
        <v>0</v>
      </c>
      <c r="BD170" s="4">
        <v>0</v>
      </c>
      <c r="BE170" s="4">
        <v>0</v>
      </c>
      <c r="BF170" s="4">
        <v>0</v>
      </c>
      <c r="BG170" s="31">
        <f t="shared" si="32"/>
        <v>-2389780</v>
      </c>
      <c r="BH170" s="31">
        <f t="shared" si="29"/>
        <v>496950</v>
      </c>
      <c r="BI170" s="31">
        <f t="shared" si="30"/>
        <v>-646027</v>
      </c>
      <c r="BJ170" s="31">
        <f t="shared" si="31"/>
        <v>-2240703</v>
      </c>
    </row>
    <row r="171" spans="3:62" x14ac:dyDescent="0.25">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31"/>
      <c r="BH171" s="31"/>
      <c r="BI171" s="31"/>
      <c r="BJ171" s="31"/>
    </row>
    <row r="172" spans="3:62" x14ac:dyDescent="0.25">
      <c r="C172" s="66">
        <v>208</v>
      </c>
      <c r="D172" s="66"/>
      <c r="E172" s="66" t="s">
        <v>258</v>
      </c>
      <c r="F172" s="67">
        <f>F173+F174+F175+F176+F177+F178+F179+F180+F181</f>
        <v>0</v>
      </c>
      <c r="G172" s="67">
        <f t="shared" ref="G172:BF172" si="36">G173+G174+G175+G176+G177+G178+G179+G180+G181</f>
        <v>0</v>
      </c>
      <c r="H172" s="67">
        <f t="shared" si="36"/>
        <v>0</v>
      </c>
      <c r="I172" s="67">
        <f t="shared" si="36"/>
        <v>0</v>
      </c>
      <c r="J172" s="67">
        <f t="shared" si="36"/>
        <v>79546.899999999994</v>
      </c>
      <c r="K172" s="67">
        <f t="shared" si="36"/>
        <v>2450</v>
      </c>
      <c r="L172" s="67">
        <f t="shared" si="36"/>
        <v>0</v>
      </c>
      <c r="M172" s="67">
        <f t="shared" si="36"/>
        <v>0</v>
      </c>
      <c r="N172" s="67">
        <f t="shared" si="36"/>
        <v>0</v>
      </c>
      <c r="O172" s="67">
        <f t="shared" si="36"/>
        <v>0</v>
      </c>
      <c r="P172" s="67">
        <f t="shared" si="36"/>
        <v>477423.5</v>
      </c>
      <c r="Q172" s="67">
        <f t="shared" si="36"/>
        <v>0</v>
      </c>
      <c r="R172" s="67">
        <f t="shared" si="36"/>
        <v>0</v>
      </c>
      <c r="S172" s="67">
        <f t="shared" si="36"/>
        <v>0</v>
      </c>
      <c r="T172" s="67">
        <f t="shared" si="36"/>
        <v>0</v>
      </c>
      <c r="U172" s="67">
        <f t="shared" si="36"/>
        <v>0</v>
      </c>
      <c r="V172" s="67">
        <f t="shared" si="36"/>
        <v>10691.47</v>
      </c>
      <c r="W172" s="67">
        <f t="shared" si="36"/>
        <v>0</v>
      </c>
      <c r="X172" s="67">
        <f t="shared" si="36"/>
        <v>0</v>
      </c>
      <c r="Y172" s="67">
        <f t="shared" si="36"/>
        <v>0</v>
      </c>
      <c r="Z172" s="67">
        <f t="shared" si="36"/>
        <v>0</v>
      </c>
      <c r="AA172" s="67">
        <f t="shared" si="36"/>
        <v>4100000</v>
      </c>
      <c r="AB172" s="67">
        <f t="shared" si="36"/>
        <v>0</v>
      </c>
      <c r="AC172" s="67">
        <f t="shared" si="36"/>
        <v>0</v>
      </c>
      <c r="AD172" s="67">
        <f t="shared" si="36"/>
        <v>0</v>
      </c>
      <c r="AE172" s="67">
        <f t="shared" si="36"/>
        <v>0</v>
      </c>
      <c r="AF172" s="67">
        <f t="shared" si="36"/>
        <v>0</v>
      </c>
      <c r="AG172" s="67">
        <f t="shared" si="36"/>
        <v>0</v>
      </c>
      <c r="AH172" s="67">
        <f t="shared" si="36"/>
        <v>0</v>
      </c>
      <c r="AI172" s="67">
        <f t="shared" si="36"/>
        <v>264093.7</v>
      </c>
      <c r="AJ172" s="67">
        <f t="shared" si="36"/>
        <v>0</v>
      </c>
      <c r="AK172" s="67">
        <f t="shared" si="36"/>
        <v>0</v>
      </c>
      <c r="AL172" s="67">
        <f t="shared" si="36"/>
        <v>0</v>
      </c>
      <c r="AM172" s="67">
        <f t="shared" si="36"/>
        <v>0</v>
      </c>
      <c r="AN172" s="67">
        <f t="shared" si="36"/>
        <v>0</v>
      </c>
      <c r="AO172" s="67">
        <f t="shared" si="36"/>
        <v>0</v>
      </c>
      <c r="AP172" s="67">
        <f t="shared" si="36"/>
        <v>0</v>
      </c>
      <c r="AQ172" s="67">
        <f t="shared" si="36"/>
        <v>0</v>
      </c>
      <c r="AR172" s="67">
        <f t="shared" si="36"/>
        <v>0</v>
      </c>
      <c r="AS172" s="67">
        <f t="shared" si="36"/>
        <v>0</v>
      </c>
      <c r="AT172" s="67">
        <f t="shared" si="36"/>
        <v>0</v>
      </c>
      <c r="AU172" s="67">
        <f t="shared" si="36"/>
        <v>0</v>
      </c>
      <c r="AV172" s="67">
        <f t="shared" si="36"/>
        <v>0</v>
      </c>
      <c r="AW172" s="67">
        <f t="shared" si="36"/>
        <v>0</v>
      </c>
      <c r="AX172" s="67">
        <f t="shared" si="36"/>
        <v>0</v>
      </c>
      <c r="AY172" s="67">
        <f t="shared" si="36"/>
        <v>53926.85</v>
      </c>
      <c r="AZ172" s="67">
        <f t="shared" si="36"/>
        <v>0</v>
      </c>
      <c r="BA172" s="67">
        <f t="shared" si="36"/>
        <v>0</v>
      </c>
      <c r="BB172" s="67">
        <f t="shared" si="36"/>
        <v>0</v>
      </c>
      <c r="BC172" s="67">
        <f t="shared" si="36"/>
        <v>321307.2</v>
      </c>
      <c r="BD172" s="67">
        <f t="shared" si="36"/>
        <v>0</v>
      </c>
      <c r="BE172" s="67">
        <f t="shared" si="36"/>
        <v>0</v>
      </c>
      <c r="BF172" s="67">
        <f t="shared" si="36"/>
        <v>0</v>
      </c>
      <c r="BG172" s="67">
        <f t="shared" si="32"/>
        <v>5309439.62</v>
      </c>
      <c r="BH172" s="67">
        <f t="shared" si="29"/>
        <v>570111.87</v>
      </c>
      <c r="BI172" s="67">
        <f t="shared" si="30"/>
        <v>4364093.7</v>
      </c>
      <c r="BJ172" s="67">
        <f t="shared" si="31"/>
        <v>375234.05</v>
      </c>
    </row>
    <row r="173" spans="3:62" x14ac:dyDescent="0.25">
      <c r="D173">
        <v>2081</v>
      </c>
      <c r="E173" t="s">
        <v>431</v>
      </c>
      <c r="F173" s="4">
        <v>0</v>
      </c>
      <c r="G173" s="4">
        <v>0</v>
      </c>
      <c r="H173" s="4">
        <v>0</v>
      </c>
      <c r="I173" s="4">
        <v>0</v>
      </c>
      <c r="J173" s="4">
        <v>0</v>
      </c>
      <c r="K173" s="4">
        <v>0</v>
      </c>
      <c r="L173" s="4">
        <v>0</v>
      </c>
      <c r="M173" s="4">
        <v>0</v>
      </c>
      <c r="N173" s="4">
        <v>0</v>
      </c>
      <c r="O173" s="4">
        <v>0</v>
      </c>
      <c r="P173" s="4">
        <v>0</v>
      </c>
      <c r="Q173" s="4">
        <v>0</v>
      </c>
      <c r="R173" s="4">
        <v>0</v>
      </c>
      <c r="S173" s="4">
        <v>0</v>
      </c>
      <c r="T173" s="4">
        <v>0</v>
      </c>
      <c r="U173" s="4">
        <v>0</v>
      </c>
      <c r="V173" s="4">
        <v>0</v>
      </c>
      <c r="W173" s="4">
        <v>0</v>
      </c>
      <c r="X173" s="4">
        <v>0</v>
      </c>
      <c r="Y173" s="4">
        <v>0</v>
      </c>
      <c r="Z173" s="4">
        <v>0</v>
      </c>
      <c r="AA173" s="4">
        <v>0</v>
      </c>
      <c r="AB173" s="4">
        <v>0</v>
      </c>
      <c r="AC173" s="4">
        <v>0</v>
      </c>
      <c r="AD173" s="4">
        <v>0</v>
      </c>
      <c r="AE173" s="4">
        <v>0</v>
      </c>
      <c r="AF173" s="4">
        <v>0</v>
      </c>
      <c r="AG173" s="4">
        <v>0</v>
      </c>
      <c r="AH173" s="4">
        <v>0</v>
      </c>
      <c r="AI173" s="4">
        <v>0</v>
      </c>
      <c r="AJ173" s="4">
        <v>0</v>
      </c>
      <c r="AK173" s="4">
        <v>0</v>
      </c>
      <c r="AL173" s="4">
        <v>0</v>
      </c>
      <c r="AM173" s="4">
        <v>0</v>
      </c>
      <c r="AN173" s="4">
        <v>0</v>
      </c>
      <c r="AO173" s="4">
        <v>0</v>
      </c>
      <c r="AP173" s="4">
        <v>0</v>
      </c>
      <c r="AQ173" s="4">
        <v>0</v>
      </c>
      <c r="AR173" s="4">
        <v>0</v>
      </c>
      <c r="AS173" s="4">
        <v>0</v>
      </c>
      <c r="AT173" s="4">
        <v>0</v>
      </c>
      <c r="AU173" s="4">
        <v>0</v>
      </c>
      <c r="AV173" s="4">
        <v>0</v>
      </c>
      <c r="AW173" s="4">
        <v>0</v>
      </c>
      <c r="AX173" s="4">
        <v>0</v>
      </c>
      <c r="AY173" s="4">
        <v>0</v>
      </c>
      <c r="AZ173" s="4">
        <v>0</v>
      </c>
      <c r="BA173" s="4">
        <v>0</v>
      </c>
      <c r="BB173" s="4">
        <v>0</v>
      </c>
      <c r="BC173" s="4">
        <v>0</v>
      </c>
      <c r="BD173" s="4">
        <v>0</v>
      </c>
      <c r="BE173" s="4">
        <v>0</v>
      </c>
      <c r="BF173" s="4">
        <v>0</v>
      </c>
      <c r="BG173" s="31">
        <f t="shared" si="32"/>
        <v>0</v>
      </c>
      <c r="BH173" s="31">
        <f t="shared" si="29"/>
        <v>0</v>
      </c>
      <c r="BI173" s="31">
        <f t="shared" si="30"/>
        <v>0</v>
      </c>
      <c r="BJ173" s="31">
        <f t="shared" si="31"/>
        <v>0</v>
      </c>
    </row>
    <row r="174" spans="3:62" x14ac:dyDescent="0.25">
      <c r="D174">
        <v>2082</v>
      </c>
      <c r="E174" t="s">
        <v>432</v>
      </c>
      <c r="F174" s="4">
        <v>0</v>
      </c>
      <c r="G174" s="4">
        <v>0</v>
      </c>
      <c r="H174" s="4">
        <v>0</v>
      </c>
      <c r="I174" s="4">
        <v>0</v>
      </c>
      <c r="J174" s="4">
        <v>0</v>
      </c>
      <c r="K174" s="4">
        <v>0</v>
      </c>
      <c r="L174" s="4">
        <v>0</v>
      </c>
      <c r="M174" s="4">
        <v>0</v>
      </c>
      <c r="N174" s="4">
        <v>0</v>
      </c>
      <c r="O174" s="4">
        <v>0</v>
      </c>
      <c r="P174" s="4">
        <v>0</v>
      </c>
      <c r="Q174" s="4">
        <v>0</v>
      </c>
      <c r="R174" s="4">
        <v>0</v>
      </c>
      <c r="S174" s="4">
        <v>0</v>
      </c>
      <c r="T174" s="4">
        <v>0</v>
      </c>
      <c r="U174" s="4">
        <v>0</v>
      </c>
      <c r="V174" s="4">
        <v>0</v>
      </c>
      <c r="W174" s="4">
        <v>0</v>
      </c>
      <c r="X174" s="4">
        <v>0</v>
      </c>
      <c r="Y174" s="4">
        <v>0</v>
      </c>
      <c r="Z174" s="4">
        <v>0</v>
      </c>
      <c r="AA174" s="4">
        <v>0</v>
      </c>
      <c r="AB174" s="4">
        <v>0</v>
      </c>
      <c r="AC174" s="4">
        <v>0</v>
      </c>
      <c r="AD174" s="4">
        <v>0</v>
      </c>
      <c r="AE174" s="4">
        <v>0</v>
      </c>
      <c r="AF174" s="4">
        <v>0</v>
      </c>
      <c r="AG174" s="4">
        <v>0</v>
      </c>
      <c r="AH174" s="4">
        <v>0</v>
      </c>
      <c r="AI174" s="4">
        <v>0</v>
      </c>
      <c r="AJ174" s="4">
        <v>0</v>
      </c>
      <c r="AK174" s="4">
        <v>0</v>
      </c>
      <c r="AL174" s="4">
        <v>0</v>
      </c>
      <c r="AM174" s="4">
        <v>0</v>
      </c>
      <c r="AN174" s="4">
        <v>0</v>
      </c>
      <c r="AO174" s="4">
        <v>0</v>
      </c>
      <c r="AP174" s="4">
        <v>0</v>
      </c>
      <c r="AQ174" s="4">
        <v>0</v>
      </c>
      <c r="AR174" s="4">
        <v>0</v>
      </c>
      <c r="AS174" s="4">
        <v>0</v>
      </c>
      <c r="AT174" s="4">
        <v>0</v>
      </c>
      <c r="AU174" s="4">
        <v>0</v>
      </c>
      <c r="AV174" s="4">
        <v>0</v>
      </c>
      <c r="AW174" s="4">
        <v>0</v>
      </c>
      <c r="AX174" s="4">
        <v>0</v>
      </c>
      <c r="AY174" s="4">
        <v>0</v>
      </c>
      <c r="AZ174" s="4">
        <v>0</v>
      </c>
      <c r="BA174" s="4">
        <v>0</v>
      </c>
      <c r="BB174" s="4">
        <v>0</v>
      </c>
      <c r="BC174" s="4">
        <v>0</v>
      </c>
      <c r="BD174" s="4">
        <v>0</v>
      </c>
      <c r="BE174" s="4">
        <v>0</v>
      </c>
      <c r="BF174" s="4">
        <v>0</v>
      </c>
      <c r="BG174" s="31">
        <f t="shared" si="32"/>
        <v>0</v>
      </c>
      <c r="BH174" s="31">
        <f t="shared" si="29"/>
        <v>0</v>
      </c>
      <c r="BI174" s="31">
        <f t="shared" si="30"/>
        <v>0</v>
      </c>
      <c r="BJ174" s="31">
        <f t="shared" si="31"/>
        <v>0</v>
      </c>
    </row>
    <row r="175" spans="3:62" x14ac:dyDescent="0.25">
      <c r="D175">
        <v>2083</v>
      </c>
      <c r="E175" t="s">
        <v>433</v>
      </c>
      <c r="F175" s="4">
        <v>0</v>
      </c>
      <c r="G175" s="4">
        <v>0</v>
      </c>
      <c r="H175" s="4">
        <v>0</v>
      </c>
      <c r="I175" s="4">
        <v>0</v>
      </c>
      <c r="J175" s="4">
        <v>0</v>
      </c>
      <c r="K175" s="4">
        <v>0</v>
      </c>
      <c r="L175" s="4">
        <v>0</v>
      </c>
      <c r="M175" s="4">
        <v>0</v>
      </c>
      <c r="N175" s="4">
        <v>0</v>
      </c>
      <c r="O175" s="4">
        <v>0</v>
      </c>
      <c r="P175" s="4">
        <v>0</v>
      </c>
      <c r="Q175" s="4">
        <v>0</v>
      </c>
      <c r="R175" s="4">
        <v>0</v>
      </c>
      <c r="S175" s="4">
        <v>0</v>
      </c>
      <c r="T175" s="4">
        <v>0</v>
      </c>
      <c r="U175" s="4">
        <v>0</v>
      </c>
      <c r="V175" s="4">
        <v>10691.47</v>
      </c>
      <c r="W175" s="4">
        <v>0</v>
      </c>
      <c r="X175" s="4">
        <v>0</v>
      </c>
      <c r="Y175" s="4">
        <v>0</v>
      </c>
      <c r="Z175" s="4">
        <v>0</v>
      </c>
      <c r="AA175" s="4">
        <v>0</v>
      </c>
      <c r="AB175" s="4">
        <v>0</v>
      </c>
      <c r="AC175" s="4">
        <v>0</v>
      </c>
      <c r="AD175" s="4">
        <v>0</v>
      </c>
      <c r="AE175" s="4">
        <v>0</v>
      </c>
      <c r="AF175" s="4">
        <v>0</v>
      </c>
      <c r="AG175" s="4">
        <v>0</v>
      </c>
      <c r="AH175" s="4">
        <v>0</v>
      </c>
      <c r="AI175" s="4">
        <v>0</v>
      </c>
      <c r="AJ175" s="4">
        <v>0</v>
      </c>
      <c r="AK175" s="4">
        <v>0</v>
      </c>
      <c r="AL175" s="4">
        <v>0</v>
      </c>
      <c r="AM175" s="4">
        <v>0</v>
      </c>
      <c r="AN175" s="4">
        <v>0</v>
      </c>
      <c r="AO175" s="4">
        <v>0</v>
      </c>
      <c r="AP175" s="4">
        <v>0</v>
      </c>
      <c r="AQ175" s="4">
        <v>0</v>
      </c>
      <c r="AR175" s="4">
        <v>0</v>
      </c>
      <c r="AS175" s="4">
        <v>0</v>
      </c>
      <c r="AT175" s="4">
        <v>0</v>
      </c>
      <c r="AU175" s="4">
        <v>0</v>
      </c>
      <c r="AV175" s="4">
        <v>0</v>
      </c>
      <c r="AW175" s="4">
        <v>0</v>
      </c>
      <c r="AX175" s="4">
        <v>0</v>
      </c>
      <c r="AY175" s="4">
        <v>0</v>
      </c>
      <c r="AZ175" s="4">
        <v>0</v>
      </c>
      <c r="BA175" s="4">
        <v>0</v>
      </c>
      <c r="BB175" s="4">
        <v>0</v>
      </c>
      <c r="BC175" s="4">
        <v>0</v>
      </c>
      <c r="BD175" s="4">
        <v>0</v>
      </c>
      <c r="BE175" s="4">
        <v>0</v>
      </c>
      <c r="BF175" s="4">
        <v>0</v>
      </c>
      <c r="BG175" s="31">
        <f t="shared" si="32"/>
        <v>10691.47</v>
      </c>
      <c r="BH175" s="31">
        <f t="shared" si="29"/>
        <v>10691.47</v>
      </c>
      <c r="BI175" s="31">
        <f t="shared" si="30"/>
        <v>0</v>
      </c>
      <c r="BJ175" s="31">
        <f t="shared" si="31"/>
        <v>0</v>
      </c>
    </row>
    <row r="176" spans="3:62" x14ac:dyDescent="0.25">
      <c r="D176">
        <v>2084</v>
      </c>
      <c r="E176" t="s">
        <v>434</v>
      </c>
      <c r="F176" s="4">
        <v>0</v>
      </c>
      <c r="G176" s="4">
        <v>0</v>
      </c>
      <c r="H176" s="4">
        <v>0</v>
      </c>
      <c r="I176" s="4">
        <v>0</v>
      </c>
      <c r="J176" s="4">
        <v>0</v>
      </c>
      <c r="K176" s="4">
        <v>0</v>
      </c>
      <c r="L176" s="4">
        <v>0</v>
      </c>
      <c r="M176" s="4">
        <v>0</v>
      </c>
      <c r="N176" s="4">
        <v>0</v>
      </c>
      <c r="O176" s="4">
        <v>0</v>
      </c>
      <c r="P176" s="4">
        <v>0</v>
      </c>
      <c r="Q176" s="4">
        <v>0</v>
      </c>
      <c r="R176" s="4">
        <v>0</v>
      </c>
      <c r="S176" s="4">
        <v>0</v>
      </c>
      <c r="T176" s="4">
        <v>0</v>
      </c>
      <c r="U176" s="4">
        <v>0</v>
      </c>
      <c r="V176" s="4">
        <v>0</v>
      </c>
      <c r="W176" s="4">
        <v>0</v>
      </c>
      <c r="X176" s="4">
        <v>0</v>
      </c>
      <c r="Y176" s="4">
        <v>0</v>
      </c>
      <c r="Z176" s="4">
        <v>0</v>
      </c>
      <c r="AA176" s="4">
        <v>0</v>
      </c>
      <c r="AB176" s="4">
        <v>0</v>
      </c>
      <c r="AC176" s="4">
        <v>0</v>
      </c>
      <c r="AD176" s="4">
        <v>0</v>
      </c>
      <c r="AE176" s="4">
        <v>0</v>
      </c>
      <c r="AF176" s="4">
        <v>0</v>
      </c>
      <c r="AG176" s="4">
        <v>0</v>
      </c>
      <c r="AH176" s="4">
        <v>0</v>
      </c>
      <c r="AI176" s="4">
        <v>0</v>
      </c>
      <c r="AJ176" s="4">
        <v>0</v>
      </c>
      <c r="AK176" s="4">
        <v>0</v>
      </c>
      <c r="AL176" s="4">
        <v>0</v>
      </c>
      <c r="AM176" s="4">
        <v>0</v>
      </c>
      <c r="AN176" s="4">
        <v>0</v>
      </c>
      <c r="AO176" s="4">
        <v>0</v>
      </c>
      <c r="AP176" s="4">
        <v>0</v>
      </c>
      <c r="AQ176" s="4">
        <v>0</v>
      </c>
      <c r="AR176" s="4">
        <v>0</v>
      </c>
      <c r="AS176" s="4">
        <v>0</v>
      </c>
      <c r="AT176" s="4">
        <v>0</v>
      </c>
      <c r="AU176" s="4">
        <v>0</v>
      </c>
      <c r="AV176" s="4">
        <v>0</v>
      </c>
      <c r="AW176" s="4">
        <v>0</v>
      </c>
      <c r="AX176" s="4">
        <v>0</v>
      </c>
      <c r="AY176" s="4">
        <v>0</v>
      </c>
      <c r="AZ176" s="4">
        <v>0</v>
      </c>
      <c r="BA176" s="4">
        <v>0</v>
      </c>
      <c r="BB176" s="4">
        <v>0</v>
      </c>
      <c r="BC176" s="4">
        <v>0</v>
      </c>
      <c r="BD176" s="4">
        <v>0</v>
      </c>
      <c r="BE176" s="4">
        <v>0</v>
      </c>
      <c r="BF176" s="4">
        <v>0</v>
      </c>
      <c r="BG176" s="31">
        <f t="shared" si="32"/>
        <v>0</v>
      </c>
      <c r="BH176" s="31">
        <f t="shared" si="29"/>
        <v>0</v>
      </c>
      <c r="BI176" s="31">
        <f t="shared" si="30"/>
        <v>0</v>
      </c>
      <c r="BJ176" s="31">
        <f t="shared" si="31"/>
        <v>0</v>
      </c>
    </row>
    <row r="177" spans="2:62" x14ac:dyDescent="0.25">
      <c r="D177">
        <v>2085</v>
      </c>
      <c r="E177" t="s">
        <v>436</v>
      </c>
      <c r="F177" s="4">
        <v>0</v>
      </c>
      <c r="G177" s="4">
        <v>0</v>
      </c>
      <c r="H177" s="4">
        <v>0</v>
      </c>
      <c r="I177" s="4">
        <v>0</v>
      </c>
      <c r="J177" s="4">
        <v>0</v>
      </c>
      <c r="K177" s="4">
        <v>2450</v>
      </c>
      <c r="L177" s="4">
        <v>0</v>
      </c>
      <c r="M177" s="4">
        <v>0</v>
      </c>
      <c r="N177" s="4">
        <v>0</v>
      </c>
      <c r="O177" s="4">
        <v>0</v>
      </c>
      <c r="P177" s="4">
        <v>477423.5</v>
      </c>
      <c r="Q177" s="4">
        <v>0</v>
      </c>
      <c r="R177" s="4">
        <v>0</v>
      </c>
      <c r="S177" s="4">
        <v>0</v>
      </c>
      <c r="T177" s="4">
        <v>0</v>
      </c>
      <c r="U177" s="4">
        <v>0</v>
      </c>
      <c r="V177" s="4">
        <v>0</v>
      </c>
      <c r="W177" s="4">
        <v>0</v>
      </c>
      <c r="X177" s="4">
        <v>0</v>
      </c>
      <c r="Y177" s="4">
        <v>0</v>
      </c>
      <c r="Z177" s="4">
        <v>0</v>
      </c>
      <c r="AA177" s="4">
        <v>0</v>
      </c>
      <c r="AB177" s="4">
        <v>0</v>
      </c>
      <c r="AC177" s="4">
        <v>0</v>
      </c>
      <c r="AD177" s="4">
        <v>0</v>
      </c>
      <c r="AE177" s="4">
        <v>0</v>
      </c>
      <c r="AF177" s="4">
        <v>0</v>
      </c>
      <c r="AG177" s="4">
        <v>0</v>
      </c>
      <c r="AH177" s="4">
        <v>0</v>
      </c>
      <c r="AI177" s="4">
        <v>264093.7</v>
      </c>
      <c r="AJ177" s="4">
        <v>0</v>
      </c>
      <c r="AK177" s="4">
        <v>0</v>
      </c>
      <c r="AL177" s="4">
        <v>0</v>
      </c>
      <c r="AM177" s="4">
        <v>0</v>
      </c>
      <c r="AN177" s="4">
        <v>0</v>
      </c>
      <c r="AO177" s="4">
        <v>0</v>
      </c>
      <c r="AP177" s="4">
        <v>0</v>
      </c>
      <c r="AQ177" s="4">
        <v>0</v>
      </c>
      <c r="AR177" s="4">
        <v>0</v>
      </c>
      <c r="AS177" s="4">
        <v>0</v>
      </c>
      <c r="AT177" s="4">
        <v>0</v>
      </c>
      <c r="AU177" s="4">
        <v>0</v>
      </c>
      <c r="AV177" s="4">
        <v>0</v>
      </c>
      <c r="AW177" s="4">
        <v>0</v>
      </c>
      <c r="AX177" s="4">
        <v>0</v>
      </c>
      <c r="AY177" s="4">
        <v>53926.85</v>
      </c>
      <c r="AZ177" s="4">
        <v>0</v>
      </c>
      <c r="BA177" s="4">
        <v>0</v>
      </c>
      <c r="BB177" s="4">
        <v>0</v>
      </c>
      <c r="BC177" s="4">
        <v>0</v>
      </c>
      <c r="BD177" s="4">
        <v>0</v>
      </c>
      <c r="BE177" s="4">
        <v>0</v>
      </c>
      <c r="BF177" s="4">
        <v>0</v>
      </c>
      <c r="BG177" s="31">
        <f t="shared" si="32"/>
        <v>797894.04999999993</v>
      </c>
      <c r="BH177" s="31">
        <f t="shared" si="29"/>
        <v>479873.5</v>
      </c>
      <c r="BI177" s="31">
        <f t="shared" si="30"/>
        <v>264093.7</v>
      </c>
      <c r="BJ177" s="31">
        <f t="shared" si="31"/>
        <v>53926.85</v>
      </c>
    </row>
    <row r="178" spans="2:62" x14ac:dyDescent="0.25">
      <c r="D178">
        <v>2086</v>
      </c>
      <c r="E178" t="s">
        <v>435</v>
      </c>
      <c r="F178" s="4">
        <v>0</v>
      </c>
      <c r="G178" s="4">
        <v>0</v>
      </c>
      <c r="H178" s="4">
        <v>0</v>
      </c>
      <c r="I178" s="4">
        <v>0</v>
      </c>
      <c r="J178" s="4">
        <v>0</v>
      </c>
      <c r="K178" s="4">
        <v>0</v>
      </c>
      <c r="L178" s="4">
        <v>0</v>
      </c>
      <c r="M178" s="4">
        <v>0</v>
      </c>
      <c r="N178" s="4">
        <v>0</v>
      </c>
      <c r="O178" s="4">
        <v>0</v>
      </c>
      <c r="P178" s="4">
        <v>0</v>
      </c>
      <c r="Q178" s="4">
        <v>0</v>
      </c>
      <c r="R178" s="4">
        <v>0</v>
      </c>
      <c r="S178" s="4">
        <v>0</v>
      </c>
      <c r="T178" s="4">
        <v>0</v>
      </c>
      <c r="U178" s="4">
        <v>0</v>
      </c>
      <c r="V178" s="4">
        <v>0</v>
      </c>
      <c r="W178" s="4">
        <v>0</v>
      </c>
      <c r="X178" s="4">
        <v>0</v>
      </c>
      <c r="Y178" s="4">
        <v>0</v>
      </c>
      <c r="Z178" s="4">
        <v>0</v>
      </c>
      <c r="AA178" s="4">
        <v>0</v>
      </c>
      <c r="AB178" s="4">
        <v>0</v>
      </c>
      <c r="AC178" s="4">
        <v>0</v>
      </c>
      <c r="AD178" s="4">
        <v>0</v>
      </c>
      <c r="AE178" s="4">
        <v>0</v>
      </c>
      <c r="AF178" s="4">
        <v>0</v>
      </c>
      <c r="AG178" s="4">
        <v>0</v>
      </c>
      <c r="AH178" s="4">
        <v>0</v>
      </c>
      <c r="AI178" s="4">
        <v>0</v>
      </c>
      <c r="AJ178" s="4">
        <v>0</v>
      </c>
      <c r="AK178" s="4">
        <v>0</v>
      </c>
      <c r="AL178" s="4">
        <v>0</v>
      </c>
      <c r="AM178" s="4">
        <v>0</v>
      </c>
      <c r="AN178" s="4">
        <v>0</v>
      </c>
      <c r="AO178" s="4">
        <v>0</v>
      </c>
      <c r="AP178" s="4">
        <v>0</v>
      </c>
      <c r="AQ178" s="4">
        <v>0</v>
      </c>
      <c r="AR178" s="4">
        <v>0</v>
      </c>
      <c r="AS178" s="4">
        <v>0</v>
      </c>
      <c r="AT178" s="4">
        <v>0</v>
      </c>
      <c r="AU178" s="4">
        <v>0</v>
      </c>
      <c r="AV178" s="4">
        <v>0</v>
      </c>
      <c r="AW178" s="4">
        <v>0</v>
      </c>
      <c r="AX178" s="4">
        <v>0</v>
      </c>
      <c r="AY178" s="4">
        <v>0</v>
      </c>
      <c r="AZ178" s="4">
        <v>0</v>
      </c>
      <c r="BA178" s="4">
        <v>0</v>
      </c>
      <c r="BB178" s="4">
        <v>0</v>
      </c>
      <c r="BC178" s="4">
        <v>0</v>
      </c>
      <c r="BD178" s="4">
        <v>0</v>
      </c>
      <c r="BE178" s="4">
        <v>0</v>
      </c>
      <c r="BF178" s="4">
        <v>0</v>
      </c>
      <c r="BG178" s="31">
        <f t="shared" si="32"/>
        <v>0</v>
      </c>
      <c r="BH178" s="31">
        <f t="shared" si="29"/>
        <v>0</v>
      </c>
      <c r="BI178" s="31">
        <f t="shared" si="30"/>
        <v>0</v>
      </c>
      <c r="BJ178" s="31">
        <f t="shared" si="31"/>
        <v>0</v>
      </c>
    </row>
    <row r="179" spans="2:62" x14ac:dyDescent="0.25">
      <c r="D179">
        <v>2087</v>
      </c>
      <c r="E179" t="s">
        <v>437</v>
      </c>
      <c r="F179" s="4">
        <v>0</v>
      </c>
      <c r="G179" s="4">
        <v>0</v>
      </c>
      <c r="H179" s="4">
        <v>0</v>
      </c>
      <c r="I179" s="4">
        <v>0</v>
      </c>
      <c r="J179" s="4">
        <v>0</v>
      </c>
      <c r="K179" s="4">
        <v>0</v>
      </c>
      <c r="L179" s="4">
        <v>0</v>
      </c>
      <c r="M179" s="4">
        <v>0</v>
      </c>
      <c r="N179" s="4">
        <v>0</v>
      </c>
      <c r="O179" s="4">
        <v>0</v>
      </c>
      <c r="P179" s="4">
        <v>0</v>
      </c>
      <c r="Q179" s="4">
        <v>0</v>
      </c>
      <c r="R179" s="4">
        <v>0</v>
      </c>
      <c r="S179" s="4">
        <v>0</v>
      </c>
      <c r="T179" s="4">
        <v>0</v>
      </c>
      <c r="U179" s="4">
        <v>0</v>
      </c>
      <c r="V179" s="4">
        <v>0</v>
      </c>
      <c r="W179" s="4">
        <v>0</v>
      </c>
      <c r="X179" s="4">
        <v>0</v>
      </c>
      <c r="Y179" s="4">
        <v>0</v>
      </c>
      <c r="Z179" s="4">
        <v>0</v>
      </c>
      <c r="AA179" s="4">
        <v>0</v>
      </c>
      <c r="AB179" s="4">
        <v>0</v>
      </c>
      <c r="AC179" s="4">
        <v>0</v>
      </c>
      <c r="AD179" s="4">
        <v>0</v>
      </c>
      <c r="AE179" s="4">
        <v>0</v>
      </c>
      <c r="AF179" s="4">
        <v>0</v>
      </c>
      <c r="AG179" s="4">
        <v>0</v>
      </c>
      <c r="AH179" s="4">
        <v>0</v>
      </c>
      <c r="AI179" s="4">
        <v>0</v>
      </c>
      <c r="AJ179" s="4">
        <v>0</v>
      </c>
      <c r="AK179" s="4">
        <v>0</v>
      </c>
      <c r="AL179" s="4">
        <v>0</v>
      </c>
      <c r="AM179" s="4">
        <v>0</v>
      </c>
      <c r="AN179" s="4">
        <v>0</v>
      </c>
      <c r="AO179" s="4">
        <v>0</v>
      </c>
      <c r="AP179" s="4">
        <v>0</v>
      </c>
      <c r="AQ179" s="4">
        <v>0</v>
      </c>
      <c r="AR179" s="4">
        <v>0</v>
      </c>
      <c r="AS179" s="4">
        <v>0</v>
      </c>
      <c r="AT179" s="4">
        <v>0</v>
      </c>
      <c r="AU179" s="4">
        <v>0</v>
      </c>
      <c r="AV179" s="4">
        <v>0</v>
      </c>
      <c r="AW179" s="4">
        <v>0</v>
      </c>
      <c r="AX179" s="4">
        <v>0</v>
      </c>
      <c r="AY179" s="4">
        <v>0</v>
      </c>
      <c r="AZ179" s="4">
        <v>0</v>
      </c>
      <c r="BA179" s="4">
        <v>0</v>
      </c>
      <c r="BB179" s="4">
        <v>0</v>
      </c>
      <c r="BC179" s="4">
        <v>0</v>
      </c>
      <c r="BD179" s="4">
        <v>0</v>
      </c>
      <c r="BE179" s="4">
        <v>0</v>
      </c>
      <c r="BF179" s="4">
        <v>0</v>
      </c>
      <c r="BG179" s="31">
        <f t="shared" si="32"/>
        <v>0</v>
      </c>
      <c r="BH179" s="31">
        <f t="shared" si="29"/>
        <v>0</v>
      </c>
      <c r="BI179" s="31">
        <f t="shared" si="30"/>
        <v>0</v>
      </c>
      <c r="BJ179" s="31">
        <f t="shared" si="31"/>
        <v>0</v>
      </c>
    </row>
    <row r="180" spans="2:62" x14ac:dyDescent="0.25">
      <c r="D180">
        <v>2088</v>
      </c>
      <c r="E180" t="s">
        <v>438</v>
      </c>
      <c r="F180" s="4">
        <v>0</v>
      </c>
      <c r="G180" s="4">
        <v>0</v>
      </c>
      <c r="H180" s="4">
        <v>0</v>
      </c>
      <c r="I180" s="4">
        <v>0</v>
      </c>
      <c r="J180" s="4">
        <v>0</v>
      </c>
      <c r="K180" s="4">
        <v>0</v>
      </c>
      <c r="L180" s="4">
        <v>0</v>
      </c>
      <c r="M180" s="4">
        <v>0</v>
      </c>
      <c r="N180" s="4">
        <v>0</v>
      </c>
      <c r="O180" s="4">
        <v>0</v>
      </c>
      <c r="P180" s="4">
        <v>0</v>
      </c>
      <c r="Q180" s="4">
        <v>0</v>
      </c>
      <c r="R180" s="4">
        <v>0</v>
      </c>
      <c r="S180" s="4">
        <v>0</v>
      </c>
      <c r="T180" s="4">
        <v>0</v>
      </c>
      <c r="U180" s="4">
        <v>0</v>
      </c>
      <c r="V180" s="4">
        <v>0</v>
      </c>
      <c r="W180" s="4">
        <v>0</v>
      </c>
      <c r="X180" s="4">
        <v>0</v>
      </c>
      <c r="Y180" s="4">
        <v>0</v>
      </c>
      <c r="Z180" s="4">
        <v>0</v>
      </c>
      <c r="AA180" s="4">
        <v>0</v>
      </c>
      <c r="AB180" s="4">
        <v>0</v>
      </c>
      <c r="AC180" s="4">
        <v>0</v>
      </c>
      <c r="AD180" s="4">
        <v>0</v>
      </c>
      <c r="AE180" s="4">
        <v>0</v>
      </c>
      <c r="AF180" s="4">
        <v>0</v>
      </c>
      <c r="AG180" s="4">
        <v>0</v>
      </c>
      <c r="AH180" s="4">
        <v>0</v>
      </c>
      <c r="AI180" s="4">
        <v>0</v>
      </c>
      <c r="AJ180" s="4">
        <v>0</v>
      </c>
      <c r="AK180" s="4">
        <v>0</v>
      </c>
      <c r="AL180" s="4">
        <v>0</v>
      </c>
      <c r="AM180" s="4">
        <v>0</v>
      </c>
      <c r="AN180" s="4">
        <v>0</v>
      </c>
      <c r="AO180" s="4">
        <v>0</v>
      </c>
      <c r="AP180" s="4">
        <v>0</v>
      </c>
      <c r="AQ180" s="4">
        <v>0</v>
      </c>
      <c r="AR180" s="4">
        <v>0</v>
      </c>
      <c r="AS180" s="4">
        <v>0</v>
      </c>
      <c r="AT180" s="4">
        <v>0</v>
      </c>
      <c r="AU180" s="4">
        <v>0</v>
      </c>
      <c r="AV180" s="4">
        <v>0</v>
      </c>
      <c r="AW180" s="4">
        <v>0</v>
      </c>
      <c r="AX180" s="4">
        <v>0</v>
      </c>
      <c r="AY180" s="4">
        <v>0</v>
      </c>
      <c r="AZ180" s="4">
        <v>0</v>
      </c>
      <c r="BA180" s="4">
        <v>0</v>
      </c>
      <c r="BB180" s="4">
        <v>0</v>
      </c>
      <c r="BC180" s="4">
        <v>0</v>
      </c>
      <c r="BD180" s="4">
        <v>0</v>
      </c>
      <c r="BE180" s="4">
        <v>0</v>
      </c>
      <c r="BF180" s="4">
        <v>0</v>
      </c>
      <c r="BG180" s="31">
        <f t="shared" si="32"/>
        <v>0</v>
      </c>
      <c r="BH180" s="31">
        <f t="shared" si="29"/>
        <v>0</v>
      </c>
      <c r="BI180" s="31">
        <f t="shared" si="30"/>
        <v>0</v>
      </c>
      <c r="BJ180" s="31">
        <f t="shared" si="31"/>
        <v>0</v>
      </c>
    </row>
    <row r="181" spans="2:62" x14ac:dyDescent="0.25">
      <c r="D181">
        <v>2089</v>
      </c>
      <c r="E181" t="s">
        <v>439</v>
      </c>
      <c r="F181" s="4">
        <v>0</v>
      </c>
      <c r="G181" s="4">
        <v>0</v>
      </c>
      <c r="H181" s="4">
        <v>0</v>
      </c>
      <c r="I181" s="4">
        <v>0</v>
      </c>
      <c r="J181" s="4">
        <v>79546.899999999994</v>
      </c>
      <c r="K181" s="4">
        <v>0</v>
      </c>
      <c r="L181" s="4">
        <v>0</v>
      </c>
      <c r="M181" s="4">
        <v>0</v>
      </c>
      <c r="N181" s="4">
        <v>0</v>
      </c>
      <c r="O181" s="4">
        <v>0</v>
      </c>
      <c r="P181" s="4">
        <v>0</v>
      </c>
      <c r="Q181" s="4">
        <v>0</v>
      </c>
      <c r="R181" s="4">
        <v>0</v>
      </c>
      <c r="S181" s="4">
        <v>0</v>
      </c>
      <c r="T181" s="4">
        <v>0</v>
      </c>
      <c r="U181" s="4">
        <v>0</v>
      </c>
      <c r="V181" s="4">
        <v>0</v>
      </c>
      <c r="W181" s="4">
        <v>0</v>
      </c>
      <c r="X181" s="4">
        <v>0</v>
      </c>
      <c r="Y181" s="4">
        <v>0</v>
      </c>
      <c r="Z181" s="4">
        <v>0</v>
      </c>
      <c r="AA181" s="4">
        <v>4100000</v>
      </c>
      <c r="AB181" s="4">
        <v>0</v>
      </c>
      <c r="AC181" s="4">
        <v>0</v>
      </c>
      <c r="AD181" s="4">
        <v>0</v>
      </c>
      <c r="AE181" s="4">
        <v>0</v>
      </c>
      <c r="AF181" s="4">
        <v>0</v>
      </c>
      <c r="AG181" s="4">
        <v>0</v>
      </c>
      <c r="AH181" s="4">
        <v>0</v>
      </c>
      <c r="AI181" s="4">
        <v>0</v>
      </c>
      <c r="AJ181" s="4">
        <v>0</v>
      </c>
      <c r="AK181" s="4">
        <v>0</v>
      </c>
      <c r="AL181" s="4">
        <v>0</v>
      </c>
      <c r="AM181" s="4">
        <v>0</v>
      </c>
      <c r="AN181" s="4">
        <v>0</v>
      </c>
      <c r="AO181" s="4">
        <v>0</v>
      </c>
      <c r="AP181" s="4">
        <v>0</v>
      </c>
      <c r="AQ181" s="4">
        <v>0</v>
      </c>
      <c r="AR181" s="4">
        <v>0</v>
      </c>
      <c r="AS181" s="4">
        <v>0</v>
      </c>
      <c r="AT181" s="4">
        <v>0</v>
      </c>
      <c r="AU181" s="4">
        <v>0</v>
      </c>
      <c r="AV181" s="4">
        <v>0</v>
      </c>
      <c r="AW181" s="4">
        <v>0</v>
      </c>
      <c r="AX181" s="4">
        <v>0</v>
      </c>
      <c r="AY181" s="4">
        <v>0</v>
      </c>
      <c r="AZ181" s="4">
        <v>0</v>
      </c>
      <c r="BA181" s="4">
        <v>0</v>
      </c>
      <c r="BB181" s="4">
        <v>0</v>
      </c>
      <c r="BC181" s="4">
        <v>321307.2</v>
      </c>
      <c r="BD181" s="4">
        <v>0</v>
      </c>
      <c r="BE181" s="4">
        <v>0</v>
      </c>
      <c r="BF181" s="4">
        <v>0</v>
      </c>
      <c r="BG181" s="31">
        <f t="shared" si="32"/>
        <v>4500854.0999999996</v>
      </c>
      <c r="BH181" s="31">
        <f t="shared" si="29"/>
        <v>79546.899999999994</v>
      </c>
      <c r="BI181" s="31">
        <f t="shared" si="30"/>
        <v>4100000</v>
      </c>
      <c r="BJ181" s="31">
        <f t="shared" si="31"/>
        <v>321307.2</v>
      </c>
    </row>
    <row r="182" spans="2:62" x14ac:dyDescent="0.25">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31"/>
      <c r="BH182" s="31"/>
      <c r="BI182" s="31"/>
      <c r="BJ182" s="31"/>
    </row>
    <row r="183" spans="2:62" x14ac:dyDescent="0.25">
      <c r="C183" s="66">
        <v>209</v>
      </c>
      <c r="D183" s="66"/>
      <c r="E183" s="66" t="s">
        <v>259</v>
      </c>
      <c r="F183" s="67">
        <f>F184+F185+F186+F187</f>
        <v>78163.7</v>
      </c>
      <c r="G183" s="67">
        <f t="shared" ref="G183:BF183" si="37">G184+G185+G186+G187</f>
        <v>0</v>
      </c>
      <c r="H183" s="67">
        <f t="shared" si="37"/>
        <v>119639.3</v>
      </c>
      <c r="I183" s="67">
        <f t="shared" si="37"/>
        <v>74721.22</v>
      </c>
      <c r="J183" s="67">
        <f t="shared" si="37"/>
        <v>250734.75</v>
      </c>
      <c r="K183" s="67">
        <f t="shared" si="37"/>
        <v>1005390.6</v>
      </c>
      <c r="L183" s="67">
        <f t="shared" si="37"/>
        <v>312151.92</v>
      </c>
      <c r="M183" s="67">
        <f t="shared" si="37"/>
        <v>1871191.55</v>
      </c>
      <c r="N183" s="67">
        <f t="shared" si="37"/>
        <v>25354.95</v>
      </c>
      <c r="O183" s="67">
        <f t="shared" si="37"/>
        <v>141524.70000000001</v>
      </c>
      <c r="P183" s="67">
        <f t="shared" si="37"/>
        <v>787477.4</v>
      </c>
      <c r="Q183" s="67">
        <f t="shared" si="37"/>
        <v>18411.509999999998</v>
      </c>
      <c r="R183" s="67">
        <f t="shared" si="37"/>
        <v>0</v>
      </c>
      <c r="S183" s="67">
        <f t="shared" si="37"/>
        <v>14252</v>
      </c>
      <c r="T183" s="67">
        <f t="shared" si="37"/>
        <v>38026.949999999997</v>
      </c>
      <c r="U183" s="67">
        <f t="shared" si="37"/>
        <v>170104</v>
      </c>
      <c r="V183" s="67">
        <f t="shared" si="37"/>
        <v>36715.660000000003</v>
      </c>
      <c r="W183" s="67">
        <f t="shared" si="37"/>
        <v>444.87</v>
      </c>
      <c r="X183" s="67">
        <f t="shared" si="37"/>
        <v>576639.53</v>
      </c>
      <c r="Y183" s="67">
        <f t="shared" si="37"/>
        <v>0</v>
      </c>
      <c r="Z183" s="67">
        <f t="shared" si="37"/>
        <v>164826.5</v>
      </c>
      <c r="AA183" s="67">
        <f t="shared" si="37"/>
        <v>0</v>
      </c>
      <c r="AB183" s="67">
        <f t="shared" si="37"/>
        <v>0</v>
      </c>
      <c r="AC183" s="67">
        <f t="shared" si="37"/>
        <v>20628.79</v>
      </c>
      <c r="AD183" s="67">
        <f t="shared" si="37"/>
        <v>198580.28</v>
      </c>
      <c r="AE183" s="67">
        <f t="shared" si="37"/>
        <v>0</v>
      </c>
      <c r="AF183" s="67">
        <f t="shared" si="37"/>
        <v>72184.59</v>
      </c>
      <c r="AG183" s="67">
        <f t="shared" si="37"/>
        <v>91885.6</v>
      </c>
      <c r="AH183" s="67">
        <f t="shared" si="37"/>
        <v>520456.2</v>
      </c>
      <c r="AI183" s="67">
        <f t="shared" si="37"/>
        <v>849981.89</v>
      </c>
      <c r="AJ183" s="67">
        <f t="shared" si="37"/>
        <v>40435.1</v>
      </c>
      <c r="AK183" s="67">
        <f t="shared" si="37"/>
        <v>0</v>
      </c>
      <c r="AL183" s="67">
        <f t="shared" si="37"/>
        <v>0</v>
      </c>
      <c r="AM183" s="67">
        <f t="shared" si="37"/>
        <v>0</v>
      </c>
      <c r="AN183" s="67">
        <f t="shared" si="37"/>
        <v>52386.05</v>
      </c>
      <c r="AO183" s="67">
        <f t="shared" si="37"/>
        <v>0</v>
      </c>
      <c r="AP183" s="67">
        <f t="shared" si="37"/>
        <v>0</v>
      </c>
      <c r="AQ183" s="67">
        <f t="shared" si="37"/>
        <v>0</v>
      </c>
      <c r="AR183" s="67">
        <f t="shared" si="37"/>
        <v>50490.55</v>
      </c>
      <c r="AS183" s="67">
        <f t="shared" si="37"/>
        <v>197540.9</v>
      </c>
      <c r="AT183" s="67">
        <f t="shared" si="37"/>
        <v>12295.62</v>
      </c>
      <c r="AU183" s="67">
        <f t="shared" si="37"/>
        <v>79876.17</v>
      </c>
      <c r="AV183" s="67">
        <f t="shared" si="37"/>
        <v>16202.25</v>
      </c>
      <c r="AW183" s="67">
        <f t="shared" si="37"/>
        <v>0</v>
      </c>
      <c r="AX183" s="67">
        <f t="shared" si="37"/>
        <v>115817.3</v>
      </c>
      <c r="AY183" s="67">
        <f t="shared" si="37"/>
        <v>154987.65</v>
      </c>
      <c r="AZ183" s="67">
        <f t="shared" si="37"/>
        <v>24798.49</v>
      </c>
      <c r="BA183" s="67">
        <f t="shared" si="37"/>
        <v>68692.649999999994</v>
      </c>
      <c r="BB183" s="67">
        <f t="shared" si="37"/>
        <v>0</v>
      </c>
      <c r="BC183" s="67">
        <f t="shared" si="37"/>
        <v>5643.9</v>
      </c>
      <c r="BD183" s="67">
        <f t="shared" si="37"/>
        <v>0</v>
      </c>
      <c r="BE183" s="67">
        <f t="shared" si="37"/>
        <v>1146105.01</v>
      </c>
      <c r="BF183" s="67">
        <f t="shared" si="37"/>
        <v>0</v>
      </c>
      <c r="BG183" s="67">
        <f t="shared" si="32"/>
        <v>9404760.1000000015</v>
      </c>
      <c r="BH183" s="67">
        <f t="shared" si="29"/>
        <v>5520944.6100000013</v>
      </c>
      <c r="BI183" s="67">
        <f t="shared" si="30"/>
        <v>1958978.9500000002</v>
      </c>
      <c r="BJ183" s="67">
        <f t="shared" si="31"/>
        <v>1924836.54</v>
      </c>
    </row>
    <row r="184" spans="2:62" x14ac:dyDescent="0.25">
      <c r="D184">
        <v>2090</v>
      </c>
      <c r="E184" t="s">
        <v>259</v>
      </c>
      <c r="F184" s="4">
        <v>0</v>
      </c>
      <c r="G184" s="4">
        <v>0</v>
      </c>
      <c r="H184" s="4">
        <v>0</v>
      </c>
      <c r="I184" s="4">
        <v>0</v>
      </c>
      <c r="J184" s="4">
        <v>0</v>
      </c>
      <c r="K184" s="4">
        <v>1004890.6</v>
      </c>
      <c r="L184" s="4">
        <v>0</v>
      </c>
      <c r="M184" s="4">
        <v>0</v>
      </c>
      <c r="N184" s="4">
        <v>25354.95</v>
      </c>
      <c r="O184" s="4">
        <v>0</v>
      </c>
      <c r="P184" s="4">
        <v>0</v>
      </c>
      <c r="Q184" s="4">
        <v>0</v>
      </c>
      <c r="R184" s="4">
        <v>0</v>
      </c>
      <c r="S184" s="4">
        <v>14252</v>
      </c>
      <c r="T184" s="4">
        <v>0</v>
      </c>
      <c r="U184" s="4">
        <v>0</v>
      </c>
      <c r="V184" s="4">
        <v>0</v>
      </c>
      <c r="W184" s="4">
        <v>0</v>
      </c>
      <c r="X184" s="4">
        <v>0</v>
      </c>
      <c r="Y184" s="4">
        <v>0</v>
      </c>
      <c r="Z184" s="4">
        <v>0</v>
      </c>
      <c r="AA184" s="4">
        <v>0</v>
      </c>
      <c r="AB184" s="4">
        <v>0</v>
      </c>
      <c r="AC184" s="4">
        <v>0</v>
      </c>
      <c r="AD184" s="4">
        <v>0</v>
      </c>
      <c r="AE184" s="4">
        <v>0</v>
      </c>
      <c r="AF184" s="4">
        <v>0</v>
      </c>
      <c r="AG184" s="4">
        <v>0</v>
      </c>
      <c r="AH184" s="4">
        <v>0</v>
      </c>
      <c r="AI184" s="4">
        <v>0</v>
      </c>
      <c r="AJ184" s="4">
        <v>0</v>
      </c>
      <c r="AK184" s="4">
        <v>0</v>
      </c>
      <c r="AL184" s="4">
        <v>0</v>
      </c>
      <c r="AM184" s="4">
        <v>0</v>
      </c>
      <c r="AN184" s="4">
        <v>0</v>
      </c>
      <c r="AO184" s="4">
        <v>0</v>
      </c>
      <c r="AP184" s="4">
        <v>0</v>
      </c>
      <c r="AQ184" s="4">
        <v>0</v>
      </c>
      <c r="AR184" s="4">
        <v>0</v>
      </c>
      <c r="AS184" s="4">
        <v>0</v>
      </c>
      <c r="AT184" s="4">
        <v>0</v>
      </c>
      <c r="AU184" s="4">
        <v>0</v>
      </c>
      <c r="AV184" s="4">
        <v>0</v>
      </c>
      <c r="AW184" s="4">
        <v>0</v>
      </c>
      <c r="AX184" s="4">
        <v>0</v>
      </c>
      <c r="AY184" s="4">
        <v>0</v>
      </c>
      <c r="AZ184" s="4">
        <v>0</v>
      </c>
      <c r="BA184" s="4">
        <v>0</v>
      </c>
      <c r="BB184" s="4">
        <v>0</v>
      </c>
      <c r="BC184" s="4">
        <v>0</v>
      </c>
      <c r="BD184" s="4">
        <v>0</v>
      </c>
      <c r="BE184" s="4">
        <v>0</v>
      </c>
      <c r="BF184" s="4">
        <v>0</v>
      </c>
      <c r="BG184" s="31">
        <f t="shared" si="32"/>
        <v>1044497.5499999999</v>
      </c>
      <c r="BH184" s="31">
        <f t="shared" si="29"/>
        <v>1044497.5499999999</v>
      </c>
      <c r="BI184" s="31">
        <f t="shared" si="30"/>
        <v>0</v>
      </c>
      <c r="BJ184" s="31">
        <f t="shared" si="31"/>
        <v>0</v>
      </c>
    </row>
    <row r="185" spans="2:62" x14ac:dyDescent="0.25">
      <c r="D185">
        <v>2091</v>
      </c>
      <c r="E185" t="s">
        <v>440</v>
      </c>
      <c r="F185" s="4">
        <v>78163.7</v>
      </c>
      <c r="G185" s="4">
        <v>0</v>
      </c>
      <c r="H185" s="4">
        <v>119639.3</v>
      </c>
      <c r="I185" s="4">
        <v>74721.22</v>
      </c>
      <c r="J185" s="4">
        <v>250734.75</v>
      </c>
      <c r="K185" s="4">
        <v>0</v>
      </c>
      <c r="L185" s="4">
        <v>312151.92</v>
      </c>
      <c r="M185" s="4">
        <v>1871191.55</v>
      </c>
      <c r="N185" s="4">
        <v>0</v>
      </c>
      <c r="O185" s="4">
        <v>141524.70000000001</v>
      </c>
      <c r="P185" s="4">
        <v>787477.4</v>
      </c>
      <c r="Q185" s="4">
        <v>18411.509999999998</v>
      </c>
      <c r="R185" s="4">
        <v>0</v>
      </c>
      <c r="S185" s="4">
        <v>0</v>
      </c>
      <c r="T185" s="4">
        <v>38026.949999999997</v>
      </c>
      <c r="U185" s="4">
        <v>170104</v>
      </c>
      <c r="V185" s="4">
        <v>36715.660000000003</v>
      </c>
      <c r="W185" s="4">
        <v>444.87</v>
      </c>
      <c r="X185" s="4">
        <v>576639.53</v>
      </c>
      <c r="Y185" s="4">
        <v>0</v>
      </c>
      <c r="Z185" s="4">
        <v>164826.5</v>
      </c>
      <c r="AA185" s="4">
        <v>0</v>
      </c>
      <c r="AB185" s="4">
        <v>0</v>
      </c>
      <c r="AC185" s="4">
        <v>20628.79</v>
      </c>
      <c r="AD185" s="4">
        <v>198580.28</v>
      </c>
      <c r="AE185" s="4">
        <v>0</v>
      </c>
      <c r="AF185" s="4">
        <v>72184.59</v>
      </c>
      <c r="AG185" s="4">
        <v>91885.6</v>
      </c>
      <c r="AH185" s="4">
        <v>520456.2</v>
      </c>
      <c r="AI185" s="4">
        <v>798115.64</v>
      </c>
      <c r="AJ185" s="4">
        <v>40435.1</v>
      </c>
      <c r="AK185" s="4">
        <v>0</v>
      </c>
      <c r="AL185" s="4">
        <v>0</v>
      </c>
      <c r="AM185" s="4">
        <v>0</v>
      </c>
      <c r="AN185" s="4">
        <v>52386.05</v>
      </c>
      <c r="AO185" s="4">
        <v>0</v>
      </c>
      <c r="AP185" s="4">
        <v>0</v>
      </c>
      <c r="AQ185" s="4">
        <v>0</v>
      </c>
      <c r="AR185" s="4">
        <v>50490.55</v>
      </c>
      <c r="AS185" s="4">
        <v>197540.9</v>
      </c>
      <c r="AT185" s="4">
        <v>12295.62</v>
      </c>
      <c r="AU185" s="4">
        <v>79876.17</v>
      </c>
      <c r="AV185" s="4">
        <v>16202.25</v>
      </c>
      <c r="AW185" s="4">
        <v>0</v>
      </c>
      <c r="AX185" s="4">
        <v>115817.3</v>
      </c>
      <c r="AY185" s="4">
        <v>154987.65</v>
      </c>
      <c r="AZ185" s="4">
        <v>24798.49</v>
      </c>
      <c r="BA185" s="4">
        <v>68692.649999999994</v>
      </c>
      <c r="BB185" s="4">
        <v>0</v>
      </c>
      <c r="BC185" s="4">
        <v>5643.9</v>
      </c>
      <c r="BD185" s="4">
        <v>0</v>
      </c>
      <c r="BE185" s="4">
        <v>1146105.01</v>
      </c>
      <c r="BF185" s="4">
        <v>0</v>
      </c>
      <c r="BG185" s="31">
        <f t="shared" si="32"/>
        <v>8307896.3000000007</v>
      </c>
      <c r="BH185" s="31">
        <f t="shared" si="29"/>
        <v>4475947.0600000005</v>
      </c>
      <c r="BI185" s="31">
        <f t="shared" si="30"/>
        <v>1907112.7000000002</v>
      </c>
      <c r="BJ185" s="31">
        <f t="shared" si="31"/>
        <v>1924836.54</v>
      </c>
    </row>
    <row r="186" spans="2:62" x14ac:dyDescent="0.25">
      <c r="D186">
        <v>2092</v>
      </c>
      <c r="E186" t="s">
        <v>441</v>
      </c>
      <c r="F186" s="4">
        <v>0</v>
      </c>
      <c r="G186" s="4">
        <v>0</v>
      </c>
      <c r="H186" s="4">
        <v>0</v>
      </c>
      <c r="I186" s="4">
        <v>0</v>
      </c>
      <c r="J186" s="4">
        <v>0</v>
      </c>
      <c r="K186" s="4">
        <v>500</v>
      </c>
      <c r="L186" s="4">
        <v>0</v>
      </c>
      <c r="M186" s="4">
        <v>0</v>
      </c>
      <c r="N186" s="4">
        <v>0</v>
      </c>
      <c r="O186" s="4">
        <v>0</v>
      </c>
      <c r="P186" s="4">
        <v>0</v>
      </c>
      <c r="Q186" s="4">
        <v>0</v>
      </c>
      <c r="R186" s="4">
        <v>0</v>
      </c>
      <c r="S186" s="4">
        <v>0</v>
      </c>
      <c r="T186" s="4">
        <v>0</v>
      </c>
      <c r="U186" s="4">
        <v>0</v>
      </c>
      <c r="V186" s="4">
        <v>0</v>
      </c>
      <c r="W186" s="4">
        <v>0</v>
      </c>
      <c r="X186" s="4">
        <v>0</v>
      </c>
      <c r="Y186" s="4">
        <v>0</v>
      </c>
      <c r="Z186" s="4">
        <v>0</v>
      </c>
      <c r="AA186" s="4">
        <v>0</v>
      </c>
      <c r="AB186" s="4">
        <v>0</v>
      </c>
      <c r="AC186" s="4">
        <v>0</v>
      </c>
      <c r="AD186" s="4">
        <v>0</v>
      </c>
      <c r="AE186" s="4">
        <v>0</v>
      </c>
      <c r="AF186" s="4">
        <v>0</v>
      </c>
      <c r="AG186" s="4">
        <v>0</v>
      </c>
      <c r="AH186" s="4">
        <v>0</v>
      </c>
      <c r="AI186" s="4">
        <v>0</v>
      </c>
      <c r="AJ186" s="4">
        <v>0</v>
      </c>
      <c r="AK186" s="4">
        <v>0</v>
      </c>
      <c r="AL186" s="4">
        <v>0</v>
      </c>
      <c r="AM186" s="4">
        <v>0</v>
      </c>
      <c r="AN186" s="4">
        <v>0</v>
      </c>
      <c r="AO186" s="4">
        <v>0</v>
      </c>
      <c r="AP186" s="4">
        <v>0</v>
      </c>
      <c r="AQ186" s="4">
        <v>0</v>
      </c>
      <c r="AR186" s="4">
        <v>0</v>
      </c>
      <c r="AS186" s="4">
        <v>0</v>
      </c>
      <c r="AT186" s="4">
        <v>0</v>
      </c>
      <c r="AU186" s="4">
        <v>0</v>
      </c>
      <c r="AV186" s="4">
        <v>0</v>
      </c>
      <c r="AW186" s="4">
        <v>0</v>
      </c>
      <c r="AX186" s="4">
        <v>0</v>
      </c>
      <c r="AY186" s="4">
        <v>0</v>
      </c>
      <c r="AZ186" s="4">
        <v>0</v>
      </c>
      <c r="BA186" s="4">
        <v>0</v>
      </c>
      <c r="BB186" s="4">
        <v>0</v>
      </c>
      <c r="BC186" s="4">
        <v>0</v>
      </c>
      <c r="BD186" s="4">
        <v>0</v>
      </c>
      <c r="BE186" s="4">
        <v>0</v>
      </c>
      <c r="BF186" s="4">
        <v>0</v>
      </c>
      <c r="BG186" s="31">
        <f t="shared" si="32"/>
        <v>500</v>
      </c>
      <c r="BH186" s="31">
        <f t="shared" si="29"/>
        <v>500</v>
      </c>
      <c r="BI186" s="31">
        <f t="shared" si="30"/>
        <v>0</v>
      </c>
      <c r="BJ186" s="31">
        <f t="shared" si="31"/>
        <v>0</v>
      </c>
    </row>
    <row r="187" spans="2:62" x14ac:dyDescent="0.25">
      <c r="D187">
        <v>2093</v>
      </c>
      <c r="E187" t="s">
        <v>442</v>
      </c>
      <c r="F187" s="4">
        <v>0</v>
      </c>
      <c r="G187" s="4">
        <v>0</v>
      </c>
      <c r="H187" s="4">
        <v>0</v>
      </c>
      <c r="I187" s="4">
        <v>0</v>
      </c>
      <c r="J187" s="4">
        <v>0</v>
      </c>
      <c r="K187" s="4">
        <v>0</v>
      </c>
      <c r="L187" s="4">
        <v>0</v>
      </c>
      <c r="M187" s="4">
        <v>0</v>
      </c>
      <c r="N187" s="4">
        <v>0</v>
      </c>
      <c r="O187" s="4">
        <v>0</v>
      </c>
      <c r="P187" s="4">
        <v>0</v>
      </c>
      <c r="Q187" s="4">
        <v>0</v>
      </c>
      <c r="R187" s="4">
        <v>0</v>
      </c>
      <c r="S187" s="4">
        <v>0</v>
      </c>
      <c r="T187" s="4">
        <v>0</v>
      </c>
      <c r="U187" s="4">
        <v>0</v>
      </c>
      <c r="V187" s="4">
        <v>0</v>
      </c>
      <c r="W187" s="4">
        <v>0</v>
      </c>
      <c r="X187" s="4">
        <v>0</v>
      </c>
      <c r="Y187" s="4">
        <v>0</v>
      </c>
      <c r="Z187" s="4">
        <v>0</v>
      </c>
      <c r="AA187" s="4">
        <v>0</v>
      </c>
      <c r="AB187" s="4">
        <v>0</v>
      </c>
      <c r="AC187" s="4">
        <v>0</v>
      </c>
      <c r="AD187" s="4">
        <v>0</v>
      </c>
      <c r="AE187" s="4">
        <v>0</v>
      </c>
      <c r="AF187" s="4">
        <v>0</v>
      </c>
      <c r="AG187" s="4">
        <v>0</v>
      </c>
      <c r="AH187" s="4">
        <v>0</v>
      </c>
      <c r="AI187" s="4">
        <v>51866.25</v>
      </c>
      <c r="AJ187" s="4">
        <v>0</v>
      </c>
      <c r="AK187" s="4">
        <v>0</v>
      </c>
      <c r="AL187" s="4">
        <v>0</v>
      </c>
      <c r="AM187" s="4">
        <v>0</v>
      </c>
      <c r="AN187" s="4">
        <v>0</v>
      </c>
      <c r="AO187" s="4">
        <v>0</v>
      </c>
      <c r="AP187" s="4">
        <v>0</v>
      </c>
      <c r="AQ187" s="4">
        <v>0</v>
      </c>
      <c r="AR187" s="4">
        <v>0</v>
      </c>
      <c r="AS187" s="4">
        <v>0</v>
      </c>
      <c r="AT187" s="4">
        <v>0</v>
      </c>
      <c r="AU187" s="4">
        <v>0</v>
      </c>
      <c r="AV187" s="4">
        <v>0</v>
      </c>
      <c r="AW187" s="4">
        <v>0</v>
      </c>
      <c r="AX187" s="4">
        <v>0</v>
      </c>
      <c r="AY187" s="4">
        <v>0</v>
      </c>
      <c r="AZ187" s="4">
        <v>0</v>
      </c>
      <c r="BA187" s="4">
        <v>0</v>
      </c>
      <c r="BB187" s="4">
        <v>0</v>
      </c>
      <c r="BC187" s="4">
        <v>0</v>
      </c>
      <c r="BD187" s="4">
        <v>0</v>
      </c>
      <c r="BE187" s="4">
        <v>0</v>
      </c>
      <c r="BF187" s="4">
        <v>0</v>
      </c>
      <c r="BG187" s="31">
        <f t="shared" si="32"/>
        <v>51866.25</v>
      </c>
      <c r="BH187" s="31">
        <f t="shared" si="29"/>
        <v>0</v>
      </c>
      <c r="BI187" s="31">
        <f t="shared" si="30"/>
        <v>51866.25</v>
      </c>
      <c r="BJ187" s="31">
        <f t="shared" si="31"/>
        <v>0</v>
      </c>
    </row>
    <row r="188" spans="2:62" x14ac:dyDescent="0.25">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31"/>
      <c r="BH188" s="31"/>
      <c r="BI188" s="31"/>
      <c r="BJ188" s="31"/>
    </row>
    <row r="189" spans="2:62" x14ac:dyDescent="0.25">
      <c r="B189" s="68">
        <v>29</v>
      </c>
      <c r="C189" s="68"/>
      <c r="D189" s="68"/>
      <c r="E189" s="68" t="s">
        <v>260</v>
      </c>
      <c r="F189" s="69">
        <f>F190+F193+F197+F200+F203+F206+F209+F212+F215</f>
        <v>4591168.79</v>
      </c>
      <c r="G189" s="69">
        <f t="shared" ref="G189:BJ189" si="38">G190+G193+G197+G200+G203+G206+G209+G212+G215</f>
        <v>489947.82</v>
      </c>
      <c r="H189" s="69">
        <f t="shared" si="38"/>
        <v>242257.76</v>
      </c>
      <c r="I189" s="69">
        <f t="shared" si="38"/>
        <v>2478153.3600000003</v>
      </c>
      <c r="J189" s="69">
        <f t="shared" si="38"/>
        <v>10879188.16</v>
      </c>
      <c r="K189" s="69">
        <f t="shared" si="38"/>
        <v>7466060.8100000005</v>
      </c>
      <c r="L189" s="69">
        <f t="shared" si="38"/>
        <v>9902110.870000001</v>
      </c>
      <c r="M189" s="69">
        <f t="shared" si="38"/>
        <v>31445698.129999999</v>
      </c>
      <c r="N189" s="69">
        <f t="shared" si="38"/>
        <v>4109993.71</v>
      </c>
      <c r="O189" s="69">
        <f t="shared" si="38"/>
        <v>592146.18000000005</v>
      </c>
      <c r="P189" s="69">
        <f t="shared" si="38"/>
        <v>7719981.0300000012</v>
      </c>
      <c r="Q189" s="69">
        <f t="shared" si="38"/>
        <v>1516663.5100000002</v>
      </c>
      <c r="R189" s="69">
        <f t="shared" si="38"/>
        <v>218655.59</v>
      </c>
      <c r="S189" s="69">
        <f t="shared" si="38"/>
        <v>841563.2</v>
      </c>
      <c r="T189" s="69">
        <f t="shared" si="38"/>
        <v>974362.25</v>
      </c>
      <c r="U189" s="69">
        <f t="shared" si="38"/>
        <v>2986346.35</v>
      </c>
      <c r="V189" s="69">
        <f t="shared" si="38"/>
        <v>778606.28</v>
      </c>
      <c r="W189" s="69">
        <f t="shared" si="38"/>
        <v>732922.32000000007</v>
      </c>
      <c r="X189" s="69">
        <f t="shared" si="38"/>
        <v>5689759.8499999996</v>
      </c>
      <c r="Y189" s="69">
        <f t="shared" si="38"/>
        <v>3329459.15</v>
      </c>
      <c r="Z189" s="69">
        <f t="shared" si="38"/>
        <v>4003307.67</v>
      </c>
      <c r="AA189" s="69">
        <f t="shared" si="38"/>
        <v>18646639.780000001</v>
      </c>
      <c r="AB189" s="69">
        <f t="shared" si="38"/>
        <v>783430.4</v>
      </c>
      <c r="AC189" s="69">
        <f t="shared" si="38"/>
        <v>1756230.92</v>
      </c>
      <c r="AD189" s="69">
        <f t="shared" si="38"/>
        <v>1653734.19</v>
      </c>
      <c r="AE189" s="69">
        <f t="shared" si="38"/>
        <v>1692802.6300000001</v>
      </c>
      <c r="AF189" s="69">
        <f t="shared" si="38"/>
        <v>2850990.0300000003</v>
      </c>
      <c r="AG189" s="69">
        <f t="shared" si="38"/>
        <v>7189603.1100000013</v>
      </c>
      <c r="AH189" s="69">
        <f t="shared" si="38"/>
        <v>9329240.9800000004</v>
      </c>
      <c r="AI189" s="69">
        <f t="shared" si="38"/>
        <v>9305592.6500000004</v>
      </c>
      <c r="AJ189" s="69">
        <f t="shared" si="38"/>
        <v>2109625.8499999996</v>
      </c>
      <c r="AK189" s="69">
        <f t="shared" si="38"/>
        <v>2150451.9900000002</v>
      </c>
      <c r="AL189" s="69">
        <f t="shared" si="38"/>
        <v>4123303.76</v>
      </c>
      <c r="AM189" s="69">
        <f t="shared" si="38"/>
        <v>6031579.1799999997</v>
      </c>
      <c r="AN189" s="69">
        <f t="shared" si="38"/>
        <v>3517376.03</v>
      </c>
      <c r="AO189" s="69">
        <f t="shared" si="38"/>
        <v>1354915.12</v>
      </c>
      <c r="AP189" s="69">
        <f t="shared" si="38"/>
        <v>20764279.890000001</v>
      </c>
      <c r="AQ189" s="69">
        <f t="shared" si="38"/>
        <v>2862488.41</v>
      </c>
      <c r="AR189" s="69">
        <f t="shared" si="38"/>
        <v>2624411.96</v>
      </c>
      <c r="AS189" s="69">
        <f t="shared" si="38"/>
        <v>11016037.99</v>
      </c>
      <c r="AT189" s="69">
        <f t="shared" si="38"/>
        <v>2228140.11</v>
      </c>
      <c r="AU189" s="69">
        <f t="shared" si="38"/>
        <v>1689247.3599999999</v>
      </c>
      <c r="AV189" s="69">
        <f t="shared" si="38"/>
        <v>3800407.95</v>
      </c>
      <c r="AW189" s="69">
        <f t="shared" si="38"/>
        <v>7596912.5</v>
      </c>
      <c r="AX189" s="69">
        <f t="shared" si="38"/>
        <v>2726265.09</v>
      </c>
      <c r="AY189" s="69">
        <f t="shared" si="38"/>
        <v>645900.39</v>
      </c>
      <c r="AZ189" s="69">
        <f t="shared" si="38"/>
        <v>2043828.8900000001</v>
      </c>
      <c r="BA189" s="69">
        <f t="shared" si="38"/>
        <v>3415164.4699999997</v>
      </c>
      <c r="BB189" s="69">
        <f t="shared" si="38"/>
        <v>3310776.9499999997</v>
      </c>
      <c r="BC189" s="69">
        <f t="shared" si="38"/>
        <v>4674209.24</v>
      </c>
      <c r="BD189" s="69">
        <f t="shared" si="38"/>
        <v>1281823.19</v>
      </c>
      <c r="BE189" s="69">
        <f t="shared" si="38"/>
        <v>10716577.420000002</v>
      </c>
      <c r="BF189" s="69">
        <f t="shared" si="38"/>
        <v>1565660.9900000002</v>
      </c>
      <c r="BG189" s="69">
        <f t="shared" si="38"/>
        <v>256446002.21000004</v>
      </c>
      <c r="BH189" s="69">
        <f t="shared" si="38"/>
        <v>93655585.969999999</v>
      </c>
      <c r="BI189" s="69">
        <f t="shared" si="38"/>
        <v>64801109.349999994</v>
      </c>
      <c r="BJ189" s="69">
        <f t="shared" si="38"/>
        <v>97989306.889999986</v>
      </c>
    </row>
    <row r="190" spans="2:62" x14ac:dyDescent="0.25">
      <c r="C190" s="66">
        <v>290</v>
      </c>
      <c r="D190" s="66"/>
      <c r="E190" s="66" t="s">
        <v>261</v>
      </c>
      <c r="F190" s="67">
        <f>F191</f>
        <v>2151199.2599999998</v>
      </c>
      <c r="G190" s="67">
        <f t="shared" ref="G190:BF190" si="39">G191</f>
        <v>449776.9</v>
      </c>
      <c r="H190" s="67">
        <f t="shared" si="39"/>
        <v>381849.64</v>
      </c>
      <c r="I190" s="67">
        <f t="shared" si="39"/>
        <v>850748.95</v>
      </c>
      <c r="J190" s="67">
        <f t="shared" si="39"/>
        <v>5120387.05</v>
      </c>
      <c r="K190" s="67">
        <f t="shared" si="39"/>
        <v>4691010.37</v>
      </c>
      <c r="L190" s="67">
        <f t="shared" si="39"/>
        <v>2945700</v>
      </c>
      <c r="M190" s="67">
        <f t="shared" si="39"/>
        <v>23586793.18</v>
      </c>
      <c r="N190" s="67">
        <f t="shared" si="39"/>
        <v>1279527.93</v>
      </c>
      <c r="O190" s="67">
        <f t="shared" si="39"/>
        <v>46726.25</v>
      </c>
      <c r="P190" s="67">
        <f t="shared" si="39"/>
        <v>3888222.47</v>
      </c>
      <c r="Q190" s="67">
        <f t="shared" si="39"/>
        <v>616889.31000000006</v>
      </c>
      <c r="R190" s="67">
        <f t="shared" si="39"/>
        <v>142852.92000000001</v>
      </c>
      <c r="S190" s="67">
        <f t="shared" si="39"/>
        <v>420706.26</v>
      </c>
      <c r="T190" s="67">
        <f t="shared" si="39"/>
        <v>999520.8</v>
      </c>
      <c r="U190" s="67">
        <f t="shared" si="39"/>
        <v>1840450.1</v>
      </c>
      <c r="V190" s="67">
        <f t="shared" si="39"/>
        <v>368830.25</v>
      </c>
      <c r="W190" s="67">
        <f t="shared" si="39"/>
        <v>502533.89</v>
      </c>
      <c r="X190" s="67">
        <f t="shared" si="39"/>
        <v>2513866.7200000002</v>
      </c>
      <c r="Y190" s="67">
        <f t="shared" si="39"/>
        <v>746827.15</v>
      </c>
      <c r="Z190" s="67">
        <f t="shared" si="39"/>
        <v>989704.82</v>
      </c>
      <c r="AA190" s="67">
        <f t="shared" si="39"/>
        <v>1475371.4</v>
      </c>
      <c r="AB190" s="67">
        <f t="shared" si="39"/>
        <v>243629.44</v>
      </c>
      <c r="AC190" s="67">
        <f t="shared" si="39"/>
        <v>642526.47</v>
      </c>
      <c r="AD190" s="67">
        <f t="shared" si="39"/>
        <v>644124.35</v>
      </c>
      <c r="AE190" s="67">
        <f t="shared" si="39"/>
        <v>477396.96</v>
      </c>
      <c r="AF190" s="67">
        <f t="shared" si="39"/>
        <v>1309978.04</v>
      </c>
      <c r="AG190" s="67">
        <f t="shared" si="39"/>
        <v>2127895.16</v>
      </c>
      <c r="AH190" s="67">
        <f t="shared" si="39"/>
        <v>2327137.65</v>
      </c>
      <c r="AI190" s="67">
        <f t="shared" si="39"/>
        <v>6453734.9100000001</v>
      </c>
      <c r="AJ190" s="67">
        <f t="shared" si="39"/>
        <v>801637.7</v>
      </c>
      <c r="AK190" s="67">
        <f t="shared" si="39"/>
        <v>606478.41</v>
      </c>
      <c r="AL190" s="67">
        <f t="shared" si="39"/>
        <v>1735727.05</v>
      </c>
      <c r="AM190" s="67">
        <f t="shared" si="39"/>
        <v>1179153.1299999999</v>
      </c>
      <c r="AN190" s="67">
        <f t="shared" si="39"/>
        <v>674952.2</v>
      </c>
      <c r="AO190" s="67">
        <f t="shared" si="39"/>
        <v>323834.14</v>
      </c>
      <c r="AP190" s="67">
        <f t="shared" si="39"/>
        <v>3334013.19</v>
      </c>
      <c r="AQ190" s="67">
        <f t="shared" si="39"/>
        <v>660483.66</v>
      </c>
      <c r="AR190" s="67">
        <f t="shared" si="39"/>
        <v>607276.06000000006</v>
      </c>
      <c r="AS190" s="67">
        <f t="shared" si="39"/>
        <v>1818259.22</v>
      </c>
      <c r="AT190" s="67">
        <f t="shared" si="39"/>
        <v>1591267.79</v>
      </c>
      <c r="AU190" s="67">
        <f t="shared" si="39"/>
        <v>659497.97</v>
      </c>
      <c r="AV190" s="67">
        <f t="shared" si="39"/>
        <v>609924.11</v>
      </c>
      <c r="AW190" s="67">
        <f t="shared" si="39"/>
        <v>1625696.36</v>
      </c>
      <c r="AX190" s="67">
        <f t="shared" si="39"/>
        <v>1126536.26</v>
      </c>
      <c r="AY190" s="67">
        <f t="shared" si="39"/>
        <v>439901.99</v>
      </c>
      <c r="AZ190" s="67">
        <f t="shared" si="39"/>
        <v>937619.41</v>
      </c>
      <c r="BA190" s="67">
        <f t="shared" si="39"/>
        <v>833873.57</v>
      </c>
      <c r="BB190" s="67">
        <f t="shared" si="39"/>
        <v>1626639.69</v>
      </c>
      <c r="BC190" s="67">
        <f t="shared" si="39"/>
        <v>1645565.98</v>
      </c>
      <c r="BD190" s="67">
        <f t="shared" si="39"/>
        <v>332471.84000000003</v>
      </c>
      <c r="BE190" s="67">
        <f t="shared" si="39"/>
        <v>7751522.9199999999</v>
      </c>
      <c r="BF190" s="67">
        <f t="shared" si="39"/>
        <v>820358.56</v>
      </c>
      <c r="BG190" s="67">
        <f t="shared" si="32"/>
        <v>101978609.80999999</v>
      </c>
      <c r="BH190" s="67">
        <f t="shared" si="29"/>
        <v>52797592.25</v>
      </c>
      <c r="BI190" s="67">
        <f t="shared" si="30"/>
        <v>18846442.460000001</v>
      </c>
      <c r="BJ190" s="67">
        <f t="shared" si="31"/>
        <v>30334575.099999998</v>
      </c>
    </row>
    <row r="191" spans="2:62" x14ac:dyDescent="0.25">
      <c r="D191">
        <v>2900</v>
      </c>
      <c r="E191" t="s">
        <v>261</v>
      </c>
      <c r="F191" s="4">
        <v>2151199.2599999998</v>
      </c>
      <c r="G191" s="4">
        <v>449776.9</v>
      </c>
      <c r="H191" s="4">
        <v>381849.64</v>
      </c>
      <c r="I191" s="4">
        <v>850748.95</v>
      </c>
      <c r="J191" s="4">
        <v>5120387.05</v>
      </c>
      <c r="K191" s="4">
        <v>4691010.37</v>
      </c>
      <c r="L191" s="4">
        <v>2945700</v>
      </c>
      <c r="M191" s="4">
        <v>23586793.18</v>
      </c>
      <c r="N191" s="4">
        <v>1279527.93</v>
      </c>
      <c r="O191" s="4">
        <v>46726.25</v>
      </c>
      <c r="P191" s="4">
        <v>3888222.47</v>
      </c>
      <c r="Q191" s="4">
        <v>616889.31000000006</v>
      </c>
      <c r="R191" s="4">
        <v>142852.92000000001</v>
      </c>
      <c r="S191" s="4">
        <v>420706.26</v>
      </c>
      <c r="T191" s="4">
        <v>999520.8</v>
      </c>
      <c r="U191" s="4">
        <v>1840450.1</v>
      </c>
      <c r="V191" s="4">
        <v>368830.25</v>
      </c>
      <c r="W191" s="4">
        <v>502533.89</v>
      </c>
      <c r="X191" s="4">
        <v>2513866.7200000002</v>
      </c>
      <c r="Y191" s="4">
        <v>746827.15</v>
      </c>
      <c r="Z191" s="4">
        <v>989704.82</v>
      </c>
      <c r="AA191" s="4">
        <v>1475371.4</v>
      </c>
      <c r="AB191" s="4">
        <v>243629.44</v>
      </c>
      <c r="AC191" s="4">
        <v>642526.47</v>
      </c>
      <c r="AD191" s="4">
        <v>644124.35</v>
      </c>
      <c r="AE191" s="4">
        <v>477396.96</v>
      </c>
      <c r="AF191" s="4">
        <v>1309978.04</v>
      </c>
      <c r="AG191" s="4">
        <v>2127895.16</v>
      </c>
      <c r="AH191" s="4">
        <v>2327137.65</v>
      </c>
      <c r="AI191" s="4">
        <v>6453734.9100000001</v>
      </c>
      <c r="AJ191" s="4">
        <v>801637.7</v>
      </c>
      <c r="AK191" s="4">
        <v>606478.41</v>
      </c>
      <c r="AL191" s="4">
        <v>1735727.05</v>
      </c>
      <c r="AM191" s="4">
        <v>1179153.1299999999</v>
      </c>
      <c r="AN191" s="4">
        <v>674952.2</v>
      </c>
      <c r="AO191" s="4">
        <v>323834.14</v>
      </c>
      <c r="AP191" s="4">
        <v>3334013.19</v>
      </c>
      <c r="AQ191" s="4">
        <v>660483.66</v>
      </c>
      <c r="AR191" s="4">
        <v>607276.06000000006</v>
      </c>
      <c r="AS191" s="4">
        <v>1818259.22</v>
      </c>
      <c r="AT191" s="4">
        <v>1591267.79</v>
      </c>
      <c r="AU191" s="4">
        <v>659497.97</v>
      </c>
      <c r="AV191" s="4">
        <v>609924.11</v>
      </c>
      <c r="AW191" s="4">
        <v>1625696.36</v>
      </c>
      <c r="AX191" s="4">
        <v>1126536.26</v>
      </c>
      <c r="AY191" s="4">
        <v>439901.99</v>
      </c>
      <c r="AZ191" s="4">
        <v>937619.41</v>
      </c>
      <c r="BA191" s="4">
        <v>833873.57</v>
      </c>
      <c r="BB191" s="4">
        <v>1626639.69</v>
      </c>
      <c r="BC191" s="4">
        <v>1645565.98</v>
      </c>
      <c r="BD191" s="4">
        <v>332471.84000000003</v>
      </c>
      <c r="BE191" s="4">
        <v>7751522.9199999999</v>
      </c>
      <c r="BF191" s="4">
        <v>820358.56</v>
      </c>
      <c r="BG191" s="31">
        <f t="shared" si="32"/>
        <v>101978609.80999999</v>
      </c>
      <c r="BH191" s="31">
        <f t="shared" si="29"/>
        <v>52797592.25</v>
      </c>
      <c r="BI191" s="31">
        <f t="shared" si="30"/>
        <v>18846442.460000001</v>
      </c>
      <c r="BJ191" s="31">
        <f t="shared" si="31"/>
        <v>30334575.099999998</v>
      </c>
    </row>
    <row r="192" spans="2:62" x14ac:dyDescent="0.25">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31"/>
      <c r="BH192" s="31"/>
      <c r="BI192" s="31"/>
      <c r="BJ192" s="31"/>
    </row>
    <row r="193" spans="3:62" x14ac:dyDescent="0.25">
      <c r="C193" s="66">
        <v>291</v>
      </c>
      <c r="D193" s="66"/>
      <c r="E193" s="66" t="s">
        <v>262</v>
      </c>
      <c r="F193" s="67">
        <f>F194+F195</f>
        <v>50921.1</v>
      </c>
      <c r="G193" s="67">
        <f t="shared" ref="G193:BF193" si="40">G194+G195</f>
        <v>0</v>
      </c>
      <c r="H193" s="67">
        <f t="shared" si="40"/>
        <v>0</v>
      </c>
      <c r="I193" s="67">
        <f t="shared" si="40"/>
        <v>0</v>
      </c>
      <c r="J193" s="67">
        <f t="shared" si="40"/>
        <v>0</v>
      </c>
      <c r="K193" s="67">
        <f t="shared" si="40"/>
        <v>0</v>
      </c>
      <c r="L193" s="67">
        <f t="shared" si="40"/>
        <v>0</v>
      </c>
      <c r="M193" s="67">
        <f t="shared" si="40"/>
        <v>0</v>
      </c>
      <c r="N193" s="67">
        <f t="shared" si="40"/>
        <v>0</v>
      </c>
      <c r="O193" s="67">
        <f t="shared" si="40"/>
        <v>0</v>
      </c>
      <c r="P193" s="67">
        <f t="shared" si="40"/>
        <v>269724.81</v>
      </c>
      <c r="Q193" s="67">
        <f t="shared" si="40"/>
        <v>0</v>
      </c>
      <c r="R193" s="67">
        <f t="shared" si="40"/>
        <v>0</v>
      </c>
      <c r="S193" s="67">
        <f t="shared" si="40"/>
        <v>0</v>
      </c>
      <c r="T193" s="67">
        <f t="shared" si="40"/>
        <v>0</v>
      </c>
      <c r="U193" s="67">
        <f t="shared" si="40"/>
        <v>0</v>
      </c>
      <c r="V193" s="67">
        <f t="shared" si="40"/>
        <v>0</v>
      </c>
      <c r="W193" s="67">
        <f t="shared" si="40"/>
        <v>0</v>
      </c>
      <c r="X193" s="67">
        <f t="shared" si="40"/>
        <v>0</v>
      </c>
      <c r="Y193" s="67">
        <f t="shared" si="40"/>
        <v>0</v>
      </c>
      <c r="Z193" s="67">
        <f t="shared" si="40"/>
        <v>0</v>
      </c>
      <c r="AA193" s="67">
        <f t="shared" si="40"/>
        <v>0</v>
      </c>
      <c r="AB193" s="67">
        <f t="shared" si="40"/>
        <v>0</v>
      </c>
      <c r="AC193" s="67">
        <f t="shared" si="40"/>
        <v>20052.07</v>
      </c>
      <c r="AD193" s="67">
        <f t="shared" si="40"/>
        <v>0</v>
      </c>
      <c r="AE193" s="67">
        <f t="shared" si="40"/>
        <v>0</v>
      </c>
      <c r="AF193" s="67">
        <f t="shared" si="40"/>
        <v>0</v>
      </c>
      <c r="AG193" s="67">
        <f t="shared" si="40"/>
        <v>0</v>
      </c>
      <c r="AH193" s="67">
        <f t="shared" si="40"/>
        <v>0</v>
      </c>
      <c r="AI193" s="67">
        <f t="shared" si="40"/>
        <v>0</v>
      </c>
      <c r="AJ193" s="67">
        <f t="shared" si="40"/>
        <v>0</v>
      </c>
      <c r="AK193" s="67">
        <f t="shared" si="40"/>
        <v>101520.35</v>
      </c>
      <c r="AL193" s="67">
        <f t="shared" si="40"/>
        <v>0</v>
      </c>
      <c r="AM193" s="67">
        <f t="shared" si="40"/>
        <v>0</v>
      </c>
      <c r="AN193" s="67">
        <f t="shared" si="40"/>
        <v>0</v>
      </c>
      <c r="AO193" s="67">
        <f t="shared" si="40"/>
        <v>0</v>
      </c>
      <c r="AP193" s="67">
        <f t="shared" si="40"/>
        <v>223365.3</v>
      </c>
      <c r="AQ193" s="67">
        <f t="shared" si="40"/>
        <v>0</v>
      </c>
      <c r="AR193" s="67">
        <f t="shared" si="40"/>
        <v>0</v>
      </c>
      <c r="AS193" s="67">
        <f t="shared" si="40"/>
        <v>0</v>
      </c>
      <c r="AT193" s="67">
        <f t="shared" si="40"/>
        <v>0</v>
      </c>
      <c r="AU193" s="67">
        <f t="shared" si="40"/>
        <v>0</v>
      </c>
      <c r="AV193" s="67">
        <f t="shared" si="40"/>
        <v>0</v>
      </c>
      <c r="AW193" s="67">
        <f t="shared" si="40"/>
        <v>0</v>
      </c>
      <c r="AX193" s="67">
        <f t="shared" si="40"/>
        <v>393581.05</v>
      </c>
      <c r="AY193" s="67">
        <f t="shared" si="40"/>
        <v>0</v>
      </c>
      <c r="AZ193" s="67">
        <f t="shared" si="40"/>
        <v>0</v>
      </c>
      <c r="BA193" s="67">
        <f t="shared" si="40"/>
        <v>0</v>
      </c>
      <c r="BB193" s="67">
        <f t="shared" si="40"/>
        <v>0</v>
      </c>
      <c r="BC193" s="67">
        <f t="shared" si="40"/>
        <v>0</v>
      </c>
      <c r="BD193" s="67">
        <f t="shared" si="40"/>
        <v>0</v>
      </c>
      <c r="BE193" s="67">
        <f t="shared" si="40"/>
        <v>395983.95</v>
      </c>
      <c r="BF193" s="67">
        <f t="shared" si="40"/>
        <v>0</v>
      </c>
      <c r="BG193" s="67">
        <f t="shared" si="32"/>
        <v>1455148.63</v>
      </c>
      <c r="BH193" s="67">
        <f t="shared" si="29"/>
        <v>320645.90999999997</v>
      </c>
      <c r="BI193" s="67">
        <f t="shared" si="30"/>
        <v>121572.42000000001</v>
      </c>
      <c r="BJ193" s="67">
        <f t="shared" si="31"/>
        <v>1012930.3</v>
      </c>
    </row>
    <row r="194" spans="3:62" x14ac:dyDescent="0.25">
      <c r="D194">
        <v>2910</v>
      </c>
      <c r="E194" t="s">
        <v>262</v>
      </c>
      <c r="F194" s="4">
        <v>50921.1</v>
      </c>
      <c r="G194" s="4">
        <v>0</v>
      </c>
      <c r="H194" s="4">
        <v>0</v>
      </c>
      <c r="I194" s="4">
        <v>0</v>
      </c>
      <c r="J194" s="4">
        <v>0</v>
      </c>
      <c r="K194" s="4">
        <v>0</v>
      </c>
      <c r="L194" s="4">
        <v>0</v>
      </c>
      <c r="M194" s="4">
        <v>0</v>
      </c>
      <c r="N194" s="4">
        <v>0</v>
      </c>
      <c r="O194" s="4">
        <v>0</v>
      </c>
      <c r="P194" s="4">
        <v>0</v>
      </c>
      <c r="Q194" s="4">
        <v>0</v>
      </c>
      <c r="R194" s="4">
        <v>0</v>
      </c>
      <c r="S194" s="4">
        <v>0</v>
      </c>
      <c r="T194" s="4">
        <v>0</v>
      </c>
      <c r="U194" s="4">
        <v>0</v>
      </c>
      <c r="V194" s="4">
        <v>0</v>
      </c>
      <c r="W194" s="4">
        <v>0</v>
      </c>
      <c r="X194" s="4">
        <v>0</v>
      </c>
      <c r="Y194" s="4">
        <v>0</v>
      </c>
      <c r="Z194" s="4">
        <v>0</v>
      </c>
      <c r="AA194" s="4">
        <v>0</v>
      </c>
      <c r="AB194" s="4">
        <v>0</v>
      </c>
      <c r="AC194" s="4">
        <v>20052.07</v>
      </c>
      <c r="AD194" s="4">
        <v>0</v>
      </c>
      <c r="AE194" s="4">
        <v>0</v>
      </c>
      <c r="AF194" s="4">
        <v>0</v>
      </c>
      <c r="AG194" s="4">
        <v>0</v>
      </c>
      <c r="AH194" s="4">
        <v>0</v>
      </c>
      <c r="AI194" s="4">
        <v>0</v>
      </c>
      <c r="AJ194" s="4">
        <v>0</v>
      </c>
      <c r="AK194" s="4">
        <v>101520.35</v>
      </c>
      <c r="AL194" s="4">
        <v>0</v>
      </c>
      <c r="AM194" s="4">
        <v>0</v>
      </c>
      <c r="AN194" s="4">
        <v>0</v>
      </c>
      <c r="AO194" s="4">
        <v>0</v>
      </c>
      <c r="AP194" s="4">
        <v>223365.3</v>
      </c>
      <c r="AQ194" s="4">
        <v>0</v>
      </c>
      <c r="AR194" s="4">
        <v>0</v>
      </c>
      <c r="AS194" s="4">
        <v>0</v>
      </c>
      <c r="AT194" s="4">
        <v>0</v>
      </c>
      <c r="AU194" s="4">
        <v>0</v>
      </c>
      <c r="AV194" s="4">
        <v>0</v>
      </c>
      <c r="AW194" s="4">
        <v>0</v>
      </c>
      <c r="AX194" s="4">
        <v>393581.05</v>
      </c>
      <c r="AY194" s="4">
        <v>0</v>
      </c>
      <c r="AZ194" s="4">
        <v>0</v>
      </c>
      <c r="BA194" s="4">
        <v>0</v>
      </c>
      <c r="BB194" s="4">
        <v>0</v>
      </c>
      <c r="BC194" s="4">
        <v>0</v>
      </c>
      <c r="BD194" s="4">
        <v>0</v>
      </c>
      <c r="BE194" s="4">
        <v>395983.95</v>
      </c>
      <c r="BF194" s="4">
        <v>0</v>
      </c>
      <c r="BG194" s="31">
        <f t="shared" si="32"/>
        <v>1185423.82</v>
      </c>
      <c r="BH194" s="31">
        <f t="shared" si="29"/>
        <v>50921.1</v>
      </c>
      <c r="BI194" s="31">
        <f t="shared" si="30"/>
        <v>121572.42000000001</v>
      </c>
      <c r="BJ194" s="31">
        <f t="shared" si="31"/>
        <v>1012930.3</v>
      </c>
    </row>
    <row r="195" spans="3:62" x14ac:dyDescent="0.25">
      <c r="D195">
        <v>2911</v>
      </c>
      <c r="E195" t="s">
        <v>443</v>
      </c>
      <c r="F195" s="4">
        <v>0</v>
      </c>
      <c r="G195" s="4">
        <v>0</v>
      </c>
      <c r="H195" s="4">
        <v>0</v>
      </c>
      <c r="I195" s="4">
        <v>0</v>
      </c>
      <c r="J195" s="4">
        <v>0</v>
      </c>
      <c r="K195" s="4">
        <v>0</v>
      </c>
      <c r="L195" s="4">
        <v>0</v>
      </c>
      <c r="M195" s="4">
        <v>0</v>
      </c>
      <c r="N195" s="4">
        <v>0</v>
      </c>
      <c r="O195" s="4">
        <v>0</v>
      </c>
      <c r="P195" s="4">
        <v>269724.81</v>
      </c>
      <c r="Q195" s="4">
        <v>0</v>
      </c>
      <c r="R195" s="4">
        <v>0</v>
      </c>
      <c r="S195" s="4">
        <v>0</v>
      </c>
      <c r="T195" s="4">
        <v>0</v>
      </c>
      <c r="U195" s="4">
        <v>0</v>
      </c>
      <c r="V195" s="4">
        <v>0</v>
      </c>
      <c r="W195" s="4">
        <v>0</v>
      </c>
      <c r="X195" s="4">
        <v>0</v>
      </c>
      <c r="Y195" s="4">
        <v>0</v>
      </c>
      <c r="Z195" s="4">
        <v>0</v>
      </c>
      <c r="AA195" s="4">
        <v>0</v>
      </c>
      <c r="AB195" s="4">
        <v>0</v>
      </c>
      <c r="AC195" s="4">
        <v>0</v>
      </c>
      <c r="AD195" s="4">
        <v>0</v>
      </c>
      <c r="AE195" s="4">
        <v>0</v>
      </c>
      <c r="AF195" s="4">
        <v>0</v>
      </c>
      <c r="AG195" s="4">
        <v>0</v>
      </c>
      <c r="AH195" s="4">
        <v>0</v>
      </c>
      <c r="AI195" s="4">
        <v>0</v>
      </c>
      <c r="AJ195" s="4">
        <v>0</v>
      </c>
      <c r="AK195" s="4">
        <v>0</v>
      </c>
      <c r="AL195" s="4">
        <v>0</v>
      </c>
      <c r="AM195" s="4">
        <v>0</v>
      </c>
      <c r="AN195" s="4">
        <v>0</v>
      </c>
      <c r="AO195" s="4">
        <v>0</v>
      </c>
      <c r="AP195" s="4">
        <v>0</v>
      </c>
      <c r="AQ195" s="4">
        <v>0</v>
      </c>
      <c r="AR195" s="4">
        <v>0</v>
      </c>
      <c r="AS195" s="4">
        <v>0</v>
      </c>
      <c r="AT195" s="4">
        <v>0</v>
      </c>
      <c r="AU195" s="4">
        <v>0</v>
      </c>
      <c r="AV195" s="4">
        <v>0</v>
      </c>
      <c r="AW195" s="4">
        <v>0</v>
      </c>
      <c r="AX195" s="4">
        <v>0</v>
      </c>
      <c r="AY195" s="4">
        <v>0</v>
      </c>
      <c r="AZ195" s="4">
        <v>0</v>
      </c>
      <c r="BA195" s="4">
        <v>0</v>
      </c>
      <c r="BB195" s="4">
        <v>0</v>
      </c>
      <c r="BC195" s="4">
        <v>0</v>
      </c>
      <c r="BD195" s="4">
        <v>0</v>
      </c>
      <c r="BE195" s="4">
        <v>0</v>
      </c>
      <c r="BF195" s="4">
        <v>0</v>
      </c>
      <c r="BG195" s="31">
        <f t="shared" si="32"/>
        <v>269724.81</v>
      </c>
      <c r="BH195" s="31">
        <f t="shared" si="29"/>
        <v>269724.81</v>
      </c>
      <c r="BI195" s="31">
        <f t="shared" si="30"/>
        <v>0</v>
      </c>
      <c r="BJ195" s="31">
        <f t="shared" si="31"/>
        <v>0</v>
      </c>
    </row>
    <row r="196" spans="3:62" x14ac:dyDescent="0.25">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31"/>
      <c r="BH196" s="31"/>
      <c r="BI196" s="31"/>
      <c r="BJ196" s="31"/>
    </row>
    <row r="197" spans="3:62" x14ac:dyDescent="0.25">
      <c r="C197" s="66">
        <v>292</v>
      </c>
      <c r="D197" s="66"/>
      <c r="E197" s="66" t="s">
        <v>263</v>
      </c>
      <c r="F197" s="67">
        <f>F198</f>
        <v>0</v>
      </c>
      <c r="G197" s="67">
        <f t="shared" ref="G197:BF197" si="41">G198</f>
        <v>0</v>
      </c>
      <c r="H197" s="67">
        <f t="shared" si="41"/>
        <v>0</v>
      </c>
      <c r="I197" s="67">
        <f t="shared" si="41"/>
        <v>0</v>
      </c>
      <c r="J197" s="67">
        <f t="shared" si="41"/>
        <v>0</v>
      </c>
      <c r="K197" s="67">
        <f t="shared" si="41"/>
        <v>0</v>
      </c>
      <c r="L197" s="67">
        <f t="shared" si="41"/>
        <v>0</v>
      </c>
      <c r="M197" s="67">
        <f t="shared" si="41"/>
        <v>0</v>
      </c>
      <c r="N197" s="67">
        <f t="shared" si="41"/>
        <v>0</v>
      </c>
      <c r="O197" s="67">
        <f t="shared" si="41"/>
        <v>0</v>
      </c>
      <c r="P197" s="67">
        <f t="shared" si="41"/>
        <v>0</v>
      </c>
      <c r="Q197" s="67">
        <f t="shared" si="41"/>
        <v>0</v>
      </c>
      <c r="R197" s="67">
        <f t="shared" si="41"/>
        <v>0</v>
      </c>
      <c r="S197" s="67">
        <f t="shared" si="41"/>
        <v>0</v>
      </c>
      <c r="T197" s="67">
        <f t="shared" si="41"/>
        <v>0</v>
      </c>
      <c r="U197" s="67">
        <f t="shared" si="41"/>
        <v>176186</v>
      </c>
      <c r="V197" s="67">
        <f t="shared" si="41"/>
        <v>0</v>
      </c>
      <c r="W197" s="67">
        <f t="shared" si="41"/>
        <v>0</v>
      </c>
      <c r="X197" s="67">
        <f t="shared" si="41"/>
        <v>0</v>
      </c>
      <c r="Y197" s="67">
        <f t="shared" si="41"/>
        <v>0</v>
      </c>
      <c r="Z197" s="67">
        <f t="shared" si="41"/>
        <v>0</v>
      </c>
      <c r="AA197" s="67">
        <f t="shared" si="41"/>
        <v>105000</v>
      </c>
      <c r="AB197" s="67">
        <f t="shared" si="41"/>
        <v>81058.350000000006</v>
      </c>
      <c r="AC197" s="67">
        <f t="shared" si="41"/>
        <v>0</v>
      </c>
      <c r="AD197" s="67">
        <f t="shared" si="41"/>
        <v>0</v>
      </c>
      <c r="AE197" s="67">
        <f t="shared" si="41"/>
        <v>0</v>
      </c>
      <c r="AF197" s="67">
        <f t="shared" si="41"/>
        <v>0</v>
      </c>
      <c r="AG197" s="67">
        <f t="shared" si="41"/>
        <v>0</v>
      </c>
      <c r="AH197" s="67">
        <f t="shared" si="41"/>
        <v>120343.75</v>
      </c>
      <c r="AI197" s="67">
        <f t="shared" si="41"/>
        <v>0</v>
      </c>
      <c r="AJ197" s="67">
        <f t="shared" si="41"/>
        <v>0</v>
      </c>
      <c r="AK197" s="67">
        <f t="shared" si="41"/>
        <v>0</v>
      </c>
      <c r="AL197" s="67">
        <f t="shared" si="41"/>
        <v>0</v>
      </c>
      <c r="AM197" s="67">
        <f t="shared" si="41"/>
        <v>0</v>
      </c>
      <c r="AN197" s="67">
        <f t="shared" si="41"/>
        <v>0</v>
      </c>
      <c r="AO197" s="67">
        <f t="shared" si="41"/>
        <v>0</v>
      </c>
      <c r="AP197" s="67">
        <f t="shared" si="41"/>
        <v>0</v>
      </c>
      <c r="AQ197" s="67">
        <f t="shared" si="41"/>
        <v>0</v>
      </c>
      <c r="AR197" s="67">
        <f t="shared" si="41"/>
        <v>0</v>
      </c>
      <c r="AS197" s="67">
        <f t="shared" si="41"/>
        <v>0</v>
      </c>
      <c r="AT197" s="67">
        <f t="shared" si="41"/>
        <v>0</v>
      </c>
      <c r="AU197" s="67">
        <f t="shared" si="41"/>
        <v>0</v>
      </c>
      <c r="AV197" s="67">
        <f t="shared" si="41"/>
        <v>0</v>
      </c>
      <c r="AW197" s="67">
        <f t="shared" si="41"/>
        <v>0</v>
      </c>
      <c r="AX197" s="67">
        <f t="shared" si="41"/>
        <v>0</v>
      </c>
      <c r="AY197" s="67">
        <f t="shared" si="41"/>
        <v>3640</v>
      </c>
      <c r="AZ197" s="67">
        <f t="shared" si="41"/>
        <v>0</v>
      </c>
      <c r="BA197" s="67">
        <f t="shared" si="41"/>
        <v>0</v>
      </c>
      <c r="BB197" s="67">
        <f t="shared" si="41"/>
        <v>0</v>
      </c>
      <c r="BC197" s="67">
        <f t="shared" si="41"/>
        <v>0</v>
      </c>
      <c r="BD197" s="67">
        <f t="shared" si="41"/>
        <v>10267.65</v>
      </c>
      <c r="BE197" s="67">
        <f t="shared" si="41"/>
        <v>0</v>
      </c>
      <c r="BF197" s="67">
        <f t="shared" si="41"/>
        <v>0</v>
      </c>
      <c r="BG197" s="67">
        <f t="shared" si="32"/>
        <v>496495.75</v>
      </c>
      <c r="BH197" s="67">
        <f t="shared" si="29"/>
        <v>176186</v>
      </c>
      <c r="BI197" s="67">
        <f t="shared" si="30"/>
        <v>306402.09999999998</v>
      </c>
      <c r="BJ197" s="67">
        <f t="shared" si="31"/>
        <v>13907.65</v>
      </c>
    </row>
    <row r="198" spans="3:62" x14ac:dyDescent="0.25">
      <c r="D198">
        <v>2920</v>
      </c>
      <c r="E198" t="s">
        <v>263</v>
      </c>
      <c r="F198" s="4">
        <v>0</v>
      </c>
      <c r="G198" s="4">
        <v>0</v>
      </c>
      <c r="H198" s="4">
        <v>0</v>
      </c>
      <c r="I198" s="4">
        <v>0</v>
      </c>
      <c r="J198" s="4">
        <v>0</v>
      </c>
      <c r="K198" s="4">
        <v>0</v>
      </c>
      <c r="L198" s="4">
        <v>0</v>
      </c>
      <c r="M198" s="4">
        <v>0</v>
      </c>
      <c r="N198" s="4">
        <v>0</v>
      </c>
      <c r="O198" s="4">
        <v>0</v>
      </c>
      <c r="P198" s="4">
        <v>0</v>
      </c>
      <c r="Q198" s="4">
        <v>0</v>
      </c>
      <c r="R198" s="4">
        <v>0</v>
      </c>
      <c r="S198" s="4">
        <v>0</v>
      </c>
      <c r="T198" s="4">
        <v>0</v>
      </c>
      <c r="U198" s="4">
        <v>176186</v>
      </c>
      <c r="V198" s="4">
        <v>0</v>
      </c>
      <c r="W198" s="4">
        <v>0</v>
      </c>
      <c r="X198" s="4">
        <v>0</v>
      </c>
      <c r="Y198" s="4">
        <v>0</v>
      </c>
      <c r="Z198" s="4">
        <v>0</v>
      </c>
      <c r="AA198" s="4">
        <v>105000</v>
      </c>
      <c r="AB198" s="4">
        <v>81058.350000000006</v>
      </c>
      <c r="AC198" s="4">
        <v>0</v>
      </c>
      <c r="AD198" s="4">
        <v>0</v>
      </c>
      <c r="AE198" s="4">
        <v>0</v>
      </c>
      <c r="AF198" s="4">
        <v>0</v>
      </c>
      <c r="AG198" s="4">
        <v>0</v>
      </c>
      <c r="AH198" s="4">
        <v>120343.75</v>
      </c>
      <c r="AI198" s="4">
        <v>0</v>
      </c>
      <c r="AJ198" s="4">
        <v>0</v>
      </c>
      <c r="AK198" s="4">
        <v>0</v>
      </c>
      <c r="AL198" s="4">
        <v>0</v>
      </c>
      <c r="AM198" s="4">
        <v>0</v>
      </c>
      <c r="AN198" s="4">
        <v>0</v>
      </c>
      <c r="AO198" s="4">
        <v>0</v>
      </c>
      <c r="AP198" s="4">
        <v>0</v>
      </c>
      <c r="AQ198" s="4">
        <v>0</v>
      </c>
      <c r="AR198" s="4">
        <v>0</v>
      </c>
      <c r="AS198" s="4">
        <v>0</v>
      </c>
      <c r="AT198" s="4">
        <v>0</v>
      </c>
      <c r="AU198" s="4">
        <v>0</v>
      </c>
      <c r="AV198" s="4">
        <v>0</v>
      </c>
      <c r="AW198" s="4">
        <v>0</v>
      </c>
      <c r="AX198" s="4">
        <v>0</v>
      </c>
      <c r="AY198" s="4">
        <v>3640</v>
      </c>
      <c r="AZ198" s="4">
        <v>0</v>
      </c>
      <c r="BA198" s="4">
        <v>0</v>
      </c>
      <c r="BB198" s="4">
        <v>0</v>
      </c>
      <c r="BC198" s="4">
        <v>0</v>
      </c>
      <c r="BD198" s="4">
        <v>10267.65</v>
      </c>
      <c r="BE198" s="4">
        <v>0</v>
      </c>
      <c r="BF198" s="4">
        <v>0</v>
      </c>
      <c r="BG198" s="31">
        <f t="shared" si="32"/>
        <v>496495.75</v>
      </c>
      <c r="BH198" s="31">
        <f t="shared" si="29"/>
        <v>176186</v>
      </c>
      <c r="BI198" s="31">
        <f t="shared" si="30"/>
        <v>306402.09999999998</v>
      </c>
      <c r="BJ198" s="31">
        <f t="shared" si="31"/>
        <v>13907.65</v>
      </c>
    </row>
    <row r="199" spans="3:62" x14ac:dyDescent="0.25">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31"/>
      <c r="BH199" s="31"/>
      <c r="BI199" s="31"/>
      <c r="BJ199" s="31"/>
    </row>
    <row r="200" spans="3:62" x14ac:dyDescent="0.25">
      <c r="C200" s="66">
        <v>293</v>
      </c>
      <c r="D200" s="66"/>
      <c r="E200" s="66" t="s">
        <v>264</v>
      </c>
      <c r="F200" s="67">
        <f>F201</f>
        <v>0</v>
      </c>
      <c r="G200" s="67">
        <f t="shared" ref="G200:BF200" si="42">G201</f>
        <v>0</v>
      </c>
      <c r="H200" s="67">
        <f t="shared" si="42"/>
        <v>0</v>
      </c>
      <c r="I200" s="67">
        <f t="shared" si="42"/>
        <v>270853.28999999998</v>
      </c>
      <c r="J200" s="67">
        <f t="shared" si="42"/>
        <v>0</v>
      </c>
      <c r="K200" s="67">
        <f t="shared" si="42"/>
        <v>0</v>
      </c>
      <c r="L200" s="67">
        <f t="shared" si="42"/>
        <v>0</v>
      </c>
      <c r="M200" s="67">
        <f t="shared" si="42"/>
        <v>4076651</v>
      </c>
      <c r="N200" s="67">
        <f t="shared" si="42"/>
        <v>1392097.95</v>
      </c>
      <c r="O200" s="67">
        <f t="shared" si="42"/>
        <v>0</v>
      </c>
      <c r="P200" s="67">
        <f t="shared" si="42"/>
        <v>2628853.6800000002</v>
      </c>
      <c r="Q200" s="67">
        <f t="shared" si="42"/>
        <v>0</v>
      </c>
      <c r="R200" s="67">
        <f t="shared" si="42"/>
        <v>6310.55</v>
      </c>
      <c r="S200" s="67">
        <f t="shared" si="42"/>
        <v>0</v>
      </c>
      <c r="T200" s="67">
        <f t="shared" si="42"/>
        <v>0</v>
      </c>
      <c r="U200" s="67">
        <f t="shared" si="42"/>
        <v>0</v>
      </c>
      <c r="V200" s="67">
        <f t="shared" si="42"/>
        <v>0</v>
      </c>
      <c r="W200" s="67">
        <f t="shared" si="42"/>
        <v>0</v>
      </c>
      <c r="X200" s="67">
        <f t="shared" si="42"/>
        <v>0</v>
      </c>
      <c r="Y200" s="67">
        <f t="shared" si="42"/>
        <v>0</v>
      </c>
      <c r="Z200" s="67">
        <f t="shared" si="42"/>
        <v>0</v>
      </c>
      <c r="AA200" s="67">
        <f t="shared" si="42"/>
        <v>0</v>
      </c>
      <c r="AB200" s="67">
        <f t="shared" si="42"/>
        <v>0</v>
      </c>
      <c r="AC200" s="67">
        <f t="shared" si="42"/>
        <v>0</v>
      </c>
      <c r="AD200" s="67">
        <f t="shared" si="42"/>
        <v>0</v>
      </c>
      <c r="AE200" s="67">
        <f t="shared" si="42"/>
        <v>0</v>
      </c>
      <c r="AF200" s="67">
        <f t="shared" si="42"/>
        <v>0</v>
      </c>
      <c r="AG200" s="67">
        <f t="shared" si="42"/>
        <v>0</v>
      </c>
      <c r="AH200" s="67">
        <f t="shared" si="42"/>
        <v>0</v>
      </c>
      <c r="AI200" s="67">
        <f t="shared" si="42"/>
        <v>0</v>
      </c>
      <c r="AJ200" s="67">
        <f t="shared" si="42"/>
        <v>0</v>
      </c>
      <c r="AK200" s="67">
        <f t="shared" si="42"/>
        <v>0</v>
      </c>
      <c r="AL200" s="67">
        <f t="shared" si="42"/>
        <v>0</v>
      </c>
      <c r="AM200" s="67">
        <f t="shared" si="42"/>
        <v>0</v>
      </c>
      <c r="AN200" s="67">
        <f t="shared" si="42"/>
        <v>0</v>
      </c>
      <c r="AO200" s="67">
        <f t="shared" si="42"/>
        <v>0</v>
      </c>
      <c r="AP200" s="67">
        <f t="shared" si="42"/>
        <v>6730000</v>
      </c>
      <c r="AQ200" s="67">
        <f t="shared" si="42"/>
        <v>0</v>
      </c>
      <c r="AR200" s="67">
        <f t="shared" si="42"/>
        <v>0</v>
      </c>
      <c r="AS200" s="67">
        <f t="shared" si="42"/>
        <v>138049.29999999999</v>
      </c>
      <c r="AT200" s="67">
        <f t="shared" si="42"/>
        <v>0</v>
      </c>
      <c r="AU200" s="67">
        <f t="shared" si="42"/>
        <v>188332</v>
      </c>
      <c r="AV200" s="67">
        <f t="shared" si="42"/>
        <v>0</v>
      </c>
      <c r="AW200" s="67">
        <f t="shared" si="42"/>
        <v>157725.4</v>
      </c>
      <c r="AX200" s="67">
        <f t="shared" si="42"/>
        <v>0</v>
      </c>
      <c r="AY200" s="67">
        <f t="shared" si="42"/>
        <v>0</v>
      </c>
      <c r="AZ200" s="67">
        <f t="shared" si="42"/>
        <v>0</v>
      </c>
      <c r="BA200" s="67">
        <f t="shared" si="42"/>
        <v>0</v>
      </c>
      <c r="BB200" s="67">
        <f t="shared" si="42"/>
        <v>0</v>
      </c>
      <c r="BC200" s="67">
        <f t="shared" si="42"/>
        <v>0</v>
      </c>
      <c r="BD200" s="67">
        <f t="shared" si="42"/>
        <v>0</v>
      </c>
      <c r="BE200" s="67">
        <f t="shared" si="42"/>
        <v>0</v>
      </c>
      <c r="BF200" s="67">
        <f t="shared" si="42"/>
        <v>0</v>
      </c>
      <c r="BG200" s="67">
        <f t="shared" ref="BG200:BG215" si="43">SUM(F200:BF200)</f>
        <v>15588873.17</v>
      </c>
      <c r="BH200" s="67">
        <f t="shared" ref="BH200:BH217" si="44">SUM(F200:X200)</f>
        <v>8374766.4699999997</v>
      </c>
      <c r="BI200" s="67">
        <f t="shared" ref="BI200:BI217" si="45">SUM(Y200:AK200)</f>
        <v>0</v>
      </c>
      <c r="BJ200" s="67">
        <f t="shared" ref="BJ200:BJ217" si="46">SUM(AL200:BF200)</f>
        <v>7214106.7000000002</v>
      </c>
    </row>
    <row r="201" spans="3:62" x14ac:dyDescent="0.25">
      <c r="D201">
        <v>2930</v>
      </c>
      <c r="E201" t="s">
        <v>264</v>
      </c>
      <c r="F201" s="4">
        <v>0</v>
      </c>
      <c r="G201" s="4">
        <v>0</v>
      </c>
      <c r="H201" s="4">
        <v>0</v>
      </c>
      <c r="I201" s="4">
        <v>270853.28999999998</v>
      </c>
      <c r="J201" s="4">
        <v>0</v>
      </c>
      <c r="K201" s="4">
        <v>0</v>
      </c>
      <c r="L201" s="4">
        <v>0</v>
      </c>
      <c r="M201" s="4">
        <v>4076651</v>
      </c>
      <c r="N201" s="4">
        <v>1392097.95</v>
      </c>
      <c r="O201" s="4">
        <v>0</v>
      </c>
      <c r="P201" s="4">
        <v>2628853.6800000002</v>
      </c>
      <c r="Q201" s="4">
        <v>0</v>
      </c>
      <c r="R201" s="4">
        <v>6310.55</v>
      </c>
      <c r="S201" s="4">
        <v>0</v>
      </c>
      <c r="T201" s="4">
        <v>0</v>
      </c>
      <c r="U201" s="4">
        <v>0</v>
      </c>
      <c r="V201" s="4">
        <v>0</v>
      </c>
      <c r="W201" s="4">
        <v>0</v>
      </c>
      <c r="X201" s="4">
        <v>0</v>
      </c>
      <c r="Y201" s="4">
        <v>0</v>
      </c>
      <c r="Z201" s="4">
        <v>0</v>
      </c>
      <c r="AA201" s="4">
        <v>0</v>
      </c>
      <c r="AB201" s="4">
        <v>0</v>
      </c>
      <c r="AC201" s="4">
        <v>0</v>
      </c>
      <c r="AD201" s="4">
        <v>0</v>
      </c>
      <c r="AE201" s="4">
        <v>0</v>
      </c>
      <c r="AF201" s="4">
        <v>0</v>
      </c>
      <c r="AG201" s="4">
        <v>0</v>
      </c>
      <c r="AH201" s="4">
        <v>0</v>
      </c>
      <c r="AI201" s="4">
        <v>0</v>
      </c>
      <c r="AJ201" s="4">
        <v>0</v>
      </c>
      <c r="AK201" s="4">
        <v>0</v>
      </c>
      <c r="AL201" s="4">
        <v>0</v>
      </c>
      <c r="AM201" s="4">
        <v>0</v>
      </c>
      <c r="AN201" s="4">
        <v>0</v>
      </c>
      <c r="AO201" s="4">
        <v>0</v>
      </c>
      <c r="AP201" s="4">
        <v>6730000</v>
      </c>
      <c r="AQ201" s="4">
        <v>0</v>
      </c>
      <c r="AR201" s="4">
        <v>0</v>
      </c>
      <c r="AS201" s="4">
        <v>138049.29999999999</v>
      </c>
      <c r="AT201" s="4">
        <v>0</v>
      </c>
      <c r="AU201" s="4">
        <v>188332</v>
      </c>
      <c r="AV201" s="4">
        <v>0</v>
      </c>
      <c r="AW201" s="4">
        <v>157725.4</v>
      </c>
      <c r="AX201" s="4">
        <v>0</v>
      </c>
      <c r="AY201" s="4">
        <v>0</v>
      </c>
      <c r="AZ201" s="4">
        <v>0</v>
      </c>
      <c r="BA201" s="4">
        <v>0</v>
      </c>
      <c r="BB201" s="4">
        <v>0</v>
      </c>
      <c r="BC201" s="4">
        <v>0</v>
      </c>
      <c r="BD201" s="4">
        <v>0</v>
      </c>
      <c r="BE201" s="4">
        <v>0</v>
      </c>
      <c r="BF201" s="4">
        <v>0</v>
      </c>
      <c r="BG201" s="31">
        <f t="shared" si="43"/>
        <v>15588873.17</v>
      </c>
      <c r="BH201" s="31">
        <f t="shared" si="44"/>
        <v>8374766.4699999997</v>
      </c>
      <c r="BI201" s="31">
        <f t="shared" si="45"/>
        <v>0</v>
      </c>
      <c r="BJ201" s="31">
        <f t="shared" si="46"/>
        <v>7214106.7000000002</v>
      </c>
    </row>
    <row r="202" spans="3:62" x14ac:dyDescent="0.25">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31"/>
      <c r="BH202" s="31"/>
      <c r="BI202" s="31"/>
      <c r="BJ202" s="31"/>
    </row>
    <row r="203" spans="3:62" x14ac:dyDescent="0.25">
      <c r="C203" s="66">
        <v>294</v>
      </c>
      <c r="D203" s="66"/>
      <c r="E203" s="66" t="s">
        <v>265</v>
      </c>
      <c r="F203" s="67">
        <f>F204</f>
        <v>320000</v>
      </c>
      <c r="G203" s="67">
        <f t="shared" ref="G203:BF203" si="47">G204</f>
        <v>0</v>
      </c>
      <c r="H203" s="67">
        <f t="shared" si="47"/>
        <v>52</v>
      </c>
      <c r="I203" s="67">
        <f t="shared" si="47"/>
        <v>184000</v>
      </c>
      <c r="J203" s="67">
        <f t="shared" si="47"/>
        <v>470000</v>
      </c>
      <c r="K203" s="67">
        <f t="shared" si="47"/>
        <v>600000</v>
      </c>
      <c r="L203" s="67">
        <f t="shared" si="47"/>
        <v>452808.34</v>
      </c>
      <c r="M203" s="67">
        <f t="shared" si="47"/>
        <v>3150000</v>
      </c>
      <c r="N203" s="67">
        <f t="shared" si="47"/>
        <v>360000</v>
      </c>
      <c r="O203" s="67">
        <f t="shared" si="47"/>
        <v>0</v>
      </c>
      <c r="P203" s="67">
        <f t="shared" si="47"/>
        <v>604600</v>
      </c>
      <c r="Q203" s="67">
        <f t="shared" si="47"/>
        <v>29578.3</v>
      </c>
      <c r="R203" s="67">
        <f t="shared" si="47"/>
        <v>14000</v>
      </c>
      <c r="S203" s="67">
        <f t="shared" si="47"/>
        <v>119000</v>
      </c>
      <c r="T203" s="67">
        <f t="shared" si="47"/>
        <v>210000</v>
      </c>
      <c r="U203" s="67">
        <f t="shared" si="47"/>
        <v>0</v>
      </c>
      <c r="V203" s="67">
        <f t="shared" si="47"/>
        <v>40000</v>
      </c>
      <c r="W203" s="67">
        <f t="shared" si="47"/>
        <v>0</v>
      </c>
      <c r="X203" s="67">
        <f t="shared" si="47"/>
        <v>1204350</v>
      </c>
      <c r="Y203" s="67">
        <f t="shared" si="47"/>
        <v>200000</v>
      </c>
      <c r="Z203" s="67">
        <f t="shared" si="47"/>
        <v>0</v>
      </c>
      <c r="AA203" s="67">
        <f t="shared" si="47"/>
        <v>4500000</v>
      </c>
      <c r="AB203" s="67">
        <f t="shared" si="47"/>
        <v>99214.98</v>
      </c>
      <c r="AC203" s="67">
        <f t="shared" si="47"/>
        <v>0</v>
      </c>
      <c r="AD203" s="67">
        <f t="shared" si="47"/>
        <v>190000</v>
      </c>
      <c r="AE203" s="67">
        <f t="shared" si="47"/>
        <v>178794.63</v>
      </c>
      <c r="AF203" s="67">
        <f t="shared" si="47"/>
        <v>365000</v>
      </c>
      <c r="AG203" s="67">
        <f t="shared" si="47"/>
        <v>437550.65</v>
      </c>
      <c r="AH203" s="67">
        <f t="shared" si="47"/>
        <v>1166475.8999999999</v>
      </c>
      <c r="AI203" s="67">
        <f t="shared" si="47"/>
        <v>950000</v>
      </c>
      <c r="AJ203" s="67">
        <f t="shared" si="47"/>
        <v>180000</v>
      </c>
      <c r="AK203" s="67">
        <f t="shared" si="47"/>
        <v>84000</v>
      </c>
      <c r="AL203" s="67">
        <f t="shared" si="47"/>
        <v>1642371.25</v>
      </c>
      <c r="AM203" s="67">
        <f t="shared" si="47"/>
        <v>1463440.64</v>
      </c>
      <c r="AN203" s="67">
        <f t="shared" si="47"/>
        <v>207634.72</v>
      </c>
      <c r="AO203" s="67">
        <f t="shared" si="47"/>
        <v>0</v>
      </c>
      <c r="AP203" s="67">
        <f t="shared" si="47"/>
        <v>1200000</v>
      </c>
      <c r="AQ203" s="67">
        <f t="shared" si="47"/>
        <v>342804.5</v>
      </c>
      <c r="AR203" s="67">
        <f t="shared" si="47"/>
        <v>770000</v>
      </c>
      <c r="AS203" s="67">
        <f t="shared" si="47"/>
        <v>1491500.6</v>
      </c>
      <c r="AT203" s="67">
        <f t="shared" si="47"/>
        <v>275000</v>
      </c>
      <c r="AU203" s="67">
        <f t="shared" si="47"/>
        <v>300000</v>
      </c>
      <c r="AV203" s="67">
        <f t="shared" si="47"/>
        <v>50000</v>
      </c>
      <c r="AW203" s="67">
        <f t="shared" si="47"/>
        <v>813910.35</v>
      </c>
      <c r="AX203" s="67">
        <f t="shared" si="47"/>
        <v>630000</v>
      </c>
      <c r="AY203" s="67">
        <f t="shared" si="47"/>
        <v>0</v>
      </c>
      <c r="AZ203" s="67">
        <f t="shared" si="47"/>
        <v>300279.45</v>
      </c>
      <c r="BA203" s="67">
        <f t="shared" si="47"/>
        <v>460000</v>
      </c>
      <c r="BB203" s="67">
        <f t="shared" si="47"/>
        <v>209758.45</v>
      </c>
      <c r="BC203" s="67">
        <f t="shared" si="47"/>
        <v>200000</v>
      </c>
      <c r="BD203" s="67">
        <f t="shared" si="47"/>
        <v>166601.79999999999</v>
      </c>
      <c r="BE203" s="67">
        <f t="shared" si="47"/>
        <v>1400000</v>
      </c>
      <c r="BF203" s="67">
        <f t="shared" si="47"/>
        <v>60000</v>
      </c>
      <c r="BG203" s="67">
        <f t="shared" si="43"/>
        <v>28092726.560000006</v>
      </c>
      <c r="BH203" s="67">
        <f t="shared" si="44"/>
        <v>7758388.6399999997</v>
      </c>
      <c r="BI203" s="67">
        <f t="shared" si="45"/>
        <v>8351036.1600000001</v>
      </c>
      <c r="BJ203" s="67">
        <f t="shared" si="46"/>
        <v>11983301.759999998</v>
      </c>
    </row>
    <row r="204" spans="3:62" x14ac:dyDescent="0.25">
      <c r="D204">
        <v>2940</v>
      </c>
      <c r="E204" t="s">
        <v>265</v>
      </c>
      <c r="F204" s="4">
        <v>320000</v>
      </c>
      <c r="G204" s="4">
        <v>0</v>
      </c>
      <c r="H204" s="4">
        <v>52</v>
      </c>
      <c r="I204" s="4">
        <v>184000</v>
      </c>
      <c r="J204" s="4">
        <v>470000</v>
      </c>
      <c r="K204" s="4">
        <v>600000</v>
      </c>
      <c r="L204" s="4">
        <v>452808.34</v>
      </c>
      <c r="M204" s="4">
        <v>3150000</v>
      </c>
      <c r="N204" s="4">
        <v>360000</v>
      </c>
      <c r="O204" s="4">
        <v>0</v>
      </c>
      <c r="P204" s="4">
        <v>604600</v>
      </c>
      <c r="Q204" s="4">
        <v>29578.3</v>
      </c>
      <c r="R204" s="4">
        <v>14000</v>
      </c>
      <c r="S204" s="4">
        <v>119000</v>
      </c>
      <c r="T204" s="4">
        <v>210000</v>
      </c>
      <c r="U204" s="4">
        <v>0</v>
      </c>
      <c r="V204" s="4">
        <v>40000</v>
      </c>
      <c r="W204" s="4">
        <v>0</v>
      </c>
      <c r="X204" s="4">
        <v>1204350</v>
      </c>
      <c r="Y204" s="4">
        <v>200000</v>
      </c>
      <c r="Z204" s="4">
        <v>0</v>
      </c>
      <c r="AA204" s="4">
        <v>4500000</v>
      </c>
      <c r="AB204" s="4">
        <v>99214.98</v>
      </c>
      <c r="AC204" s="4">
        <v>0</v>
      </c>
      <c r="AD204" s="4">
        <v>190000</v>
      </c>
      <c r="AE204" s="4">
        <v>178794.63</v>
      </c>
      <c r="AF204" s="4">
        <v>365000</v>
      </c>
      <c r="AG204" s="4">
        <v>437550.65</v>
      </c>
      <c r="AH204" s="4">
        <v>1166475.8999999999</v>
      </c>
      <c r="AI204" s="4">
        <v>950000</v>
      </c>
      <c r="AJ204" s="4">
        <v>180000</v>
      </c>
      <c r="AK204" s="4">
        <v>84000</v>
      </c>
      <c r="AL204" s="4">
        <v>1642371.25</v>
      </c>
      <c r="AM204" s="4">
        <v>1463440.64</v>
      </c>
      <c r="AN204" s="4">
        <v>207634.72</v>
      </c>
      <c r="AO204" s="4">
        <v>0</v>
      </c>
      <c r="AP204" s="4">
        <v>1200000</v>
      </c>
      <c r="AQ204" s="4">
        <v>342804.5</v>
      </c>
      <c r="AR204" s="4">
        <v>770000</v>
      </c>
      <c r="AS204" s="4">
        <v>1491500.6</v>
      </c>
      <c r="AT204" s="4">
        <v>275000</v>
      </c>
      <c r="AU204" s="4">
        <v>300000</v>
      </c>
      <c r="AV204" s="4">
        <v>50000</v>
      </c>
      <c r="AW204" s="4">
        <v>813910.35</v>
      </c>
      <c r="AX204" s="4">
        <v>630000</v>
      </c>
      <c r="AY204" s="4">
        <v>0</v>
      </c>
      <c r="AZ204" s="4">
        <v>300279.45</v>
      </c>
      <c r="BA204" s="4">
        <v>460000</v>
      </c>
      <c r="BB204" s="4">
        <v>209758.45</v>
      </c>
      <c r="BC204" s="4">
        <v>200000</v>
      </c>
      <c r="BD204" s="4">
        <v>166601.79999999999</v>
      </c>
      <c r="BE204" s="4">
        <v>1400000</v>
      </c>
      <c r="BF204" s="4">
        <v>60000</v>
      </c>
      <c r="BG204" s="31">
        <f t="shared" si="43"/>
        <v>28092726.560000006</v>
      </c>
      <c r="BH204" s="31">
        <f t="shared" si="44"/>
        <v>7758388.6399999997</v>
      </c>
      <c r="BI204" s="31">
        <f t="shared" si="45"/>
        <v>8351036.1600000001</v>
      </c>
      <c r="BJ204" s="31">
        <f t="shared" si="46"/>
        <v>11983301.759999998</v>
      </c>
    </row>
    <row r="205" spans="3:62" x14ac:dyDescent="0.25">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31"/>
      <c r="BH205" s="31"/>
      <c r="BI205" s="31"/>
      <c r="BJ205" s="31"/>
    </row>
    <row r="206" spans="3:62" x14ac:dyDescent="0.25">
      <c r="C206" s="66">
        <v>295</v>
      </c>
      <c r="D206" s="66"/>
      <c r="E206" s="66" t="s">
        <v>266</v>
      </c>
      <c r="F206" s="67">
        <f>F207</f>
        <v>0</v>
      </c>
      <c r="G206" s="67">
        <f t="shared" ref="G206:BF206" si="48">G207</f>
        <v>0</v>
      </c>
      <c r="H206" s="67">
        <f>H207</f>
        <v>0</v>
      </c>
      <c r="I206" s="67">
        <f t="shared" si="48"/>
        <v>0</v>
      </c>
      <c r="J206" s="67">
        <f t="shared" si="48"/>
        <v>0</v>
      </c>
      <c r="K206" s="67">
        <f t="shared" si="48"/>
        <v>60100</v>
      </c>
      <c r="L206" s="67">
        <f t="shared" si="48"/>
        <v>0</v>
      </c>
      <c r="M206" s="67">
        <f t="shared" si="48"/>
        <v>0</v>
      </c>
      <c r="N206" s="67">
        <f t="shared" si="48"/>
        <v>0</v>
      </c>
      <c r="O206" s="67">
        <f t="shared" si="48"/>
        <v>0</v>
      </c>
      <c r="P206" s="67">
        <f t="shared" si="48"/>
        <v>0</v>
      </c>
      <c r="Q206" s="67">
        <f t="shared" si="48"/>
        <v>0</v>
      </c>
      <c r="R206" s="67">
        <f t="shared" si="48"/>
        <v>0</v>
      </c>
      <c r="S206" s="67">
        <f t="shared" si="48"/>
        <v>0</v>
      </c>
      <c r="T206" s="67">
        <f t="shared" si="48"/>
        <v>0</v>
      </c>
      <c r="U206" s="67">
        <f t="shared" si="48"/>
        <v>0</v>
      </c>
      <c r="V206" s="67">
        <f t="shared" si="48"/>
        <v>0</v>
      </c>
      <c r="W206" s="67">
        <f t="shared" si="48"/>
        <v>0</v>
      </c>
      <c r="X206" s="67">
        <f t="shared" si="48"/>
        <v>0</v>
      </c>
      <c r="Y206" s="67">
        <f t="shared" si="48"/>
        <v>0</v>
      </c>
      <c r="Z206" s="67">
        <f t="shared" si="48"/>
        <v>0</v>
      </c>
      <c r="AA206" s="67">
        <f t="shared" si="48"/>
        <v>0</v>
      </c>
      <c r="AB206" s="67">
        <f t="shared" si="48"/>
        <v>0</v>
      </c>
      <c r="AC206" s="67">
        <f t="shared" si="48"/>
        <v>0</v>
      </c>
      <c r="AD206" s="67">
        <f t="shared" si="48"/>
        <v>0</v>
      </c>
      <c r="AE206" s="67">
        <f t="shared" si="48"/>
        <v>387176.05</v>
      </c>
      <c r="AF206" s="67">
        <f t="shared" si="48"/>
        <v>0</v>
      </c>
      <c r="AG206" s="67">
        <f t="shared" si="48"/>
        <v>0</v>
      </c>
      <c r="AH206" s="67">
        <f t="shared" si="48"/>
        <v>0</v>
      </c>
      <c r="AI206" s="67">
        <f t="shared" si="48"/>
        <v>0</v>
      </c>
      <c r="AJ206" s="67">
        <f t="shared" si="48"/>
        <v>0</v>
      </c>
      <c r="AK206" s="67">
        <f t="shared" si="48"/>
        <v>0</v>
      </c>
      <c r="AL206" s="67">
        <f t="shared" si="48"/>
        <v>0</v>
      </c>
      <c r="AM206" s="67">
        <f t="shared" si="48"/>
        <v>0</v>
      </c>
      <c r="AN206" s="67">
        <f t="shared" si="48"/>
        <v>0</v>
      </c>
      <c r="AO206" s="67">
        <f t="shared" si="48"/>
        <v>50507.25</v>
      </c>
      <c r="AP206" s="67">
        <f t="shared" si="48"/>
        <v>0</v>
      </c>
      <c r="AQ206" s="67">
        <f t="shared" si="48"/>
        <v>0</v>
      </c>
      <c r="AR206" s="67">
        <f t="shared" si="48"/>
        <v>0</v>
      </c>
      <c r="AS206" s="67">
        <f t="shared" si="48"/>
        <v>0</v>
      </c>
      <c r="AT206" s="67">
        <f t="shared" si="48"/>
        <v>0</v>
      </c>
      <c r="AU206" s="67">
        <f t="shared" si="48"/>
        <v>0</v>
      </c>
      <c r="AV206" s="67">
        <f t="shared" si="48"/>
        <v>0</v>
      </c>
      <c r="AW206" s="67">
        <f t="shared" si="48"/>
        <v>0</v>
      </c>
      <c r="AX206" s="67">
        <f t="shared" si="48"/>
        <v>0</v>
      </c>
      <c r="AY206" s="67">
        <f t="shared" si="48"/>
        <v>0</v>
      </c>
      <c r="AZ206" s="67">
        <f t="shared" si="48"/>
        <v>0</v>
      </c>
      <c r="BA206" s="67">
        <f t="shared" si="48"/>
        <v>0</v>
      </c>
      <c r="BB206" s="67">
        <f t="shared" si="48"/>
        <v>0</v>
      </c>
      <c r="BC206" s="67">
        <f t="shared" si="48"/>
        <v>0</v>
      </c>
      <c r="BD206" s="67">
        <f t="shared" si="48"/>
        <v>0</v>
      </c>
      <c r="BE206" s="67">
        <f t="shared" si="48"/>
        <v>0</v>
      </c>
      <c r="BF206" s="67">
        <f t="shared" si="48"/>
        <v>0</v>
      </c>
      <c r="BG206" s="67">
        <f t="shared" si="43"/>
        <v>497783.3</v>
      </c>
      <c r="BH206" s="67">
        <f t="shared" si="44"/>
        <v>60100</v>
      </c>
      <c r="BI206" s="67">
        <f t="shared" si="45"/>
        <v>387176.05</v>
      </c>
      <c r="BJ206" s="67">
        <f t="shared" si="46"/>
        <v>50507.25</v>
      </c>
    </row>
    <row r="207" spans="3:62" x14ac:dyDescent="0.25">
      <c r="D207">
        <v>2950</v>
      </c>
      <c r="E207" t="s">
        <v>266</v>
      </c>
      <c r="F207" s="4">
        <v>0</v>
      </c>
      <c r="G207" s="4">
        <v>0</v>
      </c>
      <c r="H207" s="4">
        <v>0</v>
      </c>
      <c r="I207" s="4">
        <v>0</v>
      </c>
      <c r="J207" s="4">
        <v>0</v>
      </c>
      <c r="K207" s="4">
        <v>60100</v>
      </c>
      <c r="L207" s="4">
        <v>0</v>
      </c>
      <c r="M207" s="4">
        <v>0</v>
      </c>
      <c r="N207" s="4">
        <v>0</v>
      </c>
      <c r="O207" s="4">
        <v>0</v>
      </c>
      <c r="P207" s="4">
        <v>0</v>
      </c>
      <c r="Q207" s="4">
        <v>0</v>
      </c>
      <c r="R207" s="4">
        <v>0</v>
      </c>
      <c r="S207" s="4">
        <v>0</v>
      </c>
      <c r="T207" s="4">
        <v>0</v>
      </c>
      <c r="U207" s="4">
        <v>0</v>
      </c>
      <c r="V207" s="4">
        <v>0</v>
      </c>
      <c r="W207" s="4">
        <v>0</v>
      </c>
      <c r="X207" s="4">
        <v>0</v>
      </c>
      <c r="Y207" s="4">
        <v>0</v>
      </c>
      <c r="Z207" s="4">
        <v>0</v>
      </c>
      <c r="AA207" s="4">
        <v>0</v>
      </c>
      <c r="AB207" s="4">
        <v>0</v>
      </c>
      <c r="AC207" s="4">
        <v>0</v>
      </c>
      <c r="AD207" s="4">
        <v>0</v>
      </c>
      <c r="AE207" s="4">
        <v>387176.05</v>
      </c>
      <c r="AF207" s="4">
        <v>0</v>
      </c>
      <c r="AG207" s="4">
        <v>0</v>
      </c>
      <c r="AH207" s="4">
        <v>0</v>
      </c>
      <c r="AI207" s="4">
        <v>0</v>
      </c>
      <c r="AJ207" s="4">
        <v>0</v>
      </c>
      <c r="AK207" s="4">
        <v>0</v>
      </c>
      <c r="AL207" s="4">
        <v>0</v>
      </c>
      <c r="AM207" s="4">
        <v>0</v>
      </c>
      <c r="AN207" s="4">
        <v>0</v>
      </c>
      <c r="AO207" s="4">
        <v>50507.25</v>
      </c>
      <c r="AP207" s="4">
        <v>0</v>
      </c>
      <c r="AQ207" s="4">
        <v>0</v>
      </c>
      <c r="AR207" s="4">
        <v>0</v>
      </c>
      <c r="AS207" s="4">
        <v>0</v>
      </c>
      <c r="AT207" s="4">
        <v>0</v>
      </c>
      <c r="AU207" s="4">
        <v>0</v>
      </c>
      <c r="AV207" s="4">
        <v>0</v>
      </c>
      <c r="AW207" s="4">
        <v>0</v>
      </c>
      <c r="AX207" s="4">
        <v>0</v>
      </c>
      <c r="AY207" s="4">
        <v>0</v>
      </c>
      <c r="AZ207" s="4">
        <v>0</v>
      </c>
      <c r="BA207" s="4">
        <v>0</v>
      </c>
      <c r="BB207" s="4">
        <v>0</v>
      </c>
      <c r="BC207" s="4">
        <v>0</v>
      </c>
      <c r="BD207" s="4">
        <v>0</v>
      </c>
      <c r="BE207" s="4">
        <v>0</v>
      </c>
      <c r="BF207" s="4">
        <v>0</v>
      </c>
      <c r="BG207" s="31">
        <f t="shared" si="43"/>
        <v>497783.3</v>
      </c>
      <c r="BH207" s="31">
        <f t="shared" si="44"/>
        <v>60100</v>
      </c>
      <c r="BI207" s="31">
        <f t="shared" si="45"/>
        <v>387176.05</v>
      </c>
      <c r="BJ207" s="31">
        <f t="shared" si="46"/>
        <v>50507.25</v>
      </c>
    </row>
    <row r="208" spans="3:62" x14ac:dyDescent="0.25">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31"/>
      <c r="BH208" s="31"/>
      <c r="BI208" s="31"/>
      <c r="BJ208" s="31"/>
    </row>
    <row r="209" spans="3:63" x14ac:dyDescent="0.25">
      <c r="C209" s="66">
        <v>296</v>
      </c>
      <c r="D209" s="66"/>
      <c r="E209" s="66" t="s">
        <v>267</v>
      </c>
      <c r="F209" s="67">
        <f>F210</f>
        <v>0</v>
      </c>
      <c r="G209" s="67">
        <f t="shared" ref="G209:BF209" si="49">G210</f>
        <v>-87320</v>
      </c>
      <c r="H209" s="67">
        <f t="shared" si="49"/>
        <v>0</v>
      </c>
      <c r="I209" s="67">
        <f t="shared" si="49"/>
        <v>240</v>
      </c>
      <c r="J209" s="67">
        <f t="shared" si="49"/>
        <v>386612.35</v>
      </c>
      <c r="K209" s="67">
        <f t="shared" si="49"/>
        <v>0</v>
      </c>
      <c r="L209" s="67">
        <f t="shared" si="49"/>
        <v>3685377.4</v>
      </c>
      <c r="M209" s="67">
        <f t="shared" si="49"/>
        <v>-3009318</v>
      </c>
      <c r="N209" s="67">
        <f t="shared" si="49"/>
        <v>0</v>
      </c>
      <c r="O209" s="67">
        <f t="shared" si="49"/>
        <v>0</v>
      </c>
      <c r="P209" s="67">
        <f t="shared" si="49"/>
        <v>0</v>
      </c>
      <c r="Q209" s="67">
        <f t="shared" si="49"/>
        <v>0</v>
      </c>
      <c r="R209" s="67">
        <f t="shared" si="49"/>
        <v>0</v>
      </c>
      <c r="S209" s="67">
        <f t="shared" si="49"/>
        <v>50000</v>
      </c>
      <c r="T209" s="67">
        <f t="shared" si="49"/>
        <v>0</v>
      </c>
      <c r="U209" s="67">
        <f t="shared" si="49"/>
        <v>0</v>
      </c>
      <c r="V209" s="67">
        <f t="shared" si="49"/>
        <v>0</v>
      </c>
      <c r="W209" s="67">
        <f t="shared" si="49"/>
        <v>0</v>
      </c>
      <c r="X209" s="67">
        <f t="shared" si="49"/>
        <v>269873</v>
      </c>
      <c r="Y209" s="67">
        <f t="shared" si="49"/>
        <v>0</v>
      </c>
      <c r="Z209" s="67">
        <f t="shared" si="49"/>
        <v>0</v>
      </c>
      <c r="AA209" s="67">
        <f t="shared" si="49"/>
        <v>1104064</v>
      </c>
      <c r="AB209" s="67">
        <f t="shared" si="49"/>
        <v>0</v>
      </c>
      <c r="AC209" s="67">
        <f t="shared" si="49"/>
        <v>0</v>
      </c>
      <c r="AD209" s="67">
        <f t="shared" si="49"/>
        <v>0</v>
      </c>
      <c r="AE209" s="67">
        <f t="shared" si="49"/>
        <v>0</v>
      </c>
      <c r="AF209" s="67">
        <f t="shared" si="49"/>
        <v>0</v>
      </c>
      <c r="AG209" s="67">
        <f t="shared" si="49"/>
        <v>0</v>
      </c>
      <c r="AH209" s="67">
        <f t="shared" si="49"/>
        <v>1733477.95</v>
      </c>
      <c r="AI209" s="67">
        <f t="shared" si="49"/>
        <v>0</v>
      </c>
      <c r="AJ209" s="67">
        <f t="shared" si="49"/>
        <v>0</v>
      </c>
      <c r="AK209" s="67">
        <f t="shared" si="49"/>
        <v>0</v>
      </c>
      <c r="AL209" s="67">
        <f t="shared" si="49"/>
        <v>0</v>
      </c>
      <c r="AM209" s="67">
        <f t="shared" si="49"/>
        <v>0</v>
      </c>
      <c r="AN209" s="67">
        <f t="shared" si="49"/>
        <v>0</v>
      </c>
      <c r="AO209" s="67">
        <f t="shared" si="49"/>
        <v>466852.64</v>
      </c>
      <c r="AP209" s="67">
        <f t="shared" si="49"/>
        <v>2342125</v>
      </c>
      <c r="AQ209" s="67">
        <f t="shared" si="49"/>
        <v>0</v>
      </c>
      <c r="AR209" s="67">
        <f t="shared" si="49"/>
        <v>0</v>
      </c>
      <c r="AS209" s="67">
        <f t="shared" si="49"/>
        <v>0</v>
      </c>
      <c r="AT209" s="67">
        <f t="shared" si="49"/>
        <v>0</v>
      </c>
      <c r="AU209" s="67">
        <f t="shared" si="49"/>
        <v>3679</v>
      </c>
      <c r="AV209" s="67">
        <f t="shared" si="49"/>
        <v>0</v>
      </c>
      <c r="AW209" s="67">
        <f t="shared" si="49"/>
        <v>0</v>
      </c>
      <c r="AX209" s="67">
        <f t="shared" si="49"/>
        <v>0</v>
      </c>
      <c r="AY209" s="67">
        <f t="shared" si="49"/>
        <v>0</v>
      </c>
      <c r="AZ209" s="67">
        <f t="shared" si="49"/>
        <v>213206.65</v>
      </c>
      <c r="BA209" s="67">
        <f t="shared" si="49"/>
        <v>0</v>
      </c>
      <c r="BB209" s="67">
        <f t="shared" si="49"/>
        <v>0</v>
      </c>
      <c r="BC209" s="67">
        <f t="shared" si="49"/>
        <v>462000</v>
      </c>
      <c r="BD209" s="67">
        <f t="shared" si="49"/>
        <v>0</v>
      </c>
      <c r="BE209" s="67">
        <f t="shared" si="49"/>
        <v>0</v>
      </c>
      <c r="BF209" s="67">
        <f t="shared" si="49"/>
        <v>0</v>
      </c>
      <c r="BG209" s="67">
        <f t="shared" si="43"/>
        <v>7620869.9900000002</v>
      </c>
      <c r="BH209" s="67">
        <f t="shared" si="44"/>
        <v>1295464.75</v>
      </c>
      <c r="BI209" s="67">
        <f t="shared" si="45"/>
        <v>2837541.95</v>
      </c>
      <c r="BJ209" s="67">
        <f t="shared" si="46"/>
        <v>3487863.29</v>
      </c>
    </row>
    <row r="210" spans="3:63" x14ac:dyDescent="0.25">
      <c r="D210">
        <v>2960</v>
      </c>
      <c r="E210" t="s">
        <v>267</v>
      </c>
      <c r="F210" s="4">
        <v>0</v>
      </c>
      <c r="G210" s="4">
        <v>-87320</v>
      </c>
      <c r="H210" s="4">
        <v>0</v>
      </c>
      <c r="I210" s="4">
        <v>240</v>
      </c>
      <c r="J210" s="4">
        <v>386612.35</v>
      </c>
      <c r="K210" s="4">
        <v>0</v>
      </c>
      <c r="L210" s="4">
        <v>3685377.4</v>
      </c>
      <c r="M210" s="4">
        <v>-3009318</v>
      </c>
      <c r="N210" s="4">
        <v>0</v>
      </c>
      <c r="O210" s="4">
        <v>0</v>
      </c>
      <c r="P210" s="4">
        <v>0</v>
      </c>
      <c r="Q210" s="4">
        <v>0</v>
      </c>
      <c r="R210" s="4">
        <v>0</v>
      </c>
      <c r="S210" s="4">
        <v>50000</v>
      </c>
      <c r="T210" s="4">
        <v>0</v>
      </c>
      <c r="U210" s="4">
        <v>0</v>
      </c>
      <c r="V210" s="4">
        <v>0</v>
      </c>
      <c r="W210" s="4">
        <v>0</v>
      </c>
      <c r="X210" s="4">
        <v>269873</v>
      </c>
      <c r="Y210" s="4">
        <v>0</v>
      </c>
      <c r="Z210" s="4">
        <v>0</v>
      </c>
      <c r="AA210" s="4">
        <v>1104064</v>
      </c>
      <c r="AB210" s="4">
        <v>0</v>
      </c>
      <c r="AC210" s="4">
        <v>0</v>
      </c>
      <c r="AD210" s="4">
        <v>0</v>
      </c>
      <c r="AE210" s="4">
        <v>0</v>
      </c>
      <c r="AF210" s="4">
        <v>0</v>
      </c>
      <c r="AG210" s="4">
        <v>0</v>
      </c>
      <c r="AH210" s="4">
        <v>1733477.95</v>
      </c>
      <c r="AI210" s="4">
        <v>0</v>
      </c>
      <c r="AJ210" s="4">
        <v>0</v>
      </c>
      <c r="AK210" s="4">
        <v>0</v>
      </c>
      <c r="AL210" s="4">
        <v>0</v>
      </c>
      <c r="AM210" s="4">
        <v>0</v>
      </c>
      <c r="AN210" s="4">
        <v>0</v>
      </c>
      <c r="AO210" s="4">
        <v>466852.64</v>
      </c>
      <c r="AP210" s="4">
        <v>2342125</v>
      </c>
      <c r="AQ210" s="4">
        <v>0</v>
      </c>
      <c r="AR210" s="4">
        <v>0</v>
      </c>
      <c r="AS210" s="4">
        <v>0</v>
      </c>
      <c r="AT210" s="4">
        <v>0</v>
      </c>
      <c r="AU210" s="4">
        <v>3679</v>
      </c>
      <c r="AV210" s="4">
        <v>0</v>
      </c>
      <c r="AW210" s="4">
        <v>0</v>
      </c>
      <c r="AX210" s="4">
        <v>0</v>
      </c>
      <c r="AY210" s="4">
        <v>0</v>
      </c>
      <c r="AZ210" s="4">
        <v>213206.65</v>
      </c>
      <c r="BA210" s="4">
        <v>0</v>
      </c>
      <c r="BB210" s="4">
        <v>0</v>
      </c>
      <c r="BC210" s="4">
        <v>462000</v>
      </c>
      <c r="BD210" s="4">
        <v>0</v>
      </c>
      <c r="BE210" s="4">
        <v>0</v>
      </c>
      <c r="BF210" s="4">
        <v>0</v>
      </c>
      <c r="BG210" s="31">
        <f t="shared" si="43"/>
        <v>7620869.9900000002</v>
      </c>
      <c r="BH210" s="31">
        <f t="shared" si="44"/>
        <v>1295464.75</v>
      </c>
      <c r="BI210" s="31">
        <f t="shared" si="45"/>
        <v>2837541.95</v>
      </c>
      <c r="BJ210" s="31">
        <f t="shared" si="46"/>
        <v>3487863.29</v>
      </c>
    </row>
    <row r="211" spans="3:63" x14ac:dyDescent="0.25">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31"/>
      <c r="BH211" s="31"/>
      <c r="BI211" s="31"/>
      <c r="BJ211" s="31"/>
    </row>
    <row r="212" spans="3:63" x14ac:dyDescent="0.25">
      <c r="C212" s="66">
        <v>298</v>
      </c>
      <c r="D212" s="66"/>
      <c r="E212" s="66" t="s">
        <v>268</v>
      </c>
      <c r="F212" s="67">
        <f>F213</f>
        <v>0</v>
      </c>
      <c r="G212" s="67">
        <f t="shared" ref="G212:BF212" si="50">G213</f>
        <v>0</v>
      </c>
      <c r="H212" s="67">
        <f t="shared" si="50"/>
        <v>0</v>
      </c>
      <c r="I212" s="67">
        <f t="shared" si="50"/>
        <v>0</v>
      </c>
      <c r="J212" s="67">
        <f t="shared" si="50"/>
        <v>0</v>
      </c>
      <c r="K212" s="67">
        <f t="shared" si="50"/>
        <v>0</v>
      </c>
      <c r="L212" s="67">
        <f t="shared" si="50"/>
        <v>0</v>
      </c>
      <c r="M212" s="67">
        <f t="shared" si="50"/>
        <v>0</v>
      </c>
      <c r="N212" s="67">
        <f t="shared" si="50"/>
        <v>0</v>
      </c>
      <c r="O212" s="67">
        <f t="shared" si="50"/>
        <v>0</v>
      </c>
      <c r="P212" s="67">
        <f t="shared" si="50"/>
        <v>0</v>
      </c>
      <c r="Q212" s="67">
        <f t="shared" si="50"/>
        <v>0</v>
      </c>
      <c r="R212" s="67">
        <f t="shared" si="50"/>
        <v>0</v>
      </c>
      <c r="S212" s="67">
        <f t="shared" si="50"/>
        <v>0</v>
      </c>
      <c r="T212" s="67">
        <f t="shared" si="50"/>
        <v>0</v>
      </c>
      <c r="U212" s="67">
        <f t="shared" si="50"/>
        <v>0</v>
      </c>
      <c r="V212" s="67">
        <f t="shared" si="50"/>
        <v>0</v>
      </c>
      <c r="W212" s="67">
        <f t="shared" si="50"/>
        <v>0</v>
      </c>
      <c r="X212" s="67">
        <f t="shared" si="50"/>
        <v>0</v>
      </c>
      <c r="Y212" s="67">
        <f t="shared" si="50"/>
        <v>0</v>
      </c>
      <c r="Z212" s="67">
        <f t="shared" si="50"/>
        <v>0</v>
      </c>
      <c r="AA212" s="67">
        <f t="shared" si="50"/>
        <v>0</v>
      </c>
      <c r="AB212" s="67">
        <f t="shared" si="50"/>
        <v>0</v>
      </c>
      <c r="AC212" s="67">
        <f t="shared" si="50"/>
        <v>0</v>
      </c>
      <c r="AD212" s="67">
        <f t="shared" si="50"/>
        <v>0</v>
      </c>
      <c r="AE212" s="67">
        <f t="shared" si="50"/>
        <v>0</v>
      </c>
      <c r="AF212" s="67">
        <f t="shared" si="50"/>
        <v>0</v>
      </c>
      <c r="AG212" s="67">
        <f t="shared" si="50"/>
        <v>0</v>
      </c>
      <c r="AH212" s="67">
        <f t="shared" si="50"/>
        <v>0</v>
      </c>
      <c r="AI212" s="67">
        <f t="shared" si="50"/>
        <v>0</v>
      </c>
      <c r="AJ212" s="67">
        <f t="shared" si="50"/>
        <v>0</v>
      </c>
      <c r="AK212" s="67">
        <f t="shared" si="50"/>
        <v>0</v>
      </c>
      <c r="AL212" s="67">
        <f t="shared" si="50"/>
        <v>0</v>
      </c>
      <c r="AM212" s="67">
        <f t="shared" si="50"/>
        <v>0</v>
      </c>
      <c r="AN212" s="67">
        <f t="shared" si="50"/>
        <v>0</v>
      </c>
      <c r="AO212" s="67">
        <f t="shared" si="50"/>
        <v>0</v>
      </c>
      <c r="AP212" s="67">
        <f t="shared" si="50"/>
        <v>0</v>
      </c>
      <c r="AQ212" s="67">
        <f t="shared" si="50"/>
        <v>0</v>
      </c>
      <c r="AR212" s="67">
        <f t="shared" si="50"/>
        <v>0</v>
      </c>
      <c r="AS212" s="67">
        <f t="shared" si="50"/>
        <v>0</v>
      </c>
      <c r="AT212" s="67">
        <f t="shared" si="50"/>
        <v>0</v>
      </c>
      <c r="AU212" s="67">
        <f t="shared" si="50"/>
        <v>0</v>
      </c>
      <c r="AV212" s="67">
        <f t="shared" si="50"/>
        <v>146768.70000000001</v>
      </c>
      <c r="AW212" s="67">
        <f t="shared" si="50"/>
        <v>0</v>
      </c>
      <c r="AX212" s="67">
        <f t="shared" si="50"/>
        <v>0</v>
      </c>
      <c r="AY212" s="67">
        <f t="shared" si="50"/>
        <v>0</v>
      </c>
      <c r="AZ212" s="67">
        <f t="shared" si="50"/>
        <v>0</v>
      </c>
      <c r="BA212" s="67">
        <f t="shared" si="50"/>
        <v>0</v>
      </c>
      <c r="BB212" s="67">
        <f t="shared" si="50"/>
        <v>0</v>
      </c>
      <c r="BC212" s="67">
        <f t="shared" si="50"/>
        <v>0</v>
      </c>
      <c r="BD212" s="67">
        <f t="shared" si="50"/>
        <v>0</v>
      </c>
      <c r="BE212" s="67">
        <f t="shared" si="50"/>
        <v>0</v>
      </c>
      <c r="BF212" s="67">
        <f t="shared" si="50"/>
        <v>0</v>
      </c>
      <c r="BG212" s="67">
        <f t="shared" si="43"/>
        <v>146768.70000000001</v>
      </c>
      <c r="BH212" s="67">
        <f t="shared" si="44"/>
        <v>0</v>
      </c>
      <c r="BI212" s="67">
        <f t="shared" si="45"/>
        <v>0</v>
      </c>
      <c r="BJ212" s="67">
        <f t="shared" si="46"/>
        <v>146768.70000000001</v>
      </c>
    </row>
    <row r="213" spans="3:63" x14ac:dyDescent="0.25">
      <c r="D213">
        <v>2980</v>
      </c>
      <c r="E213" t="s">
        <v>268</v>
      </c>
      <c r="F213" s="4">
        <v>0</v>
      </c>
      <c r="G213" s="4">
        <v>0</v>
      </c>
      <c r="H213" s="4">
        <v>0</v>
      </c>
      <c r="I213" s="4">
        <v>0</v>
      </c>
      <c r="J213" s="4">
        <v>0</v>
      </c>
      <c r="K213" s="4">
        <v>0</v>
      </c>
      <c r="L213" s="4">
        <v>0</v>
      </c>
      <c r="M213" s="4">
        <v>0</v>
      </c>
      <c r="N213" s="4">
        <v>0</v>
      </c>
      <c r="O213" s="4">
        <v>0</v>
      </c>
      <c r="P213" s="4">
        <v>0</v>
      </c>
      <c r="Q213" s="4">
        <v>0</v>
      </c>
      <c r="R213" s="4">
        <v>0</v>
      </c>
      <c r="S213" s="4">
        <v>0</v>
      </c>
      <c r="T213" s="4">
        <v>0</v>
      </c>
      <c r="U213" s="4">
        <v>0</v>
      </c>
      <c r="V213" s="4">
        <v>0</v>
      </c>
      <c r="W213" s="4">
        <v>0</v>
      </c>
      <c r="X213" s="4">
        <v>0</v>
      </c>
      <c r="Y213" s="4">
        <v>0</v>
      </c>
      <c r="Z213" s="4">
        <v>0</v>
      </c>
      <c r="AA213" s="4">
        <v>0</v>
      </c>
      <c r="AB213" s="4">
        <v>0</v>
      </c>
      <c r="AC213" s="4">
        <v>0</v>
      </c>
      <c r="AD213" s="4">
        <v>0</v>
      </c>
      <c r="AE213" s="4">
        <v>0</v>
      </c>
      <c r="AF213" s="4">
        <v>0</v>
      </c>
      <c r="AG213" s="4">
        <v>0</v>
      </c>
      <c r="AH213" s="4">
        <v>0</v>
      </c>
      <c r="AI213" s="4">
        <v>0</v>
      </c>
      <c r="AJ213" s="4">
        <v>0</v>
      </c>
      <c r="AK213" s="4">
        <v>0</v>
      </c>
      <c r="AL213" s="4">
        <v>0</v>
      </c>
      <c r="AM213" s="4">
        <v>0</v>
      </c>
      <c r="AN213" s="4">
        <v>0</v>
      </c>
      <c r="AO213" s="4">
        <v>0</v>
      </c>
      <c r="AP213" s="4">
        <v>0</v>
      </c>
      <c r="AQ213" s="4">
        <v>0</v>
      </c>
      <c r="AR213" s="4">
        <v>0</v>
      </c>
      <c r="AS213" s="4">
        <v>0</v>
      </c>
      <c r="AT213" s="4">
        <v>0</v>
      </c>
      <c r="AU213" s="4">
        <v>0</v>
      </c>
      <c r="AV213" s="4">
        <v>146768.70000000001</v>
      </c>
      <c r="AW213" s="4">
        <v>0</v>
      </c>
      <c r="AX213" s="4">
        <v>0</v>
      </c>
      <c r="AY213" s="4">
        <v>0</v>
      </c>
      <c r="AZ213" s="4">
        <v>0</v>
      </c>
      <c r="BA213" s="4">
        <v>0</v>
      </c>
      <c r="BB213" s="4">
        <v>0</v>
      </c>
      <c r="BC213" s="4">
        <v>0</v>
      </c>
      <c r="BD213" s="4">
        <v>0</v>
      </c>
      <c r="BE213" s="4">
        <v>0</v>
      </c>
      <c r="BF213" s="4">
        <v>0</v>
      </c>
      <c r="BG213" s="31">
        <f t="shared" si="43"/>
        <v>146768.70000000001</v>
      </c>
      <c r="BH213" s="31">
        <f t="shared" si="44"/>
        <v>0</v>
      </c>
      <c r="BI213" s="31">
        <f t="shared" si="45"/>
        <v>0</v>
      </c>
      <c r="BJ213" s="31">
        <f t="shared" si="46"/>
        <v>146768.70000000001</v>
      </c>
    </row>
    <row r="214" spans="3:63" x14ac:dyDescent="0.25">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31"/>
      <c r="BH214" s="31"/>
      <c r="BI214" s="31"/>
      <c r="BJ214" s="31"/>
    </row>
    <row r="215" spans="3:63" x14ac:dyDescent="0.25">
      <c r="C215" s="66">
        <v>299</v>
      </c>
      <c r="D215" s="66"/>
      <c r="E215" s="66" t="s">
        <v>444</v>
      </c>
      <c r="F215" s="67">
        <f>F216+F217</f>
        <v>2069048.43</v>
      </c>
      <c r="G215" s="67">
        <f t="shared" ref="G215:BF215" si="51">G216+G217</f>
        <v>127490.92</v>
      </c>
      <c r="H215" s="67">
        <f t="shared" si="51"/>
        <v>-139643.88</v>
      </c>
      <c r="I215" s="67">
        <f t="shared" si="51"/>
        <v>1172311.1200000001</v>
      </c>
      <c r="J215" s="67">
        <f t="shared" si="51"/>
        <v>4902188.76</v>
      </c>
      <c r="K215" s="67">
        <f t="shared" si="51"/>
        <v>2114950.44</v>
      </c>
      <c r="L215" s="67">
        <f t="shared" si="51"/>
        <v>2818225.13</v>
      </c>
      <c r="M215" s="67">
        <f t="shared" si="51"/>
        <v>3641571.9499999997</v>
      </c>
      <c r="N215" s="67">
        <f t="shared" si="51"/>
        <v>1078367.83</v>
      </c>
      <c r="O215" s="67">
        <f t="shared" si="51"/>
        <v>545419.93000000005</v>
      </c>
      <c r="P215" s="67">
        <f t="shared" si="51"/>
        <v>328580.06999999995</v>
      </c>
      <c r="Q215" s="67">
        <f t="shared" si="51"/>
        <v>870195.9</v>
      </c>
      <c r="R215" s="67">
        <f t="shared" si="51"/>
        <v>55492.119999999995</v>
      </c>
      <c r="S215" s="67">
        <f t="shared" si="51"/>
        <v>251856.94</v>
      </c>
      <c r="T215" s="166">
        <f t="shared" si="51"/>
        <v>-235158.55000000002</v>
      </c>
      <c r="U215" s="67">
        <f t="shared" si="51"/>
        <v>969710.25</v>
      </c>
      <c r="V215" s="67">
        <f t="shared" si="51"/>
        <v>369776.02999999997</v>
      </c>
      <c r="W215" s="67">
        <f t="shared" si="51"/>
        <v>230388.43</v>
      </c>
      <c r="X215" s="67">
        <f t="shared" si="51"/>
        <v>1701670.13</v>
      </c>
      <c r="Y215" s="67">
        <f t="shared" si="51"/>
        <v>2382632</v>
      </c>
      <c r="Z215" s="67">
        <f t="shared" si="51"/>
        <v>3013602.85</v>
      </c>
      <c r="AA215" s="67">
        <f t="shared" si="51"/>
        <v>11462204.379999999</v>
      </c>
      <c r="AB215" s="67">
        <f t="shared" si="51"/>
        <v>359527.63</v>
      </c>
      <c r="AC215" s="67">
        <f t="shared" si="51"/>
        <v>1093652.3800000001</v>
      </c>
      <c r="AD215" s="67">
        <f t="shared" si="51"/>
        <v>819609.84</v>
      </c>
      <c r="AE215" s="67">
        <f t="shared" si="51"/>
        <v>649434.99</v>
      </c>
      <c r="AF215" s="67">
        <f t="shared" si="51"/>
        <v>1176011.99</v>
      </c>
      <c r="AG215" s="67">
        <f t="shared" si="51"/>
        <v>4624157.3000000007</v>
      </c>
      <c r="AH215" s="67">
        <f t="shared" si="51"/>
        <v>3981805.7300000004</v>
      </c>
      <c r="AI215" s="67">
        <f t="shared" si="51"/>
        <v>1901857.74</v>
      </c>
      <c r="AJ215" s="67">
        <f t="shared" si="51"/>
        <v>1127988.1499999999</v>
      </c>
      <c r="AK215" s="67">
        <f t="shared" si="51"/>
        <v>1358453.23</v>
      </c>
      <c r="AL215" s="67">
        <f t="shared" si="51"/>
        <v>745205.46</v>
      </c>
      <c r="AM215" s="67">
        <f t="shared" si="51"/>
        <v>3388985.41</v>
      </c>
      <c r="AN215" s="67">
        <f t="shared" si="51"/>
        <v>2634789.11</v>
      </c>
      <c r="AO215" s="67">
        <f t="shared" si="51"/>
        <v>513721.08999999997</v>
      </c>
      <c r="AP215" s="67">
        <f t="shared" si="51"/>
        <v>6934776.3999999994</v>
      </c>
      <c r="AQ215" s="67">
        <f t="shared" si="51"/>
        <v>1859200.25</v>
      </c>
      <c r="AR215" s="67">
        <f t="shared" si="51"/>
        <v>1247135.8999999999</v>
      </c>
      <c r="AS215" s="67">
        <f t="shared" si="51"/>
        <v>7568228.8700000001</v>
      </c>
      <c r="AT215" s="67">
        <f t="shared" si="51"/>
        <v>361872.32</v>
      </c>
      <c r="AU215" s="67">
        <f t="shared" si="51"/>
        <v>537738.39</v>
      </c>
      <c r="AV215" s="67">
        <f t="shared" si="51"/>
        <v>2993715.14</v>
      </c>
      <c r="AW215" s="67">
        <f t="shared" si="51"/>
        <v>4999580.3899999997</v>
      </c>
      <c r="AX215" s="67">
        <f t="shared" si="51"/>
        <v>576147.78</v>
      </c>
      <c r="AY215" s="67">
        <f t="shared" si="51"/>
        <v>202358.39999999999</v>
      </c>
      <c r="AZ215" s="67">
        <f t="shared" si="51"/>
        <v>592723.38</v>
      </c>
      <c r="BA215" s="67">
        <f t="shared" si="51"/>
        <v>2121290.9</v>
      </c>
      <c r="BB215" s="67">
        <f t="shared" si="51"/>
        <v>1474378.8099999998</v>
      </c>
      <c r="BC215" s="67">
        <f t="shared" si="51"/>
        <v>2366643.2600000002</v>
      </c>
      <c r="BD215" s="67">
        <f t="shared" si="51"/>
        <v>772481.9</v>
      </c>
      <c r="BE215" s="67">
        <f t="shared" si="51"/>
        <v>1169070.55</v>
      </c>
      <c r="BF215" s="67">
        <f t="shared" si="51"/>
        <v>685302.43</v>
      </c>
      <c r="BG215" s="67">
        <f t="shared" si="43"/>
        <v>100568726.30000004</v>
      </c>
      <c r="BH215" s="67">
        <f t="shared" si="44"/>
        <v>22872441.949999996</v>
      </c>
      <c r="BI215" s="67">
        <f t="shared" si="45"/>
        <v>33950938.209999986</v>
      </c>
      <c r="BJ215" s="67">
        <f t="shared" si="46"/>
        <v>43745346.139999993</v>
      </c>
    </row>
    <row r="216" spans="3:63" x14ac:dyDescent="0.25">
      <c r="D216">
        <v>2990</v>
      </c>
      <c r="E216" t="s">
        <v>444</v>
      </c>
      <c r="F216" s="83">
        <v>-157625.18</v>
      </c>
      <c r="G216" s="83">
        <v>-70505.289999999994</v>
      </c>
      <c r="H216" s="83">
        <v>-111577.93</v>
      </c>
      <c r="I216" s="83">
        <v>54007.05</v>
      </c>
      <c r="J216" s="83">
        <v>28923.83</v>
      </c>
      <c r="K216" s="83">
        <v>101053.96</v>
      </c>
      <c r="L216" s="83">
        <v>5411.09</v>
      </c>
      <c r="M216" s="83">
        <v>-67.2</v>
      </c>
      <c r="N216" s="83">
        <v>89897.07</v>
      </c>
      <c r="O216" s="83">
        <v>-13123.38</v>
      </c>
      <c r="P216" s="83">
        <v>-243211.13</v>
      </c>
      <c r="Q216" s="83">
        <v>5670.3</v>
      </c>
      <c r="R216" s="83">
        <v>-26078.06</v>
      </c>
      <c r="S216" s="83">
        <v>33566.67</v>
      </c>
      <c r="T216" s="83">
        <v>-135865.17000000001</v>
      </c>
      <c r="U216" s="83">
        <v>310014.2</v>
      </c>
      <c r="V216" s="83">
        <v>-34246.9</v>
      </c>
      <c r="W216" s="83">
        <v>-349123.21</v>
      </c>
      <c r="X216" s="83">
        <v>71457.649999999994</v>
      </c>
      <c r="Y216" s="83">
        <v>124375.22</v>
      </c>
      <c r="Z216" s="83">
        <v>1633805.81</v>
      </c>
      <c r="AA216" s="83">
        <v>925288.21</v>
      </c>
      <c r="AB216" s="83">
        <v>13373.11</v>
      </c>
      <c r="AC216" s="83">
        <v>-34056.49</v>
      </c>
      <c r="AD216" s="83">
        <v>-190765.53</v>
      </c>
      <c r="AE216" s="83">
        <v>-65921.119999999995</v>
      </c>
      <c r="AF216" s="83">
        <v>-148769.32</v>
      </c>
      <c r="AG216" s="83">
        <v>-159274.14000000001</v>
      </c>
      <c r="AH216" s="83">
        <v>764904.49</v>
      </c>
      <c r="AI216" s="83">
        <v>28139.98</v>
      </c>
      <c r="AJ216" s="83">
        <v>-31785.75</v>
      </c>
      <c r="AK216" s="83">
        <v>-6438.58</v>
      </c>
      <c r="AL216" s="83">
        <v>423500</v>
      </c>
      <c r="AM216" s="83">
        <v>1986.72</v>
      </c>
      <c r="AN216" s="83">
        <v>103605.34</v>
      </c>
      <c r="AO216" s="83">
        <v>4158.18</v>
      </c>
      <c r="AP216" s="83">
        <v>48266.43</v>
      </c>
      <c r="AQ216" s="83">
        <v>135972.01999999999</v>
      </c>
      <c r="AR216" s="83">
        <v>6474.16</v>
      </c>
      <c r="AS216" s="83">
        <v>9638.94</v>
      </c>
      <c r="AT216" s="83">
        <v>32568.26</v>
      </c>
      <c r="AU216" s="83">
        <v>-48087.99</v>
      </c>
      <c r="AV216" s="83">
        <v>18094.98</v>
      </c>
      <c r="AW216" s="83">
        <v>115176.8</v>
      </c>
      <c r="AX216" s="83">
        <v>58369.4</v>
      </c>
      <c r="AY216" s="83">
        <v>-66725.97</v>
      </c>
      <c r="AZ216" s="83">
        <v>-95514.240000000005</v>
      </c>
      <c r="BA216" s="83">
        <v>42035.89</v>
      </c>
      <c r="BB216" s="83">
        <v>-22521.59</v>
      </c>
      <c r="BC216" s="83">
        <v>13297.33</v>
      </c>
      <c r="BD216" s="83">
        <v>46556.28</v>
      </c>
      <c r="BE216" s="83">
        <v>-340407.68</v>
      </c>
      <c r="BF216" s="83">
        <v>66157.88</v>
      </c>
      <c r="BG216" s="148">
        <f>SUM(F216:BF216)</f>
        <v>2964055.3999999985</v>
      </c>
      <c r="BH216" s="148">
        <f t="shared" si="44"/>
        <v>-441421.63</v>
      </c>
      <c r="BI216" s="148">
        <f t="shared" si="45"/>
        <v>2852875.89</v>
      </c>
      <c r="BJ216" s="148">
        <f t="shared" si="46"/>
        <v>552601.14000000013</v>
      </c>
      <c r="BK216" s="83">
        <f>BH216+BI216+BJ216</f>
        <v>2964055.4000000004</v>
      </c>
    </row>
    <row r="217" spans="3:63" x14ac:dyDescent="0.25">
      <c r="D217">
        <v>2999</v>
      </c>
      <c r="E217" t="s">
        <v>582</v>
      </c>
      <c r="F217" s="83">
        <v>2226673.61</v>
      </c>
      <c r="G217" s="83">
        <v>197996.21</v>
      </c>
      <c r="H217" s="83">
        <v>-28065.95</v>
      </c>
      <c r="I217" s="83">
        <v>1118304.07</v>
      </c>
      <c r="J217" s="83">
        <v>4873264.93</v>
      </c>
      <c r="K217" s="83">
        <v>2013896.48</v>
      </c>
      <c r="L217" s="83">
        <v>2812814.04</v>
      </c>
      <c r="M217" s="83">
        <v>3641639.15</v>
      </c>
      <c r="N217" s="83">
        <v>988470.76</v>
      </c>
      <c r="O217" s="83">
        <v>558543.31000000006</v>
      </c>
      <c r="P217" s="49">
        <v>571791.19999999995</v>
      </c>
      <c r="Q217" s="83">
        <v>864525.6</v>
      </c>
      <c r="R217" s="83">
        <v>81570.179999999993</v>
      </c>
      <c r="S217" s="83">
        <v>218290.27</v>
      </c>
      <c r="T217" s="83">
        <v>-99293.38</v>
      </c>
      <c r="U217" s="83">
        <v>659696.05000000005</v>
      </c>
      <c r="V217" s="83">
        <v>404022.93</v>
      </c>
      <c r="W217" s="83">
        <v>579511.64</v>
      </c>
      <c r="X217" s="83">
        <v>1630212.48</v>
      </c>
      <c r="Y217" s="83">
        <v>2258256.7799999998</v>
      </c>
      <c r="Z217" s="83">
        <v>1379797.04</v>
      </c>
      <c r="AA217" s="83">
        <v>10536916.17</v>
      </c>
      <c r="AB217" s="83">
        <v>346154.52</v>
      </c>
      <c r="AC217" s="83">
        <v>1127708.8700000001</v>
      </c>
      <c r="AD217" s="83">
        <v>1010375.37</v>
      </c>
      <c r="AE217" s="83">
        <v>715356.11</v>
      </c>
      <c r="AF217" s="83">
        <v>1324781.31</v>
      </c>
      <c r="AG217" s="83">
        <v>4783431.4400000004</v>
      </c>
      <c r="AH217" s="83">
        <v>3216901.24</v>
      </c>
      <c r="AI217" s="83">
        <v>1873717.76</v>
      </c>
      <c r="AJ217" s="83">
        <v>1159773.8999999999</v>
      </c>
      <c r="AK217" s="83">
        <v>1364891.81</v>
      </c>
      <c r="AL217" s="83">
        <v>321705.46000000002</v>
      </c>
      <c r="AM217" s="83">
        <v>3386998.69</v>
      </c>
      <c r="AN217" s="83">
        <v>2531183.77</v>
      </c>
      <c r="AO217" s="83">
        <v>509562.91</v>
      </c>
      <c r="AP217" s="83">
        <v>6886509.9699999997</v>
      </c>
      <c r="AQ217" s="83">
        <v>1723228.23</v>
      </c>
      <c r="AR217" s="83">
        <v>1240661.74</v>
      </c>
      <c r="AS217" s="83">
        <v>7558589.9299999997</v>
      </c>
      <c r="AT217" s="83">
        <v>329304.06</v>
      </c>
      <c r="AU217" s="83">
        <v>585826.38</v>
      </c>
      <c r="AV217" s="83">
        <v>2975620.16</v>
      </c>
      <c r="AW217" s="83">
        <v>4884403.59</v>
      </c>
      <c r="AX217" s="83">
        <v>517778.38</v>
      </c>
      <c r="AY217" s="83">
        <v>269084.37</v>
      </c>
      <c r="AZ217" s="83">
        <v>688237.62</v>
      </c>
      <c r="BA217" s="83">
        <v>2079255.01</v>
      </c>
      <c r="BB217" s="83">
        <v>1496900.4</v>
      </c>
      <c r="BC217" s="83">
        <v>2353345.9300000002</v>
      </c>
      <c r="BD217" s="83">
        <v>725925.62</v>
      </c>
      <c r="BE217" s="83">
        <v>1509478.23</v>
      </c>
      <c r="BF217" s="83">
        <v>619144.55000000005</v>
      </c>
      <c r="BG217" s="148">
        <f>SUM(F217:BF217)</f>
        <v>97604670.900000021</v>
      </c>
      <c r="BH217" s="148">
        <f t="shared" si="44"/>
        <v>23313863.580000002</v>
      </c>
      <c r="BI217" s="148">
        <f t="shared" si="45"/>
        <v>31098062.32</v>
      </c>
      <c r="BJ217" s="148">
        <f t="shared" si="46"/>
        <v>43192744.999999985</v>
      </c>
      <c r="BK217" s="83">
        <f>BH217+BI217+BJ217</f>
        <v>97604670.899999991</v>
      </c>
    </row>
    <row r="218" spans="3:63" x14ac:dyDescent="0.25">
      <c r="F218" s="4"/>
      <c r="G218" s="4"/>
      <c r="H218" s="4"/>
      <c r="I218" s="165"/>
      <c r="J218" s="4"/>
      <c r="K218" s="4"/>
      <c r="L218" s="4"/>
      <c r="M218" s="4"/>
      <c r="N218" s="4"/>
      <c r="O218" s="4"/>
      <c r="P218" s="30"/>
      <c r="Q218" s="4"/>
      <c r="R218" s="4"/>
      <c r="S218" s="4"/>
      <c r="T218" s="4"/>
      <c r="U218" s="4"/>
      <c r="V218" s="4"/>
      <c r="W218" s="4"/>
      <c r="X218" s="4"/>
      <c r="Y218" s="4"/>
      <c r="Z218" s="4"/>
      <c r="AA218" s="4"/>
      <c r="AB218" s="4"/>
      <c r="AC218" s="4"/>
      <c r="AD218" s="4"/>
      <c r="AE218" s="4"/>
      <c r="AF218" s="4"/>
      <c r="AG218" s="4"/>
      <c r="AH218" s="4"/>
      <c r="AI218" s="4"/>
      <c r="AJ218" s="4"/>
      <c r="AK218" s="4"/>
      <c r="AL218" s="165"/>
      <c r="AM218" s="4"/>
      <c r="AN218" s="4"/>
      <c r="AO218" s="4"/>
      <c r="AP218" s="4"/>
      <c r="AQ218" s="4"/>
      <c r="AR218" s="4"/>
      <c r="AS218" s="4"/>
      <c r="AT218" s="4"/>
      <c r="AU218" s="4"/>
      <c r="AV218" s="4"/>
      <c r="AW218" s="4"/>
      <c r="AX218" s="4"/>
      <c r="AY218" s="4"/>
      <c r="AZ218" s="4"/>
      <c r="BA218" s="4"/>
      <c r="BB218" s="4"/>
      <c r="BC218" s="4"/>
      <c r="BD218" s="4"/>
      <c r="BE218" s="4"/>
      <c r="BF218" s="4"/>
      <c r="BG218" s="31"/>
      <c r="BH218" s="31"/>
      <c r="BI218" s="31"/>
      <c r="BJ218" s="31"/>
    </row>
    <row r="219" spans="3:63" x14ac:dyDescent="0.25">
      <c r="C219" s="128"/>
      <c r="D219" s="128"/>
      <c r="E219" s="128" t="s">
        <v>587</v>
      </c>
    </row>
    <row r="220" spans="3:63" x14ac:dyDescent="0.25">
      <c r="D220">
        <v>290</v>
      </c>
      <c r="E220" t="s">
        <v>586</v>
      </c>
      <c r="F220" s="4">
        <f>'4.1 Comptes 2021 natures'!E155</f>
        <v>202553.28</v>
      </c>
      <c r="G220" s="4">
        <f>'4.1 Comptes 2021 natures'!F155</f>
        <v>21947.97</v>
      </c>
      <c r="H220" s="4">
        <f>'4.1 Comptes 2021 natures'!G155</f>
        <v>16749.330000000002</v>
      </c>
      <c r="I220" s="4">
        <f>'4.1 Comptes 2021 natures'!H155</f>
        <v>120721.46</v>
      </c>
      <c r="J220" s="4">
        <f>'4.1 Comptes 2021 natures'!I155</f>
        <v>480605.74</v>
      </c>
      <c r="K220" s="4">
        <f>'4.1 Comptes 2021 natures'!J155</f>
        <v>254277.18</v>
      </c>
      <c r="L220" s="4">
        <f>'4.1 Comptes 2021 natures'!K155</f>
        <v>516249.88</v>
      </c>
      <c r="M220" s="4">
        <f>'4.1 Comptes 2021 natures'!L155</f>
        <v>3551593.7</v>
      </c>
      <c r="N220" s="4">
        <f>'4.1 Comptes 2021 natures'!M155</f>
        <v>198361</v>
      </c>
      <c r="O220" s="4">
        <f>'4.1 Comptes 2021 natures'!N155</f>
        <v>3891.26</v>
      </c>
      <c r="P220" s="4">
        <f>'4.1 Comptes 2021 natures'!O155</f>
        <v>956633.1</v>
      </c>
      <c r="Q220" s="4">
        <f>'4.1 Comptes 2021 natures'!P155</f>
        <v>92691.89</v>
      </c>
      <c r="R220" s="4">
        <f>'4.1 Comptes 2021 natures'!Q155</f>
        <v>21372.25</v>
      </c>
      <c r="S220" s="4">
        <f>'4.1 Comptes 2021 natures'!R155</f>
        <v>10396.620000000001</v>
      </c>
      <c r="T220" s="4">
        <f>'4.1 Comptes 2021 natures'!S155</f>
        <v>86917.95</v>
      </c>
      <c r="U220" s="4">
        <f>'4.1 Comptes 2021 natures'!T155</f>
        <v>233996.63</v>
      </c>
      <c r="V220" s="4">
        <f>'4.1 Comptes 2021 natures'!U155</f>
        <v>19165.990000000002</v>
      </c>
      <c r="W220" s="4">
        <f>'4.1 Comptes 2021 natures'!V155</f>
        <v>34701.54</v>
      </c>
      <c r="X220" s="4">
        <f>'4.1 Comptes 2021 natures'!W155</f>
        <v>384741.71</v>
      </c>
      <c r="Y220" s="4">
        <f>'4.1 Comptes 2021 natures'!X155</f>
        <v>14314.55</v>
      </c>
      <c r="Z220" s="4">
        <f>'4.1 Comptes 2021 natures'!Y155</f>
        <v>132543.65</v>
      </c>
      <c r="AA220" s="4">
        <f>'4.1 Comptes 2021 natures'!Z155</f>
        <v>194810.87</v>
      </c>
      <c r="AB220" s="4">
        <f>'4.1 Comptes 2021 natures'!AA155</f>
        <v>-3246.6</v>
      </c>
      <c r="AC220" s="4">
        <f>'4.1 Comptes 2021 natures'!AB155</f>
        <v>35185.730000000003</v>
      </c>
      <c r="AD220" s="4">
        <f>'4.1 Comptes 2021 natures'!AC155</f>
        <v>-106292.65</v>
      </c>
      <c r="AE220" s="4">
        <f>'4.1 Comptes 2021 natures'!AD155</f>
        <v>70506.080000000002</v>
      </c>
      <c r="AF220" s="4">
        <f>'4.1 Comptes 2021 natures'!AE155</f>
        <v>-100614.86</v>
      </c>
      <c r="AG220" s="4">
        <f>'4.1 Comptes 2021 natures'!AF155</f>
        <v>235679.72</v>
      </c>
      <c r="AH220" s="4">
        <f>'4.1 Comptes 2021 natures'!AG155</f>
        <v>139623.21</v>
      </c>
      <c r="AI220" s="4">
        <f>'4.1 Comptes 2021 natures'!AH155</f>
        <v>841594.78</v>
      </c>
      <c r="AJ220" s="4">
        <f>'4.1 Comptes 2021 natures'!AI155</f>
        <v>-3915.6</v>
      </c>
      <c r="AK220" s="4">
        <f>'4.1 Comptes 2021 natures'!AJ155</f>
        <v>52045.25</v>
      </c>
      <c r="AL220" s="4">
        <f>'4.1 Comptes 2021 natures'!AK155</f>
        <v>148324.04999999999</v>
      </c>
      <c r="AM220" s="4">
        <f>'4.1 Comptes 2021 natures'!AL155</f>
        <v>43101.120000000003</v>
      </c>
      <c r="AN220" s="4">
        <f>'4.1 Comptes 2021 natures'!AM155</f>
        <v>20163.330000000002</v>
      </c>
      <c r="AO220" s="4">
        <f>'4.1 Comptes 2021 natures'!AN155</f>
        <v>2071.56</v>
      </c>
      <c r="AP220" s="4">
        <f>'4.1 Comptes 2021 natures'!AO155</f>
        <v>161301.25</v>
      </c>
      <c r="AQ220" s="4">
        <f>'4.1 Comptes 2021 natures'!AP155</f>
        <v>64333.64</v>
      </c>
      <c r="AR220" s="4">
        <f>'4.1 Comptes 2021 natures'!AQ155</f>
        <v>26506.99</v>
      </c>
      <c r="AS220" s="4">
        <f>'4.1 Comptes 2021 natures'!AR155</f>
        <v>66919.75</v>
      </c>
      <c r="AT220" s="4">
        <f>'4.1 Comptes 2021 natures'!AS155</f>
        <v>-31279.51</v>
      </c>
      <c r="AU220" s="4">
        <f>'4.1 Comptes 2021 natures'!AT155</f>
        <v>44625.05</v>
      </c>
      <c r="AV220" s="4">
        <f>'4.1 Comptes 2021 natures'!AU155</f>
        <v>29739.89</v>
      </c>
      <c r="AW220" s="4">
        <f>'4.1 Comptes 2021 natures'!AV155</f>
        <v>143239.92000000001</v>
      </c>
      <c r="AX220" s="4">
        <f>'4.1 Comptes 2021 natures'!AW155</f>
        <v>24291.41</v>
      </c>
      <c r="AY220" s="4">
        <f>'4.1 Comptes 2021 natures'!AX155</f>
        <v>16151.05</v>
      </c>
      <c r="AZ220" s="4">
        <f>'4.1 Comptes 2021 natures'!AY155</f>
        <v>49080.24</v>
      </c>
      <c r="BA220" s="4">
        <f>'4.1 Comptes 2021 natures'!AZ155</f>
        <v>17841.45</v>
      </c>
      <c r="BB220" s="4">
        <f>'4.1 Comptes 2021 natures'!BA155</f>
        <v>144547.85</v>
      </c>
      <c r="BC220" s="4">
        <f>'4.1 Comptes 2021 natures'!BB155</f>
        <v>121267.33</v>
      </c>
      <c r="BD220" s="4">
        <f>'4.1 Comptes 2021 natures'!BC155</f>
        <v>13203.65</v>
      </c>
      <c r="BE220" s="4">
        <f>'4.1 Comptes 2021 natures'!BD155</f>
        <v>991744.31</v>
      </c>
      <c r="BF220" s="4">
        <f>'4.1 Comptes 2021 natures'!BE155</f>
        <v>49855.73</v>
      </c>
      <c r="BG220" s="4">
        <f>'4.1 Comptes 2021 natures'!BF155</f>
        <v>10856832.670000004</v>
      </c>
      <c r="BH220" s="4">
        <f>'4.1 Comptes 2021 natures'!BG155</f>
        <v>7207568.4799999995</v>
      </c>
      <c r="BI220" s="4">
        <f>'4.1 Comptes 2021 natures'!BH155</f>
        <v>1502234.13</v>
      </c>
      <c r="BJ220" s="4">
        <f>'4.1 Comptes 2021 natures'!BI155</f>
        <v>2147030.06</v>
      </c>
    </row>
    <row r="221" spans="3:63" x14ac:dyDescent="0.25">
      <c r="D221">
        <v>2990</v>
      </c>
      <c r="E221" t="s">
        <v>590</v>
      </c>
      <c r="F221" s="4">
        <f>F216</f>
        <v>-157625.18</v>
      </c>
      <c r="G221" s="4">
        <f t="shared" ref="G221:BJ221" si="52">G216</f>
        <v>-70505.289999999994</v>
      </c>
      <c r="H221" s="4">
        <f t="shared" si="52"/>
        <v>-111577.93</v>
      </c>
      <c r="I221" s="4">
        <f t="shared" si="52"/>
        <v>54007.05</v>
      </c>
      <c r="J221" s="4">
        <f t="shared" si="52"/>
        <v>28923.83</v>
      </c>
      <c r="K221" s="4">
        <f t="shared" si="52"/>
        <v>101053.96</v>
      </c>
      <c r="L221" s="4">
        <f t="shared" si="52"/>
        <v>5411.09</v>
      </c>
      <c r="M221" s="4">
        <f t="shared" si="52"/>
        <v>-67.2</v>
      </c>
      <c r="N221" s="4">
        <f t="shared" si="52"/>
        <v>89897.07</v>
      </c>
      <c r="O221" s="4">
        <f t="shared" si="52"/>
        <v>-13123.38</v>
      </c>
      <c r="P221" s="4">
        <f t="shared" si="52"/>
        <v>-243211.13</v>
      </c>
      <c r="Q221" s="4">
        <f t="shared" si="52"/>
        <v>5670.3</v>
      </c>
      <c r="R221" s="4">
        <f t="shared" si="52"/>
        <v>-26078.06</v>
      </c>
      <c r="S221" s="4">
        <f t="shared" si="52"/>
        <v>33566.67</v>
      </c>
      <c r="T221" s="4">
        <f t="shared" si="52"/>
        <v>-135865.17000000001</v>
      </c>
      <c r="U221" s="4">
        <f t="shared" si="52"/>
        <v>310014.2</v>
      </c>
      <c r="V221" s="4">
        <f t="shared" si="52"/>
        <v>-34246.9</v>
      </c>
      <c r="W221" s="4">
        <f t="shared" si="52"/>
        <v>-349123.21</v>
      </c>
      <c r="X221" s="4">
        <f t="shared" si="52"/>
        <v>71457.649999999994</v>
      </c>
      <c r="Y221" s="4">
        <f t="shared" si="52"/>
        <v>124375.22</v>
      </c>
      <c r="Z221" s="4">
        <f t="shared" si="52"/>
        <v>1633805.81</v>
      </c>
      <c r="AA221" s="4">
        <f t="shared" si="52"/>
        <v>925288.21</v>
      </c>
      <c r="AB221" s="4">
        <f t="shared" si="52"/>
        <v>13373.11</v>
      </c>
      <c r="AC221" s="4">
        <f t="shared" si="52"/>
        <v>-34056.49</v>
      </c>
      <c r="AD221" s="4">
        <f t="shared" si="52"/>
        <v>-190765.53</v>
      </c>
      <c r="AE221" s="4">
        <f t="shared" si="52"/>
        <v>-65921.119999999995</v>
      </c>
      <c r="AF221" s="4">
        <f t="shared" si="52"/>
        <v>-148769.32</v>
      </c>
      <c r="AG221" s="4">
        <f t="shared" si="52"/>
        <v>-159274.14000000001</v>
      </c>
      <c r="AH221" s="4">
        <f t="shared" si="52"/>
        <v>764904.49</v>
      </c>
      <c r="AI221" s="4">
        <f t="shared" si="52"/>
        <v>28139.98</v>
      </c>
      <c r="AJ221" s="4">
        <f t="shared" si="52"/>
        <v>-31785.75</v>
      </c>
      <c r="AK221" s="4">
        <f t="shared" si="52"/>
        <v>-6438.58</v>
      </c>
      <c r="AL221" s="4">
        <f t="shared" si="52"/>
        <v>423500</v>
      </c>
      <c r="AM221" s="4">
        <f t="shared" si="52"/>
        <v>1986.72</v>
      </c>
      <c r="AN221" s="4">
        <f t="shared" si="52"/>
        <v>103605.34</v>
      </c>
      <c r="AO221" s="4">
        <f t="shared" si="52"/>
        <v>4158.18</v>
      </c>
      <c r="AP221" s="4">
        <f t="shared" si="52"/>
        <v>48266.43</v>
      </c>
      <c r="AQ221" s="4">
        <f t="shared" si="52"/>
        <v>135972.01999999999</v>
      </c>
      <c r="AR221" s="4">
        <f t="shared" si="52"/>
        <v>6474.16</v>
      </c>
      <c r="AS221" s="4">
        <f t="shared" si="52"/>
        <v>9638.94</v>
      </c>
      <c r="AT221" s="4">
        <f t="shared" si="52"/>
        <v>32568.26</v>
      </c>
      <c r="AU221" s="4">
        <f t="shared" si="52"/>
        <v>-48087.99</v>
      </c>
      <c r="AV221" s="4">
        <f t="shared" si="52"/>
        <v>18094.98</v>
      </c>
      <c r="AW221" s="4">
        <f t="shared" si="52"/>
        <v>115176.8</v>
      </c>
      <c r="AX221" s="4">
        <f t="shared" si="52"/>
        <v>58369.4</v>
      </c>
      <c r="AY221" s="4">
        <f t="shared" si="52"/>
        <v>-66725.97</v>
      </c>
      <c r="AZ221" s="4">
        <f t="shared" si="52"/>
        <v>-95514.240000000005</v>
      </c>
      <c r="BA221" s="4">
        <f t="shared" si="52"/>
        <v>42035.89</v>
      </c>
      <c r="BB221" s="4">
        <f t="shared" si="52"/>
        <v>-22521.59</v>
      </c>
      <c r="BC221" s="4">
        <f t="shared" si="52"/>
        <v>13297.33</v>
      </c>
      <c r="BD221" s="4">
        <f t="shared" si="52"/>
        <v>46556.28</v>
      </c>
      <c r="BE221" s="4">
        <f t="shared" si="52"/>
        <v>-340407.68</v>
      </c>
      <c r="BF221" s="4">
        <f t="shared" si="52"/>
        <v>66157.88</v>
      </c>
      <c r="BG221" s="4">
        <f t="shared" si="52"/>
        <v>2964055.3999999985</v>
      </c>
      <c r="BH221" s="4">
        <f t="shared" si="52"/>
        <v>-441421.63</v>
      </c>
      <c r="BI221" s="4">
        <f t="shared" si="52"/>
        <v>2852875.89</v>
      </c>
      <c r="BJ221" s="4">
        <f t="shared" si="52"/>
        <v>552601.14000000013</v>
      </c>
    </row>
    <row r="223" spans="3:63" x14ac:dyDescent="0.25">
      <c r="E223" s="7" t="s">
        <v>589</v>
      </c>
      <c r="F223" s="148">
        <f>F220+F221</f>
        <v>44928.100000000006</v>
      </c>
      <c r="G223" s="148">
        <f t="shared" ref="G223:BJ223" si="53">G220+G221</f>
        <v>-48557.319999999992</v>
      </c>
      <c r="H223" s="148">
        <f t="shared" si="53"/>
        <v>-94828.599999999991</v>
      </c>
      <c r="I223" s="148">
        <f t="shared" si="53"/>
        <v>174728.51</v>
      </c>
      <c r="J223" s="148">
        <f t="shared" si="53"/>
        <v>509529.57</v>
      </c>
      <c r="K223" s="148">
        <f t="shared" si="53"/>
        <v>355331.14</v>
      </c>
      <c r="L223" s="148">
        <f t="shared" si="53"/>
        <v>521660.97000000003</v>
      </c>
      <c r="M223" s="148">
        <f t="shared" si="53"/>
        <v>3551526.5</v>
      </c>
      <c r="N223" s="148">
        <f t="shared" si="53"/>
        <v>288258.07</v>
      </c>
      <c r="O223" s="148">
        <f t="shared" si="53"/>
        <v>-9232.119999999999</v>
      </c>
      <c r="P223" s="148">
        <f t="shared" si="53"/>
        <v>713421.97</v>
      </c>
      <c r="Q223" s="148">
        <f t="shared" si="53"/>
        <v>98362.19</v>
      </c>
      <c r="R223" s="148">
        <f t="shared" si="53"/>
        <v>-4705.8100000000013</v>
      </c>
      <c r="S223" s="148">
        <f t="shared" si="53"/>
        <v>43963.29</v>
      </c>
      <c r="T223" s="148">
        <f t="shared" si="53"/>
        <v>-48947.220000000016</v>
      </c>
      <c r="U223" s="148">
        <f t="shared" si="53"/>
        <v>544010.83000000007</v>
      </c>
      <c r="V223" s="148">
        <f t="shared" si="53"/>
        <v>-15080.91</v>
      </c>
      <c r="W223" s="148">
        <f t="shared" si="53"/>
        <v>-314421.67000000004</v>
      </c>
      <c r="X223" s="148">
        <f t="shared" si="53"/>
        <v>456199.36</v>
      </c>
      <c r="Y223" s="148">
        <f t="shared" si="53"/>
        <v>138689.76999999999</v>
      </c>
      <c r="Z223" s="148">
        <f t="shared" si="53"/>
        <v>1766349.46</v>
      </c>
      <c r="AA223" s="148">
        <f t="shared" si="53"/>
        <v>1120099.08</v>
      </c>
      <c r="AB223" s="148">
        <f t="shared" si="53"/>
        <v>10126.51</v>
      </c>
      <c r="AC223" s="148">
        <f t="shared" si="53"/>
        <v>1129.2400000000052</v>
      </c>
      <c r="AD223" s="148">
        <f t="shared" si="53"/>
        <v>-297058.18</v>
      </c>
      <c r="AE223" s="148">
        <f t="shared" si="53"/>
        <v>4584.9600000000064</v>
      </c>
      <c r="AF223" s="148">
        <f t="shared" si="53"/>
        <v>-249384.18</v>
      </c>
      <c r="AG223" s="148">
        <f t="shared" si="53"/>
        <v>76405.579999999987</v>
      </c>
      <c r="AH223" s="148">
        <f t="shared" si="53"/>
        <v>904527.7</v>
      </c>
      <c r="AI223" s="148">
        <f t="shared" si="53"/>
        <v>869734.76</v>
      </c>
      <c r="AJ223" s="148">
        <f t="shared" si="53"/>
        <v>-35701.35</v>
      </c>
      <c r="AK223" s="148">
        <f t="shared" si="53"/>
        <v>45606.67</v>
      </c>
      <c r="AL223" s="148">
        <f t="shared" si="53"/>
        <v>571824.05000000005</v>
      </c>
      <c r="AM223" s="148">
        <f t="shared" si="53"/>
        <v>45087.840000000004</v>
      </c>
      <c r="AN223" s="148">
        <f t="shared" si="53"/>
        <v>123768.67</v>
      </c>
      <c r="AO223" s="148">
        <f t="shared" si="53"/>
        <v>6229.74</v>
      </c>
      <c r="AP223" s="148">
        <f t="shared" si="53"/>
        <v>209567.68</v>
      </c>
      <c r="AQ223" s="148">
        <f t="shared" si="53"/>
        <v>200305.65999999997</v>
      </c>
      <c r="AR223" s="148">
        <f t="shared" si="53"/>
        <v>32981.15</v>
      </c>
      <c r="AS223" s="148">
        <f t="shared" si="53"/>
        <v>76558.69</v>
      </c>
      <c r="AT223" s="148">
        <f t="shared" si="53"/>
        <v>1288.75</v>
      </c>
      <c r="AU223" s="148">
        <f t="shared" si="53"/>
        <v>-3462.9399999999951</v>
      </c>
      <c r="AV223" s="148">
        <f t="shared" si="53"/>
        <v>47834.869999999995</v>
      </c>
      <c r="AW223" s="148">
        <f t="shared" si="53"/>
        <v>258416.72000000003</v>
      </c>
      <c r="AX223" s="148">
        <f t="shared" si="53"/>
        <v>82660.81</v>
      </c>
      <c r="AY223" s="148">
        <f t="shared" si="53"/>
        <v>-50574.92</v>
      </c>
      <c r="AZ223" s="148">
        <f t="shared" si="53"/>
        <v>-46434.000000000007</v>
      </c>
      <c r="BA223" s="148">
        <f t="shared" si="53"/>
        <v>59877.34</v>
      </c>
      <c r="BB223" s="148">
        <f t="shared" si="53"/>
        <v>122026.26000000001</v>
      </c>
      <c r="BC223" s="148">
        <f t="shared" si="53"/>
        <v>134564.66</v>
      </c>
      <c r="BD223" s="148">
        <f t="shared" si="53"/>
        <v>59759.93</v>
      </c>
      <c r="BE223" s="148">
        <f t="shared" si="53"/>
        <v>651336.63000000012</v>
      </c>
      <c r="BF223" s="148">
        <f t="shared" si="53"/>
        <v>116013.61000000002</v>
      </c>
      <c r="BG223" s="148">
        <f t="shared" si="53"/>
        <v>13820888.070000002</v>
      </c>
      <c r="BH223" s="148">
        <f t="shared" si="53"/>
        <v>6766146.8499999996</v>
      </c>
      <c r="BI223" s="148">
        <f t="shared" si="53"/>
        <v>4355110.0199999996</v>
      </c>
      <c r="BJ223" s="148">
        <f t="shared" si="53"/>
        <v>2699631.2</v>
      </c>
    </row>
    <row r="224" spans="3:63" x14ac:dyDescent="0.25">
      <c r="N224" s="4"/>
      <c r="BG224" s="4"/>
      <c r="BH224" s="4"/>
      <c r="BI224" s="4"/>
      <c r="BJ224" s="4"/>
    </row>
    <row r="225" spans="5:62" x14ac:dyDescent="0.25">
      <c r="E225" s="48" t="s">
        <v>588</v>
      </c>
      <c r="F225" s="30">
        <f>F4-F120</f>
        <v>0</v>
      </c>
      <c r="G225" s="30">
        <f t="shared" ref="G225:BJ225" si="54">G4-G120</f>
        <v>0</v>
      </c>
      <c r="H225" s="30">
        <f t="shared" si="54"/>
        <v>0</v>
      </c>
      <c r="I225" s="30">
        <f t="shared" si="54"/>
        <v>0</v>
      </c>
      <c r="J225" s="30">
        <f t="shared" si="54"/>
        <v>0</v>
      </c>
      <c r="K225" s="30">
        <f t="shared" si="54"/>
        <v>0</v>
      </c>
      <c r="L225" s="30">
        <f t="shared" si="54"/>
        <v>0</v>
      </c>
      <c r="M225" s="30">
        <f t="shared" si="54"/>
        <v>0</v>
      </c>
      <c r="N225" s="30">
        <f t="shared" si="54"/>
        <v>0</v>
      </c>
      <c r="O225" s="30">
        <f t="shared" si="54"/>
        <v>0</v>
      </c>
      <c r="P225" s="30">
        <f t="shared" si="54"/>
        <v>0</v>
      </c>
      <c r="Q225" s="30">
        <f t="shared" si="54"/>
        <v>0</v>
      </c>
      <c r="R225" s="30">
        <f t="shared" si="54"/>
        <v>0</v>
      </c>
      <c r="S225" s="30">
        <f t="shared" si="54"/>
        <v>0</v>
      </c>
      <c r="T225" s="30">
        <f t="shared" si="54"/>
        <v>271730.33999999892</v>
      </c>
      <c r="U225" s="30">
        <f t="shared" si="54"/>
        <v>0</v>
      </c>
      <c r="V225" s="30">
        <f t="shared" si="54"/>
        <v>0</v>
      </c>
      <c r="W225" s="30">
        <f t="shared" si="54"/>
        <v>0</v>
      </c>
      <c r="X225" s="30">
        <f t="shared" si="54"/>
        <v>0</v>
      </c>
      <c r="Y225" s="30">
        <f t="shared" si="54"/>
        <v>0</v>
      </c>
      <c r="Z225" s="30">
        <f t="shared" si="54"/>
        <v>0</v>
      </c>
      <c r="AA225" s="30">
        <f t="shared" si="54"/>
        <v>0</v>
      </c>
      <c r="AB225" s="30">
        <f t="shared" si="54"/>
        <v>3215.7000000001863</v>
      </c>
      <c r="AC225" s="30">
        <f t="shared" si="54"/>
        <v>0</v>
      </c>
      <c r="AD225" s="30">
        <f t="shared" si="54"/>
        <v>0</v>
      </c>
      <c r="AE225" s="30">
        <f t="shared" si="54"/>
        <v>0</v>
      </c>
      <c r="AF225" s="30">
        <f t="shared" si="54"/>
        <v>0</v>
      </c>
      <c r="AG225" s="30">
        <f t="shared" si="54"/>
        <v>0</v>
      </c>
      <c r="AH225" s="30">
        <f t="shared" si="54"/>
        <v>0</v>
      </c>
      <c r="AI225" s="30">
        <f t="shared" si="54"/>
        <v>0</v>
      </c>
      <c r="AJ225" s="30">
        <f t="shared" si="54"/>
        <v>0</v>
      </c>
      <c r="AK225" s="30">
        <f t="shared" si="54"/>
        <v>0</v>
      </c>
      <c r="AL225" s="30">
        <f t="shared" si="54"/>
        <v>0</v>
      </c>
      <c r="AM225" s="30">
        <f t="shared" si="54"/>
        <v>0</v>
      </c>
      <c r="AN225" s="30">
        <f t="shared" si="54"/>
        <v>0</v>
      </c>
      <c r="AO225" s="30">
        <f t="shared" si="54"/>
        <v>0</v>
      </c>
      <c r="AP225" s="30">
        <f t="shared" si="54"/>
        <v>0</v>
      </c>
      <c r="AQ225" s="30">
        <f t="shared" si="54"/>
        <v>0</v>
      </c>
      <c r="AR225" s="30">
        <f t="shared" si="54"/>
        <v>0</v>
      </c>
      <c r="AS225" s="30">
        <f t="shared" si="54"/>
        <v>0</v>
      </c>
      <c r="AT225" s="30">
        <f t="shared" si="54"/>
        <v>0</v>
      </c>
      <c r="AU225" s="30">
        <f t="shared" si="54"/>
        <v>0</v>
      </c>
      <c r="AV225" s="30">
        <f t="shared" si="54"/>
        <v>0</v>
      </c>
      <c r="AW225" s="30">
        <f t="shared" si="54"/>
        <v>0</v>
      </c>
      <c r="AX225" s="30">
        <f t="shared" si="54"/>
        <v>0</v>
      </c>
      <c r="AY225" s="30">
        <f t="shared" si="54"/>
        <v>0</v>
      </c>
      <c r="AZ225" s="30">
        <f t="shared" si="54"/>
        <v>0</v>
      </c>
      <c r="BA225" s="30">
        <f t="shared" si="54"/>
        <v>0</v>
      </c>
      <c r="BB225" s="30">
        <f t="shared" si="54"/>
        <v>0</v>
      </c>
      <c r="BC225" s="30">
        <f t="shared" si="54"/>
        <v>0</v>
      </c>
      <c r="BD225" s="30">
        <f t="shared" si="54"/>
        <v>0</v>
      </c>
      <c r="BE225" s="30">
        <f t="shared" si="54"/>
        <v>0</v>
      </c>
      <c r="BF225" s="30">
        <f t="shared" si="54"/>
        <v>0</v>
      </c>
      <c r="BG225" s="30">
        <f t="shared" si="54"/>
        <v>274946.04000008106</v>
      </c>
      <c r="BH225" s="30">
        <f t="shared" si="54"/>
        <v>271730.33999997377</v>
      </c>
      <c r="BI225" s="30">
        <f t="shared" si="54"/>
        <v>3215.7000000476837</v>
      </c>
      <c r="BJ225" s="30">
        <f t="shared" si="54"/>
        <v>0</v>
      </c>
    </row>
    <row r="227" spans="5:62" x14ac:dyDescent="0.25">
      <c r="AE227" s="4"/>
    </row>
    <row r="228" spans="5:62" x14ac:dyDescent="0.25">
      <c r="BE228" s="83"/>
    </row>
    <row r="230" spans="5:62" x14ac:dyDescent="0.25">
      <c r="BE230" s="83"/>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tint="0.59999389629810485"/>
    <pageSetUpPr fitToPage="1"/>
  </sheetPr>
  <dimension ref="A1:F228"/>
  <sheetViews>
    <sheetView workbookViewId="0">
      <selection activeCell="E4" sqref="E4"/>
    </sheetView>
  </sheetViews>
  <sheetFormatPr baseColWidth="10" defaultColWidth="11.42578125" defaultRowHeight="15" x14ac:dyDescent="0.25"/>
  <cols>
    <col min="1" max="3" width="4.7109375" customWidth="1"/>
    <col min="4" max="4" width="9" customWidth="1"/>
    <col min="5" max="5" width="63.5703125" customWidth="1"/>
    <col min="6" max="6" width="22.7109375" customWidth="1"/>
  </cols>
  <sheetData>
    <row r="1" spans="1:6" ht="26.25" x14ac:dyDescent="0.4">
      <c r="A1" s="32" t="s">
        <v>849</v>
      </c>
      <c r="B1" s="7"/>
      <c r="C1" s="7"/>
      <c r="D1" s="7"/>
      <c r="E1" s="7"/>
    </row>
    <row r="3" spans="1:6" ht="15.75" thickBot="1" x14ac:dyDescent="0.3"/>
    <row r="4" spans="1:6" ht="15.75" thickBot="1" x14ac:dyDescent="0.3">
      <c r="A4" t="s">
        <v>635</v>
      </c>
      <c r="E4" s="142" t="s">
        <v>25</v>
      </c>
    </row>
    <row r="7" spans="1:6" ht="21" x14ac:dyDescent="0.35">
      <c r="A7" s="59">
        <v>1</v>
      </c>
      <c r="B7" s="59"/>
      <c r="C7" s="59"/>
      <c r="D7" s="59"/>
      <c r="E7" s="59" t="s">
        <v>239</v>
      </c>
      <c r="F7" s="143">
        <f>HLOOKUP($E$4,'5. Bilan'!$F$3:$BF$226,2,0)</f>
        <v>5851353.3700000001</v>
      </c>
    </row>
    <row r="8" spans="1:6" x14ac:dyDescent="0.25">
      <c r="A8" s="7"/>
      <c r="B8" s="60">
        <v>10</v>
      </c>
      <c r="C8" s="60"/>
      <c r="D8" s="60"/>
      <c r="E8" s="60" t="s">
        <v>240</v>
      </c>
      <c r="F8" s="61">
        <f>HLOOKUP($E$4,'5. Bilan'!$F$3:$BF$226,3,0)</f>
        <v>2304845.67</v>
      </c>
    </row>
    <row r="9" spans="1:6" x14ac:dyDescent="0.25">
      <c r="C9" s="56">
        <v>100</v>
      </c>
      <c r="D9" s="56"/>
      <c r="E9" s="56" t="s">
        <v>241</v>
      </c>
      <c r="F9" s="72">
        <f>SUM(F10:F15)</f>
        <v>817219.69</v>
      </c>
    </row>
    <row r="10" spans="1:6" x14ac:dyDescent="0.25">
      <c r="D10">
        <v>1000</v>
      </c>
      <c r="E10" t="s">
        <v>313</v>
      </c>
      <c r="F10" s="4">
        <f>HLOOKUP($E$4,'5. Bilan'!$F$3:$BF$226,5,0)</f>
        <v>959.85</v>
      </c>
    </row>
    <row r="11" spans="1:6" x14ac:dyDescent="0.25">
      <c r="D11">
        <v>1001</v>
      </c>
      <c r="E11" t="s">
        <v>314</v>
      </c>
      <c r="F11" s="4">
        <f>HLOOKUP($E$4,'5. Bilan'!$F$3:$BF$226,6,0)</f>
        <v>6990.75</v>
      </c>
    </row>
    <row r="12" spans="1:6" x14ac:dyDescent="0.25">
      <c r="D12">
        <v>1002</v>
      </c>
      <c r="E12" t="s">
        <v>322</v>
      </c>
      <c r="F12" s="4">
        <f>HLOOKUP($E$4,'5. Bilan'!$F$3:$BF$226,7,0)</f>
        <v>809269.09</v>
      </c>
    </row>
    <row r="13" spans="1:6" x14ac:dyDescent="0.25">
      <c r="D13">
        <v>1003</v>
      </c>
      <c r="E13" t="s">
        <v>315</v>
      </c>
      <c r="F13" s="4">
        <f>HLOOKUP($E$4,'5. Bilan'!$F$3:$BF$226,8,0)</f>
        <v>0</v>
      </c>
    </row>
    <row r="14" spans="1:6" x14ac:dyDescent="0.25">
      <c r="D14">
        <v>1004</v>
      </c>
      <c r="E14" t="s">
        <v>316</v>
      </c>
      <c r="F14" s="4">
        <f>HLOOKUP($E$4,'5. Bilan'!$F$3:$BF$226,9,0)</f>
        <v>0</v>
      </c>
    </row>
    <row r="15" spans="1:6" x14ac:dyDescent="0.25">
      <c r="D15">
        <v>1009</v>
      </c>
      <c r="E15" t="s">
        <v>317</v>
      </c>
      <c r="F15" s="4">
        <f>HLOOKUP($E$4,'5. Bilan'!$F$3:$BF$226,10,0)</f>
        <v>0</v>
      </c>
    </row>
    <row r="16" spans="1:6" x14ac:dyDescent="0.25">
      <c r="F16" s="4"/>
    </row>
    <row r="17" spans="3:6" x14ac:dyDescent="0.25">
      <c r="C17" s="56">
        <v>101</v>
      </c>
      <c r="D17" s="56"/>
      <c r="E17" s="56" t="s">
        <v>242</v>
      </c>
      <c r="F17" s="57">
        <f>SUM(F18:F25)</f>
        <v>438183.51000000007</v>
      </c>
    </row>
    <row r="18" spans="3:6" x14ac:dyDescent="0.25">
      <c r="D18">
        <v>1010</v>
      </c>
      <c r="E18" t="s">
        <v>318</v>
      </c>
      <c r="F18" s="4">
        <f>HLOOKUP($E$4,'5. Bilan'!$F$3:$BF$226,13,0)</f>
        <v>72304.460000000006</v>
      </c>
    </row>
    <row r="19" spans="3:6" x14ac:dyDescent="0.25">
      <c r="D19">
        <v>1011</v>
      </c>
      <c r="E19" t="s">
        <v>399</v>
      </c>
      <c r="F19" s="4">
        <f>HLOOKUP($E$4,'5. Bilan'!$F$3:$BF$226,14,0)</f>
        <v>0</v>
      </c>
    </row>
    <row r="20" spans="3:6" x14ac:dyDescent="0.25">
      <c r="D20">
        <v>1012</v>
      </c>
      <c r="E20" t="s">
        <v>319</v>
      </c>
      <c r="F20" s="4">
        <f>HLOOKUP($E$4,'5. Bilan'!$F$3:$BF$226,15,0)</f>
        <v>355424.65</v>
      </c>
    </row>
    <row r="21" spans="3:6" x14ac:dyDescent="0.25">
      <c r="D21">
        <v>1013</v>
      </c>
      <c r="E21" t="s">
        <v>320</v>
      </c>
      <c r="F21" s="4">
        <f>HLOOKUP($E$4,'5. Bilan'!$F$3:$BF$226,16,0)</f>
        <v>0</v>
      </c>
    </row>
    <row r="22" spans="3:6" x14ac:dyDescent="0.25">
      <c r="D22">
        <v>1014</v>
      </c>
      <c r="E22" t="s">
        <v>321</v>
      </c>
      <c r="F22" s="4">
        <f>HLOOKUP($E$4,'5. Bilan'!$F$3:$BF$226,17,0)</f>
        <v>10454.4</v>
      </c>
    </row>
    <row r="23" spans="3:6" x14ac:dyDescent="0.25">
      <c r="D23">
        <v>1015</v>
      </c>
      <c r="E23" t="s">
        <v>323</v>
      </c>
      <c r="F23" s="4">
        <f>HLOOKUP($E$4,'5. Bilan'!$F$3:$BF$226,18,0)</f>
        <v>0</v>
      </c>
    </row>
    <row r="24" spans="3:6" x14ac:dyDescent="0.25">
      <c r="D24">
        <v>1016</v>
      </c>
      <c r="E24" t="s">
        <v>324</v>
      </c>
      <c r="F24" s="4">
        <f>HLOOKUP($E$4,'5. Bilan'!$F$3:$BF$226,19,0)</f>
        <v>0</v>
      </c>
    </row>
    <row r="25" spans="3:6" x14ac:dyDescent="0.25">
      <c r="D25">
        <v>1019</v>
      </c>
      <c r="E25" t="s">
        <v>325</v>
      </c>
      <c r="F25" s="4">
        <f>HLOOKUP($E$4,'5. Bilan'!$F$3:$BF$226,20,0)</f>
        <v>0</v>
      </c>
    </row>
    <row r="26" spans="3:6" x14ac:dyDescent="0.25">
      <c r="F26" s="4"/>
    </row>
    <row r="27" spans="3:6" x14ac:dyDescent="0.25">
      <c r="C27" s="56">
        <v>102</v>
      </c>
      <c r="D27" s="56"/>
      <c r="E27" s="56" t="s">
        <v>243</v>
      </c>
      <c r="F27" s="57">
        <f>SUM(F28:F31)</f>
        <v>0</v>
      </c>
    </row>
    <row r="28" spans="3:6" x14ac:dyDescent="0.25">
      <c r="D28">
        <v>1020</v>
      </c>
      <c r="E28" t="s">
        <v>326</v>
      </c>
      <c r="F28" s="4">
        <f>HLOOKUP($E$4,'5. Bilan'!$F$3:$BF$226,23,0)</f>
        <v>0</v>
      </c>
    </row>
    <row r="29" spans="3:6" x14ac:dyDescent="0.25">
      <c r="D29">
        <v>1022</v>
      </c>
      <c r="E29" t="s">
        <v>327</v>
      </c>
      <c r="F29" s="4">
        <f>HLOOKUP($E$4,'5. Bilan'!$F$3:$BF$226,24,0)</f>
        <v>0</v>
      </c>
    </row>
    <row r="30" spans="3:6" x14ac:dyDescent="0.25">
      <c r="D30">
        <v>1023</v>
      </c>
      <c r="E30" t="s">
        <v>328</v>
      </c>
      <c r="F30" s="4">
        <f>HLOOKUP($E$4,'5. Bilan'!$F$3:$BF$226,25,0)</f>
        <v>0</v>
      </c>
    </row>
    <row r="31" spans="3:6" x14ac:dyDescent="0.25">
      <c r="D31">
        <v>1029</v>
      </c>
      <c r="E31" t="s">
        <v>329</v>
      </c>
      <c r="F31" s="4">
        <f>HLOOKUP($E$4,'5. Bilan'!$F$3:$BF$226,26,0)</f>
        <v>0</v>
      </c>
    </row>
    <row r="32" spans="3:6" x14ac:dyDescent="0.25">
      <c r="F32" s="4"/>
    </row>
    <row r="33" spans="3:6" x14ac:dyDescent="0.25">
      <c r="C33" s="56">
        <v>104</v>
      </c>
      <c r="D33" s="56"/>
      <c r="E33" s="56" t="s">
        <v>244</v>
      </c>
      <c r="F33" s="57">
        <f>SUM(F34:F41)</f>
        <v>154102.47</v>
      </c>
    </row>
    <row r="34" spans="3:6" x14ac:dyDescent="0.25">
      <c r="D34">
        <v>1040</v>
      </c>
      <c r="E34" t="s">
        <v>61</v>
      </c>
      <c r="F34" s="4">
        <f>HLOOKUP($E$4,'5. Bilan'!$F$3:$BF$226,29,0)</f>
        <v>0</v>
      </c>
    </row>
    <row r="35" spans="3:6" x14ac:dyDescent="0.25">
      <c r="D35">
        <v>1041</v>
      </c>
      <c r="E35" t="s">
        <v>330</v>
      </c>
      <c r="F35" s="4">
        <f>HLOOKUP($E$4,'5. Bilan'!$F$3:$BF$226,30,0)</f>
        <v>3409.8</v>
      </c>
    </row>
    <row r="36" spans="3:6" x14ac:dyDescent="0.25">
      <c r="D36">
        <v>1042</v>
      </c>
      <c r="E36" t="s">
        <v>331</v>
      </c>
      <c r="F36" s="4">
        <f>HLOOKUP($E$4,'5. Bilan'!$F$3:$BF$226,31,0)</f>
        <v>89965.61</v>
      </c>
    </row>
    <row r="37" spans="3:6" x14ac:dyDescent="0.25">
      <c r="D37">
        <v>1043</v>
      </c>
      <c r="E37" t="s">
        <v>332</v>
      </c>
      <c r="F37" s="4">
        <f>HLOOKUP($E$4,'5. Bilan'!$F$3:$BF$226,32,0)</f>
        <v>60727.06</v>
      </c>
    </row>
    <row r="38" spans="3:6" x14ac:dyDescent="0.25">
      <c r="D38">
        <v>1044</v>
      </c>
      <c r="E38" t="s">
        <v>333</v>
      </c>
      <c r="F38" s="4">
        <f>HLOOKUP($E$4,'5. Bilan'!$F$3:$BF$226,33,0)</f>
        <v>0</v>
      </c>
    </row>
    <row r="39" spans="3:6" x14ac:dyDescent="0.25">
      <c r="D39">
        <v>1045</v>
      </c>
      <c r="E39" t="s">
        <v>334</v>
      </c>
      <c r="F39" s="4">
        <f>HLOOKUP($E$4,'5. Bilan'!$F$3:$BF$226,34,0)</f>
        <v>0</v>
      </c>
    </row>
    <row r="40" spans="3:6" x14ac:dyDescent="0.25">
      <c r="D40">
        <v>1046</v>
      </c>
      <c r="E40" t="s">
        <v>335</v>
      </c>
      <c r="F40" s="4">
        <f>HLOOKUP($E$4,'5. Bilan'!$F$3:$BF$226,35,0)</f>
        <v>0</v>
      </c>
    </row>
    <row r="41" spans="3:6" x14ac:dyDescent="0.25">
      <c r="D41">
        <v>1049</v>
      </c>
      <c r="E41" t="s">
        <v>336</v>
      </c>
      <c r="F41" s="4">
        <f>HLOOKUP($E$4,'5. Bilan'!$F$3:$BF$226,36,0)</f>
        <v>0</v>
      </c>
    </row>
    <row r="42" spans="3:6" x14ac:dyDescent="0.25">
      <c r="F42" s="4"/>
    </row>
    <row r="43" spans="3:6" x14ac:dyDescent="0.25">
      <c r="C43" s="56">
        <v>106</v>
      </c>
      <c r="D43" s="56"/>
      <c r="E43" s="56" t="s">
        <v>245</v>
      </c>
      <c r="F43" s="57">
        <f>SUM(F44:F48)</f>
        <v>0</v>
      </c>
    </row>
    <row r="44" spans="3:6" x14ac:dyDescent="0.25">
      <c r="D44">
        <v>1060</v>
      </c>
      <c r="E44" t="s">
        <v>337</v>
      </c>
      <c r="F44" s="4">
        <f>HLOOKUP($E$4,'5. Bilan'!$F$3:$BF$226,39,0)</f>
        <v>0</v>
      </c>
    </row>
    <row r="45" spans="3:6" x14ac:dyDescent="0.25">
      <c r="D45">
        <v>1061</v>
      </c>
      <c r="E45" t="s">
        <v>338</v>
      </c>
      <c r="F45" s="4">
        <f>HLOOKUP($E$4,'5. Bilan'!$F$3:$BF$226,40,0)</f>
        <v>0</v>
      </c>
    </row>
    <row r="46" spans="3:6" x14ac:dyDescent="0.25">
      <c r="D46">
        <v>1062</v>
      </c>
      <c r="E46" t="s">
        <v>339</v>
      </c>
      <c r="F46" s="4">
        <f>HLOOKUP($E$4,'5. Bilan'!$F$3:$BF$226,41,0)</f>
        <v>0</v>
      </c>
    </row>
    <row r="47" spans="3:6" x14ac:dyDescent="0.25">
      <c r="D47">
        <v>1063</v>
      </c>
      <c r="E47" t="s">
        <v>340</v>
      </c>
      <c r="F47" s="4">
        <f>HLOOKUP($E$4,'5. Bilan'!$F$3:$BF$226,42,0)</f>
        <v>0</v>
      </c>
    </row>
    <row r="48" spans="3:6" x14ac:dyDescent="0.25">
      <c r="D48">
        <v>1068</v>
      </c>
      <c r="E48" t="s">
        <v>341</v>
      </c>
      <c r="F48" s="4">
        <f>HLOOKUP($E$4,'5. Bilan'!$F$3:$BF$226,43,0)</f>
        <v>0</v>
      </c>
    </row>
    <row r="49" spans="3:6" x14ac:dyDescent="0.25">
      <c r="F49" s="4"/>
    </row>
    <row r="50" spans="3:6" x14ac:dyDescent="0.25">
      <c r="C50" s="56">
        <v>107</v>
      </c>
      <c r="D50" s="56"/>
      <c r="E50" s="56" t="s">
        <v>346</v>
      </c>
      <c r="F50" s="57">
        <f>SUM(F51:F54)</f>
        <v>5</v>
      </c>
    </row>
    <row r="51" spans="3:6" x14ac:dyDescent="0.25">
      <c r="D51">
        <v>1070</v>
      </c>
      <c r="E51" t="s">
        <v>342</v>
      </c>
      <c r="F51" s="4">
        <f>HLOOKUP($E$4,'5. Bilan'!$F$3:$BF$226,46,0)</f>
        <v>5</v>
      </c>
    </row>
    <row r="52" spans="3:6" x14ac:dyDescent="0.25">
      <c r="D52">
        <v>1071</v>
      </c>
      <c r="E52" t="s">
        <v>343</v>
      </c>
      <c r="F52" s="4">
        <f>HLOOKUP($E$4,'5. Bilan'!$F$3:$BF$226,47,0)</f>
        <v>0</v>
      </c>
    </row>
    <row r="53" spans="3:6" x14ac:dyDescent="0.25">
      <c r="D53">
        <v>1072</v>
      </c>
      <c r="E53" t="s">
        <v>344</v>
      </c>
      <c r="F53" s="4">
        <f>HLOOKUP($E$4,'5. Bilan'!$F$3:$BF$226,48,0)</f>
        <v>0</v>
      </c>
    </row>
    <row r="54" spans="3:6" x14ac:dyDescent="0.25">
      <c r="D54">
        <v>1079</v>
      </c>
      <c r="E54" t="s">
        <v>345</v>
      </c>
      <c r="F54" s="4">
        <f>HLOOKUP($E$4,'5. Bilan'!$F$3:$BF$226,49,0)</f>
        <v>0</v>
      </c>
    </row>
    <row r="55" spans="3:6" x14ac:dyDescent="0.25">
      <c r="F55" s="4"/>
    </row>
    <row r="56" spans="3:6" x14ac:dyDescent="0.25">
      <c r="C56" s="56">
        <v>108</v>
      </c>
      <c r="D56" s="56"/>
      <c r="E56" s="56" t="s">
        <v>246</v>
      </c>
      <c r="F56" s="57">
        <f>SUM(F57:F62)</f>
        <v>895335</v>
      </c>
    </row>
    <row r="57" spans="3:6" x14ac:dyDescent="0.25">
      <c r="D57">
        <v>1080</v>
      </c>
      <c r="E57" t="s">
        <v>347</v>
      </c>
      <c r="F57" s="4">
        <f>HLOOKUP($E$4,'5. Bilan'!$F$3:$BF$226,52,0)</f>
        <v>185335</v>
      </c>
    </row>
    <row r="58" spans="3:6" x14ac:dyDescent="0.25">
      <c r="D58">
        <v>1084</v>
      </c>
      <c r="E58" t="s">
        <v>348</v>
      </c>
      <c r="F58" s="4">
        <f>HLOOKUP($E$4,'5. Bilan'!$F$3:$BF$226,53,0)</f>
        <v>710000</v>
      </c>
    </row>
    <row r="59" spans="3:6" x14ac:dyDescent="0.25">
      <c r="D59">
        <v>1086</v>
      </c>
      <c r="E59" t="s">
        <v>349</v>
      </c>
      <c r="F59" s="4">
        <f>HLOOKUP($E$4,'5. Bilan'!$F$3:$BF$226,54,0)</f>
        <v>0</v>
      </c>
    </row>
    <row r="60" spans="3:6" x14ac:dyDescent="0.25">
      <c r="D60">
        <v>1087</v>
      </c>
      <c r="E60" t="s">
        <v>350</v>
      </c>
      <c r="F60" s="4">
        <f>HLOOKUP($E$4,'5. Bilan'!$F$3:$BF$226,55,0)</f>
        <v>0</v>
      </c>
    </row>
    <row r="61" spans="3:6" x14ac:dyDescent="0.25">
      <c r="D61">
        <v>1088</v>
      </c>
      <c r="E61" t="s">
        <v>351</v>
      </c>
      <c r="F61" s="4">
        <f>HLOOKUP($E$4,'5. Bilan'!$F$3:$BF$226,56,0)</f>
        <v>0</v>
      </c>
    </row>
    <row r="62" spans="3:6" x14ac:dyDescent="0.25">
      <c r="D62">
        <v>1089</v>
      </c>
      <c r="E62" t="s">
        <v>352</v>
      </c>
      <c r="F62" s="4">
        <f>HLOOKUP($E$4,'5. Bilan'!$F$3:$BF$226,57,0)</f>
        <v>0</v>
      </c>
    </row>
    <row r="63" spans="3:6" x14ac:dyDescent="0.25">
      <c r="F63" s="4"/>
    </row>
    <row r="64" spans="3:6" x14ac:dyDescent="0.25">
      <c r="C64" s="56">
        <v>109</v>
      </c>
      <c r="D64" s="56"/>
      <c r="E64" s="56" t="s">
        <v>353</v>
      </c>
      <c r="F64" s="57">
        <f>SUM(F65:F68)</f>
        <v>0</v>
      </c>
    </row>
    <row r="65" spans="2:6" x14ac:dyDescent="0.25">
      <c r="D65">
        <v>1090</v>
      </c>
      <c r="E65" t="s">
        <v>353</v>
      </c>
      <c r="F65" s="4">
        <f>HLOOKUP($E$4,'5. Bilan'!$F$3:$BF$226,60,0)</f>
        <v>0</v>
      </c>
    </row>
    <row r="66" spans="2:6" x14ac:dyDescent="0.25">
      <c r="D66">
        <v>1091</v>
      </c>
      <c r="E66" t="s">
        <v>354</v>
      </c>
      <c r="F66" s="4">
        <f>HLOOKUP($E$4,'5. Bilan'!$F$3:$BF$226,61,0)</f>
        <v>0</v>
      </c>
    </row>
    <row r="67" spans="2:6" x14ac:dyDescent="0.25">
      <c r="D67">
        <v>1092</v>
      </c>
      <c r="E67" t="s">
        <v>355</v>
      </c>
      <c r="F67" s="4">
        <f>HLOOKUP($E$4,'5. Bilan'!$F$3:$BF$226,62,0)</f>
        <v>0</v>
      </c>
    </row>
    <row r="68" spans="2:6" x14ac:dyDescent="0.25">
      <c r="D68">
        <v>1093</v>
      </c>
      <c r="E68" t="s">
        <v>356</v>
      </c>
      <c r="F68" s="4">
        <f>HLOOKUP($E$4,'5. Bilan'!$F$3:$BF$226,63,0)</f>
        <v>0</v>
      </c>
    </row>
    <row r="69" spans="2:6" x14ac:dyDescent="0.25">
      <c r="F69" s="4"/>
    </row>
    <row r="70" spans="2:6" x14ac:dyDescent="0.25">
      <c r="B70" s="62">
        <v>14</v>
      </c>
      <c r="C70" s="62"/>
      <c r="D70" s="62"/>
      <c r="E70" s="62" t="s">
        <v>247</v>
      </c>
      <c r="F70" s="63">
        <f>HLOOKUP($E$4,'5. Bilan'!$F$3:$BF$226,65,0)</f>
        <v>3546507.7</v>
      </c>
    </row>
    <row r="71" spans="2:6" x14ac:dyDescent="0.25">
      <c r="C71" s="56">
        <v>140</v>
      </c>
      <c r="D71" s="56"/>
      <c r="E71" s="56" t="s">
        <v>249</v>
      </c>
      <c r="F71" s="57">
        <f>SUM(F72:F80)</f>
        <v>3487453</v>
      </c>
    </row>
    <row r="72" spans="2:6" x14ac:dyDescent="0.25">
      <c r="D72">
        <v>1400</v>
      </c>
      <c r="E72" t="s">
        <v>357</v>
      </c>
      <c r="F72" s="4">
        <f>HLOOKUP($E$4,'5. Bilan'!$F$3:$BF$226,67,0)</f>
        <v>163195</v>
      </c>
    </row>
    <row r="73" spans="2:6" x14ac:dyDescent="0.25">
      <c r="D73">
        <v>1401</v>
      </c>
      <c r="E73" t="s">
        <v>358</v>
      </c>
      <c r="F73" s="4">
        <f>HLOOKUP($E$4,'5. Bilan'!$F$3:$BF$226,68,0)</f>
        <v>674800</v>
      </c>
    </row>
    <row r="74" spans="2:6" x14ac:dyDescent="0.25">
      <c r="D74">
        <v>1402</v>
      </c>
      <c r="E74" t="s">
        <v>359</v>
      </c>
      <c r="F74" s="4">
        <f>HLOOKUP($E$4,'5. Bilan'!$F$3:$BF$226,69,0)</f>
        <v>69545</v>
      </c>
    </row>
    <row r="75" spans="2:6" x14ac:dyDescent="0.25">
      <c r="D75">
        <v>1403</v>
      </c>
      <c r="E75" t="s">
        <v>360</v>
      </c>
      <c r="F75" s="4">
        <f>HLOOKUP($E$4,'5. Bilan'!$F$3:$BF$226,70,0)</f>
        <v>244100</v>
      </c>
    </row>
    <row r="76" spans="2:6" x14ac:dyDescent="0.25">
      <c r="D76">
        <v>1404</v>
      </c>
      <c r="E76" t="s">
        <v>361</v>
      </c>
      <c r="F76" s="4">
        <f>HLOOKUP($E$4,'5. Bilan'!$F$3:$BF$226,71,0)</f>
        <v>1124800</v>
      </c>
    </row>
    <row r="77" spans="2:6" x14ac:dyDescent="0.25">
      <c r="D77">
        <v>1405</v>
      </c>
      <c r="E77" t="s">
        <v>362</v>
      </c>
      <c r="F77" s="4">
        <f>HLOOKUP($E$4,'5. Bilan'!$F$3:$BF$226,72,0)</f>
        <v>1211010</v>
      </c>
    </row>
    <row r="78" spans="2:6" x14ac:dyDescent="0.25">
      <c r="D78">
        <v>1406</v>
      </c>
      <c r="E78" t="s">
        <v>363</v>
      </c>
      <c r="F78" s="4">
        <f>HLOOKUP($E$4,'5. Bilan'!$F$3:$BF$226,73,0)</f>
        <v>3</v>
      </c>
    </row>
    <row r="79" spans="2:6" x14ac:dyDescent="0.25">
      <c r="D79">
        <v>1407</v>
      </c>
      <c r="E79" t="s">
        <v>364</v>
      </c>
      <c r="F79" s="4">
        <f>HLOOKUP($E$4,'5. Bilan'!$F$3:$BF$226,74,0)</f>
        <v>0</v>
      </c>
    </row>
    <row r="80" spans="2:6" x14ac:dyDescent="0.25">
      <c r="D80">
        <v>1409</v>
      </c>
      <c r="E80" t="s">
        <v>365</v>
      </c>
      <c r="F80" s="4">
        <f>HLOOKUP($E$4,'5. Bilan'!$F$3:$BF$226,75,0)</f>
        <v>0</v>
      </c>
    </row>
    <row r="81" spans="3:6" x14ac:dyDescent="0.25">
      <c r="F81" s="4"/>
    </row>
    <row r="82" spans="3:6" x14ac:dyDescent="0.25">
      <c r="C82" s="56">
        <v>142</v>
      </c>
      <c r="D82" s="56"/>
      <c r="E82" s="56" t="s">
        <v>581</v>
      </c>
      <c r="F82" s="57">
        <f>SUM(F83:F86)</f>
        <v>36554.699999999997</v>
      </c>
    </row>
    <row r="83" spans="3:6" x14ac:dyDescent="0.25">
      <c r="D83">
        <v>1420</v>
      </c>
      <c r="E83" t="s">
        <v>366</v>
      </c>
      <c r="F83" s="4">
        <f>HLOOKUP($E$4,'5. Bilan'!$F$3:$BF$226,78,0)</f>
        <v>0</v>
      </c>
    </row>
    <row r="84" spans="3:6" x14ac:dyDescent="0.25">
      <c r="D84">
        <v>1421</v>
      </c>
      <c r="E84" t="s">
        <v>367</v>
      </c>
      <c r="F84" s="4">
        <f>HLOOKUP($E$4,'5. Bilan'!$F$3:$BF$226,79,0)</f>
        <v>0</v>
      </c>
    </row>
    <row r="85" spans="3:6" x14ac:dyDescent="0.25">
      <c r="D85">
        <v>1427</v>
      </c>
      <c r="E85" t="s">
        <v>580</v>
      </c>
      <c r="F85" s="4">
        <f>HLOOKUP($E$4,'5. Bilan'!$F$3:$BF$226,80,0)</f>
        <v>36554.699999999997</v>
      </c>
    </row>
    <row r="86" spans="3:6" x14ac:dyDescent="0.25">
      <c r="D86">
        <v>1429</v>
      </c>
      <c r="E86" t="s">
        <v>465</v>
      </c>
      <c r="F86" s="4">
        <f>HLOOKUP($E$4,'5. Bilan'!$F$3:$BF$226,81,0)</f>
        <v>0</v>
      </c>
    </row>
    <row r="87" spans="3:6" x14ac:dyDescent="0.25">
      <c r="F87" s="4"/>
    </row>
    <row r="88" spans="3:6" x14ac:dyDescent="0.25">
      <c r="C88" s="56">
        <v>144</v>
      </c>
      <c r="D88" s="56"/>
      <c r="E88" s="56" t="s">
        <v>250</v>
      </c>
      <c r="F88" s="57">
        <f>SUM(F89:F97)</f>
        <v>22500</v>
      </c>
    </row>
    <row r="89" spans="3:6" x14ac:dyDescent="0.25">
      <c r="D89">
        <v>1440</v>
      </c>
      <c r="E89" t="s">
        <v>368</v>
      </c>
      <c r="F89" s="4">
        <f>HLOOKUP($E$4,'5. Bilan'!$F$3:$BF$226,84,0)</f>
        <v>0</v>
      </c>
    </row>
    <row r="90" spans="3:6" x14ac:dyDescent="0.25">
      <c r="D90">
        <v>1441</v>
      </c>
      <c r="E90" t="s">
        <v>370</v>
      </c>
      <c r="F90" s="4">
        <f>HLOOKUP($E$4,'5. Bilan'!$F$3:$BF$226,85,0)</f>
        <v>0</v>
      </c>
    </row>
    <row r="91" spans="3:6" x14ac:dyDescent="0.25">
      <c r="D91">
        <v>1442</v>
      </c>
      <c r="E91" t="s">
        <v>369</v>
      </c>
      <c r="F91" s="4">
        <f>HLOOKUP($E$4,'5. Bilan'!$F$3:$BF$226,86,0)</f>
        <v>22500</v>
      </c>
    </row>
    <row r="92" spans="3:6" x14ac:dyDescent="0.25">
      <c r="D92">
        <v>1443</v>
      </c>
      <c r="E92" t="s">
        <v>371</v>
      </c>
      <c r="F92" s="4">
        <f>HLOOKUP($E$4,'5. Bilan'!$F$3:$BF$226,87,0)</f>
        <v>0</v>
      </c>
    </row>
    <row r="93" spans="3:6" x14ac:dyDescent="0.25">
      <c r="D93">
        <v>1444</v>
      </c>
      <c r="E93" t="s">
        <v>372</v>
      </c>
      <c r="F93" s="4">
        <f>HLOOKUP($E$4,'5. Bilan'!$F$3:$BF$226,88,0)</f>
        <v>0</v>
      </c>
    </row>
    <row r="94" spans="3:6" x14ac:dyDescent="0.25">
      <c r="D94">
        <v>1445</v>
      </c>
      <c r="E94" t="s">
        <v>373</v>
      </c>
      <c r="F94" s="4">
        <f>HLOOKUP($E$4,'5. Bilan'!$F$3:$BF$226,89,0)</f>
        <v>0</v>
      </c>
    </row>
    <row r="95" spans="3:6" x14ac:dyDescent="0.25">
      <c r="D95">
        <v>1446</v>
      </c>
      <c r="E95" t="s">
        <v>374</v>
      </c>
      <c r="F95" s="4">
        <f>HLOOKUP($E$4,'5. Bilan'!$F$3:$BF$226,90,0)</f>
        <v>0</v>
      </c>
    </row>
    <row r="96" spans="3:6" x14ac:dyDescent="0.25">
      <c r="D96">
        <v>1447</v>
      </c>
      <c r="E96" t="s">
        <v>375</v>
      </c>
      <c r="F96" s="4">
        <f>HLOOKUP($E$4,'5. Bilan'!$F$3:$BF$226,91,0)</f>
        <v>0</v>
      </c>
    </row>
    <row r="97" spans="3:6" x14ac:dyDescent="0.25">
      <c r="D97">
        <v>1448</v>
      </c>
      <c r="E97" t="s">
        <v>376</v>
      </c>
      <c r="F97" s="4">
        <f>HLOOKUP($E$4,'5. Bilan'!$F$3:$BF$226,92,0)</f>
        <v>0</v>
      </c>
    </row>
    <row r="98" spans="3:6" x14ac:dyDescent="0.25">
      <c r="F98" s="4"/>
    </row>
    <row r="99" spans="3:6" x14ac:dyDescent="0.25">
      <c r="C99" s="56">
        <v>145</v>
      </c>
      <c r="D99" s="56"/>
      <c r="E99" s="56" t="s">
        <v>379</v>
      </c>
      <c r="F99" s="57">
        <f>SUM(F100:F108)</f>
        <v>0</v>
      </c>
    </row>
    <row r="100" spans="3:6" x14ac:dyDescent="0.25">
      <c r="D100">
        <v>1450</v>
      </c>
      <c r="E100" t="s">
        <v>378</v>
      </c>
      <c r="F100" s="4">
        <f>HLOOKUP($E$4,'5. Bilan'!$F$3:$BF$226,95,0)</f>
        <v>0</v>
      </c>
    </row>
    <row r="101" spans="3:6" x14ac:dyDescent="0.25">
      <c r="D101">
        <v>1451</v>
      </c>
      <c r="E101" t="s">
        <v>377</v>
      </c>
      <c r="F101" s="4">
        <f>HLOOKUP($E$4,'5. Bilan'!$F$3:$BF$226,96,0)</f>
        <v>0</v>
      </c>
    </row>
    <row r="102" spans="3:6" x14ac:dyDescent="0.25">
      <c r="D102">
        <v>1452</v>
      </c>
      <c r="E102" t="s">
        <v>380</v>
      </c>
      <c r="F102" s="4">
        <f>HLOOKUP($E$4,'5. Bilan'!$F$3:$BF$226,97,0)</f>
        <v>0</v>
      </c>
    </row>
    <row r="103" spans="3:6" x14ac:dyDescent="0.25">
      <c r="D103">
        <v>1453</v>
      </c>
      <c r="E103" t="s">
        <v>381</v>
      </c>
      <c r="F103" s="4">
        <f>HLOOKUP($E$4,'5. Bilan'!$F$3:$BF$226,98,0)</f>
        <v>0</v>
      </c>
    </row>
    <row r="104" spans="3:6" x14ac:dyDescent="0.25">
      <c r="D104">
        <v>1454</v>
      </c>
      <c r="E104" t="s">
        <v>382</v>
      </c>
      <c r="F104" s="4">
        <f>HLOOKUP($E$4,'5. Bilan'!$F$3:$BF$226,99,0)</f>
        <v>0</v>
      </c>
    </row>
    <row r="105" spans="3:6" x14ac:dyDescent="0.25">
      <c r="D105">
        <v>1455</v>
      </c>
      <c r="E105" t="s">
        <v>383</v>
      </c>
      <c r="F105" s="4">
        <f>HLOOKUP($E$4,'5. Bilan'!$F$3:$BF$226,100,0)</f>
        <v>0</v>
      </c>
    </row>
    <row r="106" spans="3:6" x14ac:dyDescent="0.25">
      <c r="D106">
        <v>1456</v>
      </c>
      <c r="E106" t="s">
        <v>384</v>
      </c>
      <c r="F106" s="4">
        <f>HLOOKUP($E$4,'5. Bilan'!$F$3:$BF$226,101,0)</f>
        <v>0</v>
      </c>
    </row>
    <row r="107" spans="3:6" x14ac:dyDescent="0.25">
      <c r="D107">
        <v>1457</v>
      </c>
      <c r="E107" t="s">
        <v>385</v>
      </c>
      <c r="F107" s="4">
        <f>HLOOKUP($E$4,'5. Bilan'!$F$3:$BF$226,102,0)</f>
        <v>0</v>
      </c>
    </row>
    <row r="108" spans="3:6" x14ac:dyDescent="0.25">
      <c r="D108">
        <v>1458</v>
      </c>
      <c r="E108" t="s">
        <v>386</v>
      </c>
      <c r="F108" s="4">
        <f>HLOOKUP($E$4,'5. Bilan'!$F$3:$BF$226,103,0)</f>
        <v>0</v>
      </c>
    </row>
    <row r="109" spans="3:6" x14ac:dyDescent="0.25">
      <c r="F109" s="4"/>
    </row>
    <row r="110" spans="3:6" x14ac:dyDescent="0.25">
      <c r="C110" s="56">
        <v>146</v>
      </c>
      <c r="D110" s="56"/>
      <c r="E110" s="56" t="s">
        <v>397</v>
      </c>
      <c r="F110" s="57">
        <f>SUM(F111:F120)</f>
        <v>0</v>
      </c>
    </row>
    <row r="111" spans="3:6" x14ac:dyDescent="0.25">
      <c r="D111">
        <v>1460</v>
      </c>
      <c r="E111" t="s">
        <v>394</v>
      </c>
      <c r="F111" s="4">
        <f>HLOOKUP($E$4,'5. Bilan'!$F$3:$BF$226,106,0)</f>
        <v>0</v>
      </c>
    </row>
    <row r="112" spans="3:6" x14ac:dyDescent="0.25">
      <c r="D112">
        <v>1461</v>
      </c>
      <c r="E112" t="s">
        <v>395</v>
      </c>
      <c r="F112" s="4">
        <f>HLOOKUP($E$4,'5. Bilan'!$F$3:$BF$226,107,0)</f>
        <v>0</v>
      </c>
    </row>
    <row r="113" spans="1:6" x14ac:dyDescent="0.25">
      <c r="D113">
        <v>1462</v>
      </c>
      <c r="E113" t="s">
        <v>387</v>
      </c>
      <c r="F113" s="4">
        <f>HLOOKUP($E$4,'5. Bilan'!$F$3:$BF$226,108,0)</f>
        <v>0</v>
      </c>
    </row>
    <row r="114" spans="1:6" x14ac:dyDescent="0.25">
      <c r="D114">
        <v>1463</v>
      </c>
      <c r="E114" t="s">
        <v>388</v>
      </c>
      <c r="F114" s="4">
        <f>HLOOKUP($E$4,'5. Bilan'!$F$3:$BF$226,109,0)</f>
        <v>0</v>
      </c>
    </row>
    <row r="115" spans="1:6" x14ac:dyDescent="0.25">
      <c r="D115">
        <v>1464</v>
      </c>
      <c r="E115" t="s">
        <v>389</v>
      </c>
      <c r="F115" s="4">
        <f>HLOOKUP($E$4,'5. Bilan'!$F$3:$BF$226,110,0)</f>
        <v>0</v>
      </c>
    </row>
    <row r="116" spans="1:6" x14ac:dyDescent="0.25">
      <c r="D116">
        <v>1465</v>
      </c>
      <c r="E116" t="s">
        <v>390</v>
      </c>
      <c r="F116" s="4">
        <f>HLOOKUP($E$4,'5. Bilan'!$F$3:$BF$226,111,0)</f>
        <v>0</v>
      </c>
    </row>
    <row r="117" spans="1:6" x14ac:dyDescent="0.25">
      <c r="D117">
        <v>1466</v>
      </c>
      <c r="E117" t="s">
        <v>396</v>
      </c>
      <c r="F117" s="4">
        <f>HLOOKUP($E$4,'5. Bilan'!$F$3:$BF$226,112,0)</f>
        <v>0</v>
      </c>
    </row>
    <row r="118" spans="1:6" x14ac:dyDescent="0.25">
      <c r="D118">
        <v>1467</v>
      </c>
      <c r="E118" t="s">
        <v>391</v>
      </c>
      <c r="F118" s="4">
        <f>HLOOKUP($E$4,'5. Bilan'!$F$3:$BF$226,113,0)</f>
        <v>0</v>
      </c>
    </row>
    <row r="119" spans="1:6" x14ac:dyDescent="0.25">
      <c r="D119">
        <v>1468</v>
      </c>
      <c r="E119" t="s">
        <v>392</v>
      </c>
      <c r="F119" s="4">
        <f>HLOOKUP($E$4,'5. Bilan'!$F$3:$BF$226,114,0)</f>
        <v>0</v>
      </c>
    </row>
    <row r="120" spans="1:6" x14ac:dyDescent="0.25">
      <c r="D120">
        <v>1469</v>
      </c>
      <c r="E120" t="s">
        <v>393</v>
      </c>
      <c r="F120" s="4">
        <f>HLOOKUP($E$4,'5. Bilan'!$F$3:$BF$226,115,0)</f>
        <v>0</v>
      </c>
    </row>
    <row r="121" spans="1:6" x14ac:dyDescent="0.25">
      <c r="F121" s="4"/>
    </row>
    <row r="122" spans="1:6" x14ac:dyDescent="0.25">
      <c r="F122" s="4"/>
    </row>
    <row r="123" spans="1:6" ht="21" x14ac:dyDescent="0.35">
      <c r="A123" s="64">
        <v>2</v>
      </c>
      <c r="B123" s="64"/>
      <c r="C123" s="64"/>
      <c r="D123" s="64"/>
      <c r="E123" s="64" t="s">
        <v>251</v>
      </c>
      <c r="F123" s="144">
        <f>HLOOKUP($E$4,'5. Bilan'!$F$3:$BF$226,118,0)</f>
        <v>5851353.3699999992</v>
      </c>
    </row>
    <row r="124" spans="1:6" x14ac:dyDescent="0.25">
      <c r="A124" s="7"/>
      <c r="B124" s="68">
        <v>20</v>
      </c>
      <c r="C124" s="68"/>
      <c r="D124" s="68"/>
      <c r="E124" s="68" t="s">
        <v>252</v>
      </c>
      <c r="F124" s="69">
        <f>HLOOKUP($E$4,'5. Bilan'!$F$3:$BF$226,119,0)</f>
        <v>4285692.38</v>
      </c>
    </row>
    <row r="125" spans="1:6" x14ac:dyDescent="0.25">
      <c r="C125" s="66">
        <v>200</v>
      </c>
      <c r="D125" s="66"/>
      <c r="E125" s="66" t="s">
        <v>253</v>
      </c>
      <c r="F125" s="67">
        <f>SUM(F126:F133)</f>
        <v>275797.32999999996</v>
      </c>
    </row>
    <row r="126" spans="1:6" x14ac:dyDescent="0.25">
      <c r="D126">
        <v>2000</v>
      </c>
      <c r="E126" t="s">
        <v>398</v>
      </c>
      <c r="F126" s="4">
        <f>HLOOKUP($E$4,'5. Bilan'!$F$3:$BF$226,121,0)</f>
        <v>79105.850000000006</v>
      </c>
    </row>
    <row r="127" spans="1:6" x14ac:dyDescent="0.25">
      <c r="D127">
        <v>2001</v>
      </c>
      <c r="E127" t="s">
        <v>399</v>
      </c>
      <c r="F127" s="4">
        <f>HLOOKUP($E$4,'5. Bilan'!$F$3:$BF$226,122,0)</f>
        <v>0</v>
      </c>
    </row>
    <row r="128" spans="1:6" x14ac:dyDescent="0.25">
      <c r="D128">
        <v>2002</v>
      </c>
      <c r="E128" t="s">
        <v>400</v>
      </c>
      <c r="F128" s="4">
        <f>HLOOKUP($E$4,'5. Bilan'!$F$3:$BF$226,123,0)</f>
        <v>5283.43</v>
      </c>
    </row>
    <row r="129" spans="3:6" x14ac:dyDescent="0.25">
      <c r="D129">
        <v>2003</v>
      </c>
      <c r="E129" t="s">
        <v>401</v>
      </c>
      <c r="F129" s="4">
        <f>HLOOKUP($E$4,'5. Bilan'!$F$3:$BF$226,124,0)</f>
        <v>0</v>
      </c>
    </row>
    <row r="130" spans="3:6" x14ac:dyDescent="0.25">
      <c r="D130">
        <v>2004</v>
      </c>
      <c r="E130" t="s">
        <v>402</v>
      </c>
      <c r="F130" s="4">
        <f>HLOOKUP($E$4,'5. Bilan'!$F$3:$BF$226,125,0)</f>
        <v>0</v>
      </c>
    </row>
    <row r="131" spans="3:6" x14ac:dyDescent="0.25">
      <c r="D131">
        <v>2005</v>
      </c>
      <c r="E131" t="s">
        <v>323</v>
      </c>
      <c r="F131" s="4">
        <f>HLOOKUP($E$4,'5. Bilan'!$F$3:$BF$226,126,0)</f>
        <v>191408.05</v>
      </c>
    </row>
    <row r="132" spans="3:6" x14ac:dyDescent="0.25">
      <c r="D132">
        <v>2006</v>
      </c>
      <c r="E132" t="s">
        <v>447</v>
      </c>
      <c r="F132" s="4">
        <f>HLOOKUP($E$4,'5. Bilan'!$F$3:$BF$226,127,0)</f>
        <v>0</v>
      </c>
    </row>
    <row r="133" spans="3:6" x14ac:dyDescent="0.25">
      <c r="D133">
        <v>2009</v>
      </c>
      <c r="E133" t="s">
        <v>404</v>
      </c>
      <c r="F133" s="4">
        <f>HLOOKUP($E$4,'5. Bilan'!$F$3:$BF$226,128,0)</f>
        <v>0</v>
      </c>
    </row>
    <row r="134" spans="3:6" x14ac:dyDescent="0.25">
      <c r="F134" s="4"/>
    </row>
    <row r="135" spans="3:6" x14ac:dyDescent="0.25">
      <c r="C135" s="66">
        <v>201</v>
      </c>
      <c r="D135" s="66"/>
      <c r="E135" s="66" t="s">
        <v>254</v>
      </c>
      <c r="F135" s="67">
        <f>SUM(F136:F143)</f>
        <v>185450.16</v>
      </c>
    </row>
    <row r="136" spans="3:6" x14ac:dyDescent="0.25">
      <c r="D136">
        <v>2010</v>
      </c>
      <c r="E136" t="s">
        <v>405</v>
      </c>
      <c r="F136" s="4">
        <f>HLOOKUP($E$4,'5. Bilan'!$F$3:$BF$226,131,0)</f>
        <v>37365.160000000003</v>
      </c>
    </row>
    <row r="137" spans="3:6" x14ac:dyDescent="0.25">
      <c r="D137">
        <v>2011</v>
      </c>
      <c r="E137" t="s">
        <v>406</v>
      </c>
      <c r="F137" s="4">
        <f>HLOOKUP($E$4,'5. Bilan'!$F$3:$BF$226,132,0)</f>
        <v>0</v>
      </c>
    </row>
    <row r="138" spans="3:6" x14ac:dyDescent="0.25">
      <c r="D138">
        <v>2012</v>
      </c>
      <c r="E138" t="s">
        <v>407</v>
      </c>
      <c r="F138" s="4">
        <f>HLOOKUP($E$4,'5. Bilan'!$F$3:$BF$226,133,0)</f>
        <v>0</v>
      </c>
    </row>
    <row r="139" spans="3:6" x14ac:dyDescent="0.25">
      <c r="D139">
        <v>2013</v>
      </c>
      <c r="E139" t="s">
        <v>408</v>
      </c>
      <c r="F139" s="4">
        <f>HLOOKUP($E$4,'5. Bilan'!$F$3:$BF$226,134,0)</f>
        <v>0</v>
      </c>
    </row>
    <row r="140" spans="3:6" x14ac:dyDescent="0.25">
      <c r="D140">
        <v>2014</v>
      </c>
      <c r="E140" t="s">
        <v>410</v>
      </c>
      <c r="F140" s="4">
        <f>HLOOKUP($E$4,'5. Bilan'!$F$3:$BF$226,135,0)</f>
        <v>148085</v>
      </c>
    </row>
    <row r="141" spans="3:6" x14ac:dyDescent="0.25">
      <c r="D141">
        <v>2015</v>
      </c>
      <c r="E141" t="s">
        <v>409</v>
      </c>
      <c r="F141" s="4">
        <f>HLOOKUP($E$4,'5. Bilan'!$F$3:$BF$226,136,0)</f>
        <v>0</v>
      </c>
    </row>
    <row r="142" spans="3:6" x14ac:dyDescent="0.25">
      <c r="D142">
        <v>2016</v>
      </c>
      <c r="E142" t="s">
        <v>269</v>
      </c>
      <c r="F142" s="4">
        <f>HLOOKUP($E$4,'5. Bilan'!$F$3:$BF$226,137,0)</f>
        <v>0</v>
      </c>
    </row>
    <row r="143" spans="3:6" x14ac:dyDescent="0.25">
      <c r="D143">
        <v>2019</v>
      </c>
      <c r="E143" t="s">
        <v>411</v>
      </c>
      <c r="F143" s="4">
        <f>HLOOKUP($E$4,'5. Bilan'!$F$3:$BF$226,138,0)</f>
        <v>0</v>
      </c>
    </row>
    <row r="144" spans="3:6" x14ac:dyDescent="0.25">
      <c r="F144" s="4"/>
    </row>
    <row r="145" spans="3:6" x14ac:dyDescent="0.25">
      <c r="C145" s="66">
        <v>204</v>
      </c>
      <c r="D145" s="66"/>
      <c r="E145" s="66" t="s">
        <v>255</v>
      </c>
      <c r="F145" s="67">
        <f>SUM(F146:F153)</f>
        <v>244666.74</v>
      </c>
    </row>
    <row r="146" spans="3:6" x14ac:dyDescent="0.25">
      <c r="D146">
        <v>2040</v>
      </c>
      <c r="E146" t="s">
        <v>61</v>
      </c>
      <c r="F146" s="4">
        <f>HLOOKUP($E$4,'5. Bilan'!$F$3:$BF$226,141,0)</f>
        <v>0</v>
      </c>
    </row>
    <row r="147" spans="3:6" x14ac:dyDescent="0.25">
      <c r="D147">
        <v>2041</v>
      </c>
      <c r="E147" t="s">
        <v>277</v>
      </c>
      <c r="F147" s="4">
        <f>HLOOKUP($E$4,'5. Bilan'!$F$3:$BF$226,142,0)</f>
        <v>3248.9</v>
      </c>
    </row>
    <row r="148" spans="3:6" x14ac:dyDescent="0.25">
      <c r="D148">
        <v>2042</v>
      </c>
      <c r="E148" t="s">
        <v>331</v>
      </c>
      <c r="F148" s="4">
        <f>HLOOKUP($E$4,'5. Bilan'!$F$3:$BF$226,143,0)</f>
        <v>0</v>
      </c>
    </row>
    <row r="149" spans="3:6" x14ac:dyDescent="0.25">
      <c r="D149">
        <v>2043</v>
      </c>
      <c r="E149" t="s">
        <v>332</v>
      </c>
      <c r="F149" s="4">
        <f>HLOOKUP($E$4,'5. Bilan'!$F$3:$BF$226,144,0)</f>
        <v>241417.84</v>
      </c>
    </row>
    <row r="150" spans="3:6" x14ac:dyDescent="0.25">
      <c r="D150">
        <v>2044</v>
      </c>
      <c r="E150" t="s">
        <v>412</v>
      </c>
      <c r="F150" s="4">
        <f>HLOOKUP($E$4,'5. Bilan'!$F$3:$BF$226,145,0)</f>
        <v>0</v>
      </c>
    </row>
    <row r="151" spans="3:6" x14ac:dyDescent="0.25">
      <c r="D151">
        <v>2045</v>
      </c>
      <c r="E151" t="s">
        <v>334</v>
      </c>
      <c r="F151" s="4">
        <f>HLOOKUP($E$4,'5. Bilan'!$F$3:$BF$226,146,0)</f>
        <v>0</v>
      </c>
    </row>
    <row r="152" spans="3:6" x14ac:dyDescent="0.25">
      <c r="D152">
        <v>2046</v>
      </c>
      <c r="E152" t="s">
        <v>413</v>
      </c>
      <c r="F152" s="4">
        <f>HLOOKUP($E$4,'5. Bilan'!$F$3:$BF$226,147,0)</f>
        <v>0</v>
      </c>
    </row>
    <row r="153" spans="3:6" x14ac:dyDescent="0.25">
      <c r="D153">
        <v>2049</v>
      </c>
      <c r="E153" t="s">
        <v>414</v>
      </c>
      <c r="F153" s="4">
        <f>HLOOKUP($E$4,'5. Bilan'!$F$3:$BF$226,148,0)</f>
        <v>0</v>
      </c>
    </row>
    <row r="154" spans="3:6" x14ac:dyDescent="0.25">
      <c r="F154" s="4"/>
    </row>
    <row r="155" spans="3:6" x14ac:dyDescent="0.25">
      <c r="C155" s="66">
        <v>205</v>
      </c>
      <c r="D155" s="66"/>
      <c r="E155" s="66" t="s">
        <v>256</v>
      </c>
      <c r="F155" s="67">
        <f>SUM(F156:F165)</f>
        <v>0</v>
      </c>
    </row>
    <row r="156" spans="3:6" x14ac:dyDescent="0.25">
      <c r="D156">
        <v>2050</v>
      </c>
      <c r="E156" t="s">
        <v>415</v>
      </c>
      <c r="F156" s="4">
        <f>HLOOKUP($E$4,'5. Bilan'!$F$3:$BF$226,151,0)</f>
        <v>0</v>
      </c>
    </row>
    <row r="157" spans="3:6" x14ac:dyDescent="0.25">
      <c r="D157">
        <v>2051</v>
      </c>
      <c r="E157" t="s">
        <v>416</v>
      </c>
      <c r="F157" s="4">
        <f>HLOOKUP($E$4,'5. Bilan'!$F$3:$BF$226,152,0)</f>
        <v>0</v>
      </c>
    </row>
    <row r="158" spans="3:6" x14ac:dyDescent="0.25">
      <c r="D158">
        <v>2052</v>
      </c>
      <c r="E158" t="s">
        <v>417</v>
      </c>
      <c r="F158" s="4">
        <f>HLOOKUP($E$4,'5. Bilan'!$F$3:$BF$226,153,0)</f>
        <v>0</v>
      </c>
    </row>
    <row r="159" spans="3:6" x14ac:dyDescent="0.25">
      <c r="D159">
        <v>2053</v>
      </c>
      <c r="E159" t="s">
        <v>421</v>
      </c>
      <c r="F159" s="4">
        <f>HLOOKUP($E$4,'5. Bilan'!$F$3:$BF$226,154,0)</f>
        <v>0</v>
      </c>
    </row>
    <row r="160" spans="3:6" x14ac:dyDescent="0.25">
      <c r="D160">
        <v>2054</v>
      </c>
      <c r="E160" t="s">
        <v>419</v>
      </c>
      <c r="F160" s="4">
        <f>HLOOKUP($E$4,'5. Bilan'!$F$3:$BF$226,155,0)</f>
        <v>0</v>
      </c>
    </row>
    <row r="161" spans="3:6" x14ac:dyDescent="0.25">
      <c r="D161">
        <v>2055</v>
      </c>
      <c r="E161" t="s">
        <v>418</v>
      </c>
      <c r="F161" s="4">
        <f>HLOOKUP($E$4,'5. Bilan'!$F$3:$BF$226,156,0)</f>
        <v>0</v>
      </c>
    </row>
    <row r="162" spans="3:6" x14ac:dyDescent="0.25">
      <c r="D162">
        <v>2056</v>
      </c>
      <c r="E162" t="s">
        <v>420</v>
      </c>
      <c r="F162" s="4">
        <f>HLOOKUP($E$4,'5. Bilan'!$F$3:$BF$226,157,0)</f>
        <v>0</v>
      </c>
    </row>
    <row r="163" spans="3:6" x14ac:dyDescent="0.25">
      <c r="D163">
        <v>2057</v>
      </c>
      <c r="E163" t="s">
        <v>422</v>
      </c>
      <c r="F163" s="4">
        <f>HLOOKUP($E$4,'5. Bilan'!$F$3:$BF$226,158,0)</f>
        <v>0</v>
      </c>
    </row>
    <row r="164" spans="3:6" x14ac:dyDescent="0.25">
      <c r="D164">
        <v>2058</v>
      </c>
      <c r="E164" t="s">
        <v>423</v>
      </c>
      <c r="F164" s="4">
        <f>HLOOKUP($E$4,'5. Bilan'!$F$3:$BF$226,159,0)</f>
        <v>0</v>
      </c>
    </row>
    <row r="165" spans="3:6" x14ac:dyDescent="0.25">
      <c r="D165">
        <v>2059</v>
      </c>
      <c r="E165" t="s">
        <v>424</v>
      </c>
      <c r="F165" s="4">
        <f>HLOOKUP($E$4,'5. Bilan'!$F$3:$BF$226,160,0)</f>
        <v>0</v>
      </c>
    </row>
    <row r="166" spans="3:6" x14ac:dyDescent="0.25">
      <c r="F166" s="4"/>
    </row>
    <row r="167" spans="3:6" x14ac:dyDescent="0.25">
      <c r="C167" s="66">
        <v>206</v>
      </c>
      <c r="D167" s="66"/>
      <c r="E167" s="66" t="s">
        <v>257</v>
      </c>
      <c r="F167" s="67">
        <f>SUM(F168:F173)</f>
        <v>3579778.15</v>
      </c>
    </row>
    <row r="168" spans="3:6" x14ac:dyDescent="0.25">
      <c r="D168">
        <v>2060</v>
      </c>
      <c r="E168" t="s">
        <v>425</v>
      </c>
      <c r="F168" s="4">
        <f>HLOOKUP($E$4,'5. Bilan'!$F$3:$BF$226,163,0)</f>
        <v>0</v>
      </c>
    </row>
    <row r="169" spans="3:6" x14ac:dyDescent="0.25">
      <c r="D169">
        <v>2062</v>
      </c>
      <c r="E169" t="s">
        <v>426</v>
      </c>
      <c r="F169" s="4">
        <f>HLOOKUP($E$4,'5. Bilan'!$F$3:$BF$226,164,0)</f>
        <v>0</v>
      </c>
    </row>
    <row r="170" spans="3:6" x14ac:dyDescent="0.25">
      <c r="D170">
        <v>2063</v>
      </c>
      <c r="E170" t="s">
        <v>427</v>
      </c>
      <c r="F170" s="4">
        <f>HLOOKUP($E$4,'5. Bilan'!$F$3:$BF$226,165,0)</f>
        <v>3579778.15</v>
      </c>
    </row>
    <row r="171" spans="3:6" x14ac:dyDescent="0.25">
      <c r="D171">
        <v>2064</v>
      </c>
      <c r="E171" t="s">
        <v>448</v>
      </c>
      <c r="F171" s="4">
        <f>HLOOKUP($E$4,'5. Bilan'!$F$3:$BF$226,166,0)</f>
        <v>0</v>
      </c>
    </row>
    <row r="172" spans="3:6" x14ac:dyDescent="0.25">
      <c r="D172">
        <v>2067</v>
      </c>
      <c r="E172" t="s">
        <v>429</v>
      </c>
      <c r="F172" s="4">
        <f>HLOOKUP($E$4,'5. Bilan'!$F$3:$BF$226,167,0)</f>
        <v>0</v>
      </c>
    </row>
    <row r="173" spans="3:6" x14ac:dyDescent="0.25">
      <c r="D173">
        <v>2069</v>
      </c>
      <c r="E173" t="s">
        <v>430</v>
      </c>
      <c r="F173" s="4">
        <f>HLOOKUP($E$4,'5. Bilan'!$F$3:$BF$226,168,0)</f>
        <v>0</v>
      </c>
    </row>
    <row r="174" spans="3:6" x14ac:dyDescent="0.25">
      <c r="F174" s="4"/>
    </row>
    <row r="175" spans="3:6" x14ac:dyDescent="0.25">
      <c r="C175" s="66">
        <v>208</v>
      </c>
      <c r="D175" s="66"/>
      <c r="E175" s="66" t="s">
        <v>258</v>
      </c>
      <c r="F175" s="67">
        <f>SUM(F176:F184)</f>
        <v>0</v>
      </c>
    </row>
    <row r="176" spans="3:6" x14ac:dyDescent="0.25">
      <c r="D176">
        <v>2081</v>
      </c>
      <c r="E176" t="s">
        <v>431</v>
      </c>
      <c r="F176" s="4">
        <f>HLOOKUP($E$4,'5. Bilan'!$F$3:$BF$226,171,0)</f>
        <v>0</v>
      </c>
    </row>
    <row r="177" spans="2:6" x14ac:dyDescent="0.25">
      <c r="D177">
        <v>2082</v>
      </c>
      <c r="E177" t="s">
        <v>432</v>
      </c>
      <c r="F177" s="4">
        <f>HLOOKUP($E$4,'5. Bilan'!$F$3:$BF$226,172,0)</f>
        <v>0</v>
      </c>
    </row>
    <row r="178" spans="2:6" x14ac:dyDescent="0.25">
      <c r="D178">
        <v>2083</v>
      </c>
      <c r="E178" t="s">
        <v>433</v>
      </c>
      <c r="F178" s="4">
        <f>HLOOKUP($E$4,'5. Bilan'!$F$3:$BF$226,173,0)</f>
        <v>0</v>
      </c>
    </row>
    <row r="179" spans="2:6" x14ac:dyDescent="0.25">
      <c r="D179">
        <v>2084</v>
      </c>
      <c r="E179" t="s">
        <v>434</v>
      </c>
      <c r="F179" s="4">
        <f>HLOOKUP($E$4,'5. Bilan'!$F$3:$BF$226,174,0)</f>
        <v>0</v>
      </c>
    </row>
    <row r="180" spans="2:6" x14ac:dyDescent="0.25">
      <c r="D180">
        <v>2085</v>
      </c>
      <c r="E180" t="s">
        <v>436</v>
      </c>
      <c r="F180" s="4">
        <f>HLOOKUP($E$4,'5. Bilan'!$F$3:$BF$226,175,0)</f>
        <v>0</v>
      </c>
    </row>
    <row r="181" spans="2:6" x14ac:dyDescent="0.25">
      <c r="D181">
        <v>2086</v>
      </c>
      <c r="E181" t="s">
        <v>435</v>
      </c>
      <c r="F181" s="4">
        <f>HLOOKUP($E$4,'5. Bilan'!$F$3:$BF$226,176,0)</f>
        <v>0</v>
      </c>
    </row>
    <row r="182" spans="2:6" x14ac:dyDescent="0.25">
      <c r="D182">
        <v>2087</v>
      </c>
      <c r="E182" t="s">
        <v>437</v>
      </c>
      <c r="F182" s="4">
        <f>HLOOKUP($E$4,'5. Bilan'!$F$3:$BF$226,177,0)</f>
        <v>0</v>
      </c>
    </row>
    <row r="183" spans="2:6" x14ac:dyDescent="0.25">
      <c r="D183">
        <v>2088</v>
      </c>
      <c r="E183" t="s">
        <v>438</v>
      </c>
      <c r="F183" s="4">
        <f>HLOOKUP($E$4,'5. Bilan'!$F$3:$BF$226,178,0)</f>
        <v>0</v>
      </c>
    </row>
    <row r="184" spans="2:6" x14ac:dyDescent="0.25">
      <c r="D184">
        <v>2089</v>
      </c>
      <c r="E184" t="s">
        <v>439</v>
      </c>
      <c r="F184" s="4">
        <f>HLOOKUP($E$4,'5. Bilan'!$F$3:$BF$226,179,0)</f>
        <v>0</v>
      </c>
    </row>
    <row r="185" spans="2:6" x14ac:dyDescent="0.25">
      <c r="F185" s="4"/>
    </row>
    <row r="186" spans="2:6" x14ac:dyDescent="0.25">
      <c r="C186" s="66">
        <v>209</v>
      </c>
      <c r="D186" s="66"/>
      <c r="E186" s="66" t="s">
        <v>259</v>
      </c>
      <c r="F186" s="67">
        <f>SUM(F187:F190)</f>
        <v>0</v>
      </c>
    </row>
    <row r="187" spans="2:6" x14ac:dyDescent="0.25">
      <c r="D187">
        <v>2090</v>
      </c>
      <c r="E187" t="s">
        <v>259</v>
      </c>
      <c r="F187" s="4">
        <f>HLOOKUP($E$4,'5. Bilan'!$F$3:$BF$226,182,0)</f>
        <v>0</v>
      </c>
    </row>
    <row r="188" spans="2:6" x14ac:dyDescent="0.25">
      <c r="D188">
        <v>2091</v>
      </c>
      <c r="E188" t="s">
        <v>440</v>
      </c>
      <c r="F188" s="4">
        <f>HLOOKUP($E$4,'5. Bilan'!$F$3:$BF$226,183,0)</f>
        <v>0</v>
      </c>
    </row>
    <row r="189" spans="2:6" x14ac:dyDescent="0.25">
      <c r="D189">
        <v>2092</v>
      </c>
      <c r="E189" t="s">
        <v>441</v>
      </c>
      <c r="F189" s="4">
        <f>HLOOKUP($E$4,'5. Bilan'!$F$3:$BF$226,184,0)</f>
        <v>0</v>
      </c>
    </row>
    <row r="190" spans="2:6" x14ac:dyDescent="0.25">
      <c r="D190">
        <v>2093</v>
      </c>
      <c r="E190" t="s">
        <v>442</v>
      </c>
      <c r="F190" s="4">
        <f>HLOOKUP($E$4,'5. Bilan'!$F$3:$BF$226,185,0)</f>
        <v>0</v>
      </c>
    </row>
    <row r="191" spans="2:6" x14ac:dyDescent="0.25">
      <c r="F191" s="4"/>
    </row>
    <row r="192" spans="2:6" x14ac:dyDescent="0.25">
      <c r="B192" s="68">
        <v>29</v>
      </c>
      <c r="C192" s="68"/>
      <c r="D192" s="68"/>
      <c r="E192" s="68" t="s">
        <v>260</v>
      </c>
      <c r="F192" s="69">
        <f>HLOOKUP($E$4,'5. Bilan'!$F$3:$BF$226,187,0)</f>
        <v>1565660.9900000002</v>
      </c>
    </row>
    <row r="193" spans="3:6" x14ac:dyDescent="0.25">
      <c r="C193" s="66">
        <v>290</v>
      </c>
      <c r="D193" s="66"/>
      <c r="E193" s="66" t="s">
        <v>261</v>
      </c>
      <c r="F193" s="67">
        <f>SUM(F194)</f>
        <v>820358.56</v>
      </c>
    </row>
    <row r="194" spans="3:6" x14ac:dyDescent="0.25">
      <c r="D194">
        <v>2900</v>
      </c>
      <c r="E194" t="s">
        <v>261</v>
      </c>
      <c r="F194" s="4">
        <f>HLOOKUP($E$4,'5. Bilan'!$F$3:$BF$226,189,0)</f>
        <v>820358.56</v>
      </c>
    </row>
    <row r="195" spans="3:6" x14ac:dyDescent="0.25">
      <c r="F195" s="4"/>
    </row>
    <row r="196" spans="3:6" x14ac:dyDescent="0.25">
      <c r="C196" s="66">
        <v>291</v>
      </c>
      <c r="D196" s="66"/>
      <c r="E196" s="66" t="s">
        <v>262</v>
      </c>
      <c r="F196" s="67">
        <f>SUM(F197:F198)</f>
        <v>0</v>
      </c>
    </row>
    <row r="197" spans="3:6" x14ac:dyDescent="0.25">
      <c r="D197">
        <v>2910</v>
      </c>
      <c r="E197" t="s">
        <v>262</v>
      </c>
      <c r="F197" s="4">
        <f>HLOOKUP($E$4,'5. Bilan'!$F$3:$BF$226,192,0)</f>
        <v>0</v>
      </c>
    </row>
    <row r="198" spans="3:6" x14ac:dyDescent="0.25">
      <c r="D198">
        <v>2911</v>
      </c>
      <c r="E198" t="s">
        <v>443</v>
      </c>
      <c r="F198" s="4">
        <f>HLOOKUP($E$4,'5. Bilan'!$F$3:$BF$226,193,0)</f>
        <v>0</v>
      </c>
    </row>
    <row r="199" spans="3:6" x14ac:dyDescent="0.25">
      <c r="F199" s="4"/>
    </row>
    <row r="200" spans="3:6" x14ac:dyDescent="0.25">
      <c r="C200" s="66">
        <v>292</v>
      </c>
      <c r="D200" s="66"/>
      <c r="E200" s="66" t="s">
        <v>263</v>
      </c>
      <c r="F200" s="67">
        <f>SUM(F201)</f>
        <v>0</v>
      </c>
    </row>
    <row r="201" spans="3:6" x14ac:dyDescent="0.25">
      <c r="D201">
        <v>2920</v>
      </c>
      <c r="E201" t="s">
        <v>263</v>
      </c>
      <c r="F201" s="4">
        <f>HLOOKUP($E$4,'5. Bilan'!$F$3:$BF$226,196,0)</f>
        <v>0</v>
      </c>
    </row>
    <row r="202" spans="3:6" x14ac:dyDescent="0.25">
      <c r="F202" s="4"/>
    </row>
    <row r="203" spans="3:6" x14ac:dyDescent="0.25">
      <c r="C203" s="66">
        <v>293</v>
      </c>
      <c r="D203" s="66"/>
      <c r="E203" s="66" t="s">
        <v>264</v>
      </c>
      <c r="F203" s="67">
        <f>SUM(F204)</f>
        <v>0</v>
      </c>
    </row>
    <row r="204" spans="3:6" x14ac:dyDescent="0.25">
      <c r="D204">
        <v>2930</v>
      </c>
      <c r="E204" t="s">
        <v>264</v>
      </c>
      <c r="F204" s="4">
        <f>HLOOKUP($E$4,'5. Bilan'!$F$3:$BF$226,199,0)</f>
        <v>0</v>
      </c>
    </row>
    <row r="205" spans="3:6" x14ac:dyDescent="0.25">
      <c r="F205" s="4"/>
    </row>
    <row r="206" spans="3:6" x14ac:dyDescent="0.25">
      <c r="C206" s="66">
        <v>294</v>
      </c>
      <c r="D206" s="66"/>
      <c r="E206" s="66" t="s">
        <v>265</v>
      </c>
      <c r="F206" s="67">
        <f>SUM(F207)</f>
        <v>60000</v>
      </c>
    </row>
    <row r="207" spans="3:6" x14ac:dyDescent="0.25">
      <c r="D207">
        <v>2940</v>
      </c>
      <c r="E207" t="s">
        <v>265</v>
      </c>
      <c r="F207" s="4">
        <f>HLOOKUP($E$4,'5. Bilan'!$F$3:$BF$226,202,0)</f>
        <v>60000</v>
      </c>
    </row>
    <row r="208" spans="3:6" x14ac:dyDescent="0.25">
      <c r="F208" s="4"/>
    </row>
    <row r="209" spans="3:6" x14ac:dyDescent="0.25">
      <c r="C209" s="66">
        <v>295</v>
      </c>
      <c r="D209" s="66"/>
      <c r="E209" s="66" t="s">
        <v>266</v>
      </c>
      <c r="F209" s="67">
        <f>SUM(F210)</f>
        <v>0</v>
      </c>
    </row>
    <row r="210" spans="3:6" x14ac:dyDescent="0.25">
      <c r="D210">
        <v>2950</v>
      </c>
      <c r="E210" t="s">
        <v>266</v>
      </c>
      <c r="F210" s="4">
        <f>HLOOKUP($E$4,'5. Bilan'!$F$3:$BF$226,205,0)</f>
        <v>0</v>
      </c>
    </row>
    <row r="211" spans="3:6" x14ac:dyDescent="0.25">
      <c r="F211" s="4"/>
    </row>
    <row r="212" spans="3:6" x14ac:dyDescent="0.25">
      <c r="C212" s="66">
        <v>296</v>
      </c>
      <c r="D212" s="66"/>
      <c r="E212" s="66" t="s">
        <v>267</v>
      </c>
      <c r="F212" s="67">
        <f>SUM(F213)</f>
        <v>0</v>
      </c>
    </row>
    <row r="213" spans="3:6" x14ac:dyDescent="0.25">
      <c r="D213">
        <v>2960</v>
      </c>
      <c r="E213" t="s">
        <v>267</v>
      </c>
      <c r="F213" s="4">
        <f>HLOOKUP($E$4,'5. Bilan'!$F$3:$BF$226,208,0)</f>
        <v>0</v>
      </c>
    </row>
    <row r="214" spans="3:6" x14ac:dyDescent="0.25">
      <c r="F214" s="4"/>
    </row>
    <row r="215" spans="3:6" x14ac:dyDescent="0.25">
      <c r="C215" s="66">
        <v>298</v>
      </c>
      <c r="D215" s="66"/>
      <c r="E215" s="66" t="s">
        <v>268</v>
      </c>
      <c r="F215" s="67">
        <f>SUM(F216)</f>
        <v>0</v>
      </c>
    </row>
    <row r="216" spans="3:6" x14ac:dyDescent="0.25">
      <c r="D216">
        <v>2980</v>
      </c>
      <c r="E216" t="s">
        <v>268</v>
      </c>
      <c r="F216" s="4">
        <f>HLOOKUP($E$4,'5. Bilan'!$F$3:$BF$226,211,0)</f>
        <v>0</v>
      </c>
    </row>
    <row r="217" spans="3:6" x14ac:dyDescent="0.25">
      <c r="F217" s="4"/>
    </row>
    <row r="218" spans="3:6" x14ac:dyDescent="0.25">
      <c r="C218" s="66">
        <v>299</v>
      </c>
      <c r="D218" s="66"/>
      <c r="E218" s="66" t="s">
        <v>444</v>
      </c>
      <c r="F218" s="67">
        <f>SUM(F219:F220)</f>
        <v>685302.43</v>
      </c>
    </row>
    <row r="219" spans="3:6" x14ac:dyDescent="0.25">
      <c r="D219">
        <v>2990</v>
      </c>
      <c r="E219" t="s">
        <v>444</v>
      </c>
      <c r="F219" s="4">
        <f>HLOOKUP($E$4,'5. Bilan'!$F$3:$BF$226,214,0)</f>
        <v>66157.88</v>
      </c>
    </row>
    <row r="220" spans="3:6" x14ac:dyDescent="0.25">
      <c r="D220">
        <v>2999</v>
      </c>
      <c r="E220" t="s">
        <v>582</v>
      </c>
      <c r="F220" s="4">
        <f>HLOOKUP($E$4,'5. Bilan'!$F$3:$BF$226,215,0)</f>
        <v>619144.55000000005</v>
      </c>
    </row>
    <row r="221" spans="3:6" x14ac:dyDescent="0.25">
      <c r="F221" s="4"/>
    </row>
    <row r="222" spans="3:6" x14ac:dyDescent="0.25">
      <c r="C222" s="128"/>
      <c r="D222" s="128"/>
      <c r="E222" s="128" t="s">
        <v>587</v>
      </c>
      <c r="F222" s="145"/>
    </row>
    <row r="223" spans="3:6" x14ac:dyDescent="0.25">
      <c r="D223">
        <v>290</v>
      </c>
      <c r="E223" t="s">
        <v>586</v>
      </c>
      <c r="F223" s="4">
        <f>HLOOKUP($E$4,'5. Bilan'!$F$3:$BF$226,218,0)</f>
        <v>49855.73</v>
      </c>
    </row>
    <row r="224" spans="3:6" x14ac:dyDescent="0.25">
      <c r="D224">
        <v>2990</v>
      </c>
      <c r="E224" t="s">
        <v>590</v>
      </c>
      <c r="F224" s="4">
        <f>HLOOKUP($E$4,'5. Bilan'!$F$3:$BF$226,219,0)</f>
        <v>66157.88</v>
      </c>
    </row>
    <row r="225" spans="5:6" x14ac:dyDescent="0.25">
      <c r="F225" s="4"/>
    </row>
    <row r="226" spans="5:6" x14ac:dyDescent="0.25">
      <c r="E226" s="7" t="s">
        <v>589</v>
      </c>
      <c r="F226" s="4">
        <f>HLOOKUP($E$4,'5. Bilan'!$F$3:$BF$226,221,0)</f>
        <v>116013.61000000002</v>
      </c>
    </row>
    <row r="227" spans="5:6" x14ac:dyDescent="0.25">
      <c r="F227" s="4"/>
    </row>
    <row r="228" spans="5:6" x14ac:dyDescent="0.25">
      <c r="E228" s="48" t="s">
        <v>588</v>
      </c>
      <c r="F228" s="4">
        <f>HLOOKUP($E$4,'5. Bilan'!$F$3:$BF$226,223,0)</f>
        <v>0</v>
      </c>
    </row>
  </sheetData>
  <pageMargins left="0.7" right="0.7" top="0.75" bottom="0.75" header="0.3" footer="0.3"/>
  <pageSetup paperSize="9" scale="21"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'5. Bilan'!$F$3:$BF$3</xm:f>
          </x14:formula1>
          <xm:sqref>E4</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59999389629810485"/>
    <pageSetUpPr fitToPage="1"/>
  </sheetPr>
  <dimension ref="A1:F219"/>
  <sheetViews>
    <sheetView workbookViewId="0">
      <selection activeCell="A2" sqref="A2"/>
    </sheetView>
  </sheetViews>
  <sheetFormatPr baseColWidth="10" defaultColWidth="11.42578125" defaultRowHeight="15" x14ac:dyDescent="0.25"/>
  <cols>
    <col min="1" max="3" width="4.7109375" customWidth="1"/>
    <col min="4" max="4" width="9" customWidth="1"/>
    <col min="5" max="5" width="63.5703125" customWidth="1"/>
    <col min="6" max="6" width="27.85546875" customWidth="1"/>
  </cols>
  <sheetData>
    <row r="1" spans="1:6" ht="26.25" x14ac:dyDescent="0.4">
      <c r="A1" s="32" t="s">
        <v>848</v>
      </c>
      <c r="B1" s="7"/>
      <c r="C1" s="7"/>
      <c r="D1" s="7"/>
      <c r="E1" s="7"/>
    </row>
    <row r="2" spans="1:6" x14ac:dyDescent="0.25">
      <c r="A2" t="s">
        <v>199</v>
      </c>
      <c r="F2" s="45">
        <f>'5. Bilan'!BG2</f>
        <v>73798</v>
      </c>
    </row>
    <row r="3" spans="1:6" x14ac:dyDescent="0.25">
      <c r="F3" s="36" t="s">
        <v>446</v>
      </c>
    </row>
    <row r="4" spans="1:6" ht="21" x14ac:dyDescent="0.35">
      <c r="A4" s="59">
        <v>1</v>
      </c>
      <c r="B4" s="59"/>
      <c r="C4" s="59"/>
      <c r="D4" s="59"/>
      <c r="E4" s="59" t="s">
        <v>239</v>
      </c>
      <c r="F4" s="70">
        <f>'5. Bilan'!BG4</f>
        <v>873697097.81999981</v>
      </c>
    </row>
    <row r="5" spans="1:6" x14ac:dyDescent="0.25">
      <c r="A5" s="7"/>
      <c r="B5" s="60">
        <v>10</v>
      </c>
      <c r="C5" s="60"/>
      <c r="D5" s="60"/>
      <c r="E5" s="60" t="s">
        <v>240</v>
      </c>
      <c r="F5" s="61">
        <f>'5. Bilan'!BG5</f>
        <v>330810559.92999995</v>
      </c>
    </row>
    <row r="6" spans="1:6" x14ac:dyDescent="0.25">
      <c r="C6" s="56">
        <v>100</v>
      </c>
      <c r="D6" s="56"/>
      <c r="E6" s="56" t="s">
        <v>241</v>
      </c>
      <c r="F6" s="57">
        <f>'5. Bilan'!BG6</f>
        <v>101953186.96999998</v>
      </c>
    </row>
    <row r="7" spans="1:6" x14ac:dyDescent="0.25">
      <c r="D7">
        <v>1000</v>
      </c>
      <c r="E7" t="s">
        <v>313</v>
      </c>
      <c r="F7" s="4">
        <f>'5. Bilan'!BG7</f>
        <v>277566.88000000012</v>
      </c>
    </row>
    <row r="8" spans="1:6" x14ac:dyDescent="0.25">
      <c r="D8">
        <v>1001</v>
      </c>
      <c r="E8" t="s">
        <v>314</v>
      </c>
      <c r="F8" s="4">
        <f>'5. Bilan'!BG8</f>
        <v>19437146.110000003</v>
      </c>
    </row>
    <row r="9" spans="1:6" x14ac:dyDescent="0.25">
      <c r="D9">
        <v>1002</v>
      </c>
      <c r="E9" t="s">
        <v>322</v>
      </c>
      <c r="F9" s="4">
        <f>'5. Bilan'!BG9</f>
        <v>81667082.390000015</v>
      </c>
    </row>
    <row r="10" spans="1:6" x14ac:dyDescent="0.25">
      <c r="D10">
        <v>1003</v>
      </c>
      <c r="E10" t="s">
        <v>315</v>
      </c>
      <c r="F10" s="4">
        <f>'5. Bilan'!BG10</f>
        <v>560000</v>
      </c>
    </row>
    <row r="11" spans="1:6" x14ac:dyDescent="0.25">
      <c r="D11">
        <v>1004</v>
      </c>
      <c r="E11" t="s">
        <v>316</v>
      </c>
      <c r="F11" s="4">
        <f>'5. Bilan'!BG11</f>
        <v>7546.0400000000009</v>
      </c>
    </row>
    <row r="12" spans="1:6" x14ac:dyDescent="0.25">
      <c r="D12">
        <v>1009</v>
      </c>
      <c r="E12" t="s">
        <v>317</v>
      </c>
      <c r="F12" s="4">
        <f>'5. Bilan'!BG12</f>
        <v>3845.55</v>
      </c>
    </row>
    <row r="13" spans="1:6" x14ac:dyDescent="0.25">
      <c r="F13" s="31"/>
    </row>
    <row r="14" spans="1:6" x14ac:dyDescent="0.25">
      <c r="C14" s="56">
        <v>101</v>
      </c>
      <c r="D14" s="56"/>
      <c r="E14" s="56" t="s">
        <v>242</v>
      </c>
      <c r="F14" s="57">
        <f>'5. Bilan'!BG14</f>
        <v>83271481.24000001</v>
      </c>
    </row>
    <row r="15" spans="1:6" x14ac:dyDescent="0.25">
      <c r="D15">
        <v>1010</v>
      </c>
      <c r="E15" t="s">
        <v>318</v>
      </c>
      <c r="F15" s="4">
        <f>'5. Bilan'!BG15</f>
        <v>29943442.710000001</v>
      </c>
    </row>
    <row r="16" spans="1:6" x14ac:dyDescent="0.25">
      <c r="D16">
        <v>1011</v>
      </c>
      <c r="E16" t="s">
        <v>399</v>
      </c>
      <c r="F16" s="4">
        <f>'5. Bilan'!BG16</f>
        <v>5202534.41</v>
      </c>
    </row>
    <row r="17" spans="3:6" x14ac:dyDescent="0.25">
      <c r="D17">
        <v>1012</v>
      </c>
      <c r="E17" t="s">
        <v>319</v>
      </c>
      <c r="F17" s="4">
        <f>'5. Bilan'!BG17</f>
        <v>44472871.929999977</v>
      </c>
    </row>
    <row r="18" spans="3:6" x14ac:dyDescent="0.25">
      <c r="D18">
        <v>1013</v>
      </c>
      <c r="E18" t="s">
        <v>320</v>
      </c>
      <c r="F18" s="4">
        <f>'5. Bilan'!BG18</f>
        <v>283265.90000000002</v>
      </c>
    </row>
    <row r="19" spans="3:6" x14ac:dyDescent="0.25">
      <c r="D19">
        <v>1014</v>
      </c>
      <c r="E19" t="s">
        <v>321</v>
      </c>
      <c r="F19" s="4">
        <f>'5. Bilan'!BG19</f>
        <v>1150751.1599999999</v>
      </c>
    </row>
    <row r="20" spans="3:6" x14ac:dyDescent="0.25">
      <c r="D20">
        <v>1015</v>
      </c>
      <c r="E20" t="s">
        <v>323</v>
      </c>
      <c r="F20" s="4">
        <f>'5. Bilan'!BG20</f>
        <v>1419524.56</v>
      </c>
    </row>
    <row r="21" spans="3:6" x14ac:dyDescent="0.25">
      <c r="D21">
        <v>1016</v>
      </c>
      <c r="E21" t="s">
        <v>324</v>
      </c>
      <c r="F21" s="4">
        <f>'5. Bilan'!BG21</f>
        <v>30139.850000000002</v>
      </c>
    </row>
    <row r="22" spans="3:6" x14ac:dyDescent="0.25">
      <c r="D22">
        <v>1019</v>
      </c>
      <c r="E22" t="s">
        <v>325</v>
      </c>
      <c r="F22" s="4">
        <f>'5. Bilan'!BG22</f>
        <v>768950.72000000009</v>
      </c>
    </row>
    <row r="23" spans="3:6" x14ac:dyDescent="0.25">
      <c r="F23" s="31"/>
    </row>
    <row r="24" spans="3:6" x14ac:dyDescent="0.25">
      <c r="C24" s="56">
        <v>102</v>
      </c>
      <c r="D24" s="56"/>
      <c r="E24" s="56" t="s">
        <v>243</v>
      </c>
      <c r="F24" s="57">
        <f>'5. Bilan'!BG24</f>
        <v>870298.43</v>
      </c>
    </row>
    <row r="25" spans="3:6" x14ac:dyDescent="0.25">
      <c r="D25">
        <v>1020</v>
      </c>
      <c r="E25" t="s">
        <v>326</v>
      </c>
      <c r="F25" s="4">
        <f>'5. Bilan'!BG25</f>
        <v>868298.43</v>
      </c>
    </row>
    <row r="26" spans="3:6" x14ac:dyDescent="0.25">
      <c r="D26">
        <v>1022</v>
      </c>
      <c r="E26" t="s">
        <v>327</v>
      </c>
      <c r="F26" s="4">
        <f>'5. Bilan'!BG26</f>
        <v>0</v>
      </c>
    </row>
    <row r="27" spans="3:6" x14ac:dyDescent="0.25">
      <c r="D27">
        <v>1023</v>
      </c>
      <c r="E27" t="s">
        <v>328</v>
      </c>
      <c r="F27" s="4">
        <f>'5. Bilan'!BG27</f>
        <v>0</v>
      </c>
    </row>
    <row r="28" spans="3:6" x14ac:dyDescent="0.25">
      <c r="D28">
        <v>1029</v>
      </c>
      <c r="E28" t="s">
        <v>329</v>
      </c>
      <c r="F28" s="4">
        <f>'5. Bilan'!BG28</f>
        <v>2000</v>
      </c>
    </row>
    <row r="29" spans="3:6" x14ac:dyDescent="0.25">
      <c r="F29" s="31"/>
    </row>
    <row r="30" spans="3:6" x14ac:dyDescent="0.25">
      <c r="C30" s="56">
        <v>104</v>
      </c>
      <c r="D30" s="56"/>
      <c r="E30" s="56" t="s">
        <v>244</v>
      </c>
      <c r="F30" s="57">
        <f>'5. Bilan'!BG30</f>
        <v>29257045.410000004</v>
      </c>
    </row>
    <row r="31" spans="3:6" x14ac:dyDescent="0.25">
      <c r="D31">
        <v>1040</v>
      </c>
      <c r="E31" t="s">
        <v>61</v>
      </c>
      <c r="F31" s="4">
        <f>'5. Bilan'!BG31</f>
        <v>136688.12</v>
      </c>
    </row>
    <row r="32" spans="3:6" x14ac:dyDescent="0.25">
      <c r="D32">
        <v>1041</v>
      </c>
      <c r="E32" t="s">
        <v>330</v>
      </c>
      <c r="F32" s="4">
        <f>'5. Bilan'!BG32</f>
        <v>14210136.930000003</v>
      </c>
    </row>
    <row r="33" spans="3:6" x14ac:dyDescent="0.25">
      <c r="D33">
        <v>1042</v>
      </c>
      <c r="E33" t="s">
        <v>331</v>
      </c>
      <c r="F33" s="4">
        <f>'5. Bilan'!BG33</f>
        <v>4609765.8000000017</v>
      </c>
    </row>
    <row r="34" spans="3:6" x14ac:dyDescent="0.25">
      <c r="D34">
        <v>1043</v>
      </c>
      <c r="E34" t="s">
        <v>332</v>
      </c>
      <c r="F34" s="4">
        <f>'5. Bilan'!BG34</f>
        <v>7019487.9099999992</v>
      </c>
    </row>
    <row r="35" spans="3:6" x14ac:dyDescent="0.25">
      <c r="D35">
        <v>1044</v>
      </c>
      <c r="E35" t="s">
        <v>333</v>
      </c>
      <c r="F35" s="4">
        <f>'5. Bilan'!BG35</f>
        <v>167611.71</v>
      </c>
    </row>
    <row r="36" spans="3:6" x14ac:dyDescent="0.25">
      <c r="D36">
        <v>1045</v>
      </c>
      <c r="E36" t="s">
        <v>334</v>
      </c>
      <c r="F36" s="4">
        <f>'5. Bilan'!BG36</f>
        <v>688123.25000000012</v>
      </c>
    </row>
    <row r="37" spans="3:6" x14ac:dyDescent="0.25">
      <c r="D37">
        <v>1046</v>
      </c>
      <c r="E37" t="s">
        <v>335</v>
      </c>
      <c r="F37" s="4">
        <f>'5. Bilan'!BG37</f>
        <v>903807.05</v>
      </c>
    </row>
    <row r="38" spans="3:6" x14ac:dyDescent="0.25">
      <c r="D38">
        <v>1049</v>
      </c>
      <c r="E38" t="s">
        <v>336</v>
      </c>
      <c r="F38" s="4">
        <f>'5. Bilan'!BG38</f>
        <v>1521424.6400000001</v>
      </c>
    </row>
    <row r="39" spans="3:6" x14ac:dyDescent="0.25">
      <c r="F39" s="31"/>
    </row>
    <row r="40" spans="3:6" x14ac:dyDescent="0.25">
      <c r="C40" s="56">
        <v>106</v>
      </c>
      <c r="D40" s="56"/>
      <c r="E40" s="56" t="s">
        <v>245</v>
      </c>
      <c r="F40" s="57">
        <f>'5. Bilan'!BG40</f>
        <v>1546992.88</v>
      </c>
    </row>
    <row r="41" spans="3:6" x14ac:dyDescent="0.25">
      <c r="D41">
        <v>1060</v>
      </c>
      <c r="E41" t="s">
        <v>337</v>
      </c>
      <c r="F41" s="4">
        <f>'5. Bilan'!BG41</f>
        <v>41868.43</v>
      </c>
    </row>
    <row r="42" spans="3:6" x14ac:dyDescent="0.25">
      <c r="D42">
        <v>1061</v>
      </c>
      <c r="E42" t="s">
        <v>338</v>
      </c>
      <c r="F42" s="4">
        <f>'5. Bilan'!BG42</f>
        <v>695049.35000000009</v>
      </c>
    </row>
    <row r="43" spans="3:6" x14ac:dyDescent="0.25">
      <c r="D43">
        <v>1062</v>
      </c>
      <c r="E43" t="s">
        <v>339</v>
      </c>
      <c r="F43" s="4">
        <f>'5. Bilan'!BG43</f>
        <v>0</v>
      </c>
    </row>
    <row r="44" spans="3:6" x14ac:dyDescent="0.25">
      <c r="D44">
        <v>1063</v>
      </c>
      <c r="E44" t="s">
        <v>340</v>
      </c>
      <c r="F44" s="4">
        <f>'5. Bilan'!BG44</f>
        <v>810075.1</v>
      </c>
    </row>
    <row r="45" spans="3:6" x14ac:dyDescent="0.25">
      <c r="D45">
        <v>1068</v>
      </c>
      <c r="E45" t="s">
        <v>341</v>
      </c>
      <c r="F45" s="4">
        <f>'5. Bilan'!BG45</f>
        <v>0</v>
      </c>
    </row>
    <row r="46" spans="3:6" x14ac:dyDescent="0.25">
      <c r="F46" s="31"/>
    </row>
    <row r="47" spans="3:6" x14ac:dyDescent="0.25">
      <c r="C47" s="56">
        <v>107</v>
      </c>
      <c r="D47" s="56"/>
      <c r="E47" s="56" t="s">
        <v>346</v>
      </c>
      <c r="F47" s="57">
        <f>'5. Bilan'!BG47</f>
        <v>15340916.379999997</v>
      </c>
    </row>
    <row r="48" spans="3:6" x14ac:dyDescent="0.25">
      <c r="D48">
        <v>1070</v>
      </c>
      <c r="E48" t="s">
        <v>342</v>
      </c>
      <c r="F48" s="4">
        <f>'5. Bilan'!BG48</f>
        <v>4483349.25</v>
      </c>
    </row>
    <row r="49" spans="3:6" x14ac:dyDescent="0.25">
      <c r="D49">
        <v>1071</v>
      </c>
      <c r="E49" t="s">
        <v>343</v>
      </c>
      <c r="F49" s="4">
        <f>'5. Bilan'!BG49</f>
        <v>10857567.129999999</v>
      </c>
    </row>
    <row r="50" spans="3:6" x14ac:dyDescent="0.25">
      <c r="D50">
        <v>1072</v>
      </c>
      <c r="E50" t="s">
        <v>344</v>
      </c>
      <c r="F50" s="4">
        <f>'5. Bilan'!BG50</f>
        <v>0</v>
      </c>
    </row>
    <row r="51" spans="3:6" x14ac:dyDescent="0.25">
      <c r="D51">
        <v>1079</v>
      </c>
      <c r="E51" t="s">
        <v>345</v>
      </c>
      <c r="F51" s="4">
        <f>'5. Bilan'!BG51</f>
        <v>0</v>
      </c>
    </row>
    <row r="52" spans="3:6" x14ac:dyDescent="0.25">
      <c r="F52" s="31"/>
    </row>
    <row r="53" spans="3:6" x14ac:dyDescent="0.25">
      <c r="C53" s="56">
        <v>108</v>
      </c>
      <c r="D53" s="56"/>
      <c r="E53" s="56" t="s">
        <v>246</v>
      </c>
      <c r="F53" s="57">
        <f>'5. Bilan'!BG53</f>
        <v>98570638.619999975</v>
      </c>
    </row>
    <row r="54" spans="3:6" x14ac:dyDescent="0.25">
      <c r="D54">
        <v>1080</v>
      </c>
      <c r="E54" t="s">
        <v>347</v>
      </c>
      <c r="F54" s="4">
        <f>'5. Bilan'!BG54</f>
        <v>40877830.079999998</v>
      </c>
    </row>
    <row r="55" spans="3:6" x14ac:dyDescent="0.25">
      <c r="D55">
        <v>1084</v>
      </c>
      <c r="E55" t="s">
        <v>348</v>
      </c>
      <c r="F55" s="4">
        <f>'5. Bilan'!BG55</f>
        <v>53619394.649999999</v>
      </c>
    </row>
    <row r="56" spans="3:6" x14ac:dyDescent="0.25">
      <c r="D56">
        <v>1086</v>
      </c>
      <c r="E56" t="s">
        <v>349</v>
      </c>
      <c r="F56" s="4">
        <f>'5. Bilan'!BG56</f>
        <v>0</v>
      </c>
    </row>
    <row r="57" spans="3:6" x14ac:dyDescent="0.25">
      <c r="D57">
        <v>1087</v>
      </c>
      <c r="E57" t="s">
        <v>350</v>
      </c>
      <c r="F57" s="4">
        <f>'5. Bilan'!BG57</f>
        <v>4073413.8899999997</v>
      </c>
    </row>
    <row r="58" spans="3:6" x14ac:dyDescent="0.25">
      <c r="D58">
        <v>1088</v>
      </c>
      <c r="E58" t="s">
        <v>351</v>
      </c>
      <c r="F58" s="4">
        <f>'5. Bilan'!BG58</f>
        <v>0</v>
      </c>
    </row>
    <row r="59" spans="3:6" x14ac:dyDescent="0.25">
      <c r="D59">
        <v>1089</v>
      </c>
      <c r="E59" t="s">
        <v>352</v>
      </c>
      <c r="F59" s="4">
        <f>'5. Bilan'!BG59</f>
        <v>0</v>
      </c>
    </row>
    <row r="60" spans="3:6" x14ac:dyDescent="0.25">
      <c r="F60" s="31"/>
    </row>
    <row r="61" spans="3:6" x14ac:dyDescent="0.25">
      <c r="C61" s="56">
        <v>109</v>
      </c>
      <c r="D61" s="56"/>
      <c r="E61" s="56" t="s">
        <v>353</v>
      </c>
      <c r="F61" s="57">
        <f>'5. Bilan'!BG61</f>
        <v>0</v>
      </c>
    </row>
    <row r="62" spans="3:6" x14ac:dyDescent="0.25">
      <c r="D62">
        <v>1090</v>
      </c>
      <c r="E62" t="s">
        <v>353</v>
      </c>
      <c r="F62" s="4">
        <f>'5. Bilan'!BG62</f>
        <v>0</v>
      </c>
    </row>
    <row r="63" spans="3:6" x14ac:dyDescent="0.25">
      <c r="D63">
        <v>1091</v>
      </c>
      <c r="E63" t="s">
        <v>354</v>
      </c>
      <c r="F63" s="4">
        <f>'5. Bilan'!BG63</f>
        <v>0</v>
      </c>
    </row>
    <row r="64" spans="3:6" x14ac:dyDescent="0.25">
      <c r="D64">
        <v>1092</v>
      </c>
      <c r="E64" t="s">
        <v>355</v>
      </c>
      <c r="F64" s="4">
        <f>'5. Bilan'!BG64</f>
        <v>0</v>
      </c>
    </row>
    <row r="65" spans="2:6" x14ac:dyDescent="0.25">
      <c r="D65">
        <v>1093</v>
      </c>
      <c r="E65" t="s">
        <v>356</v>
      </c>
      <c r="F65" s="4">
        <f>'5. Bilan'!BG65</f>
        <v>0</v>
      </c>
    </row>
    <row r="66" spans="2:6" x14ac:dyDescent="0.25">
      <c r="F66" s="31"/>
    </row>
    <row r="67" spans="2:6" x14ac:dyDescent="0.25">
      <c r="B67" s="60">
        <v>14</v>
      </c>
      <c r="C67" s="60"/>
      <c r="D67" s="60"/>
      <c r="E67" s="60" t="s">
        <v>247</v>
      </c>
      <c r="F67" s="61">
        <f>'5. Bilan'!BG67</f>
        <v>542886537.8900001</v>
      </c>
    </row>
    <row r="68" spans="2:6" x14ac:dyDescent="0.25">
      <c r="C68" s="56">
        <v>140</v>
      </c>
      <c r="D68" s="56"/>
      <c r="E68" s="56" t="s">
        <v>249</v>
      </c>
      <c r="F68" s="72">
        <f>'5. Bilan'!BG68</f>
        <v>524608563.30000013</v>
      </c>
    </row>
    <row r="69" spans="2:6" x14ac:dyDescent="0.25">
      <c r="D69">
        <v>1400</v>
      </c>
      <c r="E69" t="s">
        <v>357</v>
      </c>
      <c r="F69" s="4">
        <f>'5. Bilan'!BG69</f>
        <v>27617297.289999995</v>
      </c>
    </row>
    <row r="70" spans="2:6" x14ac:dyDescent="0.25">
      <c r="D70">
        <v>1401</v>
      </c>
      <c r="E70" t="s">
        <v>358</v>
      </c>
      <c r="F70" s="4">
        <f>'5. Bilan'!BG70</f>
        <v>105085531.52</v>
      </c>
    </row>
    <row r="71" spans="2:6" x14ac:dyDescent="0.25">
      <c r="D71">
        <v>1402</v>
      </c>
      <c r="E71" t="s">
        <v>359</v>
      </c>
      <c r="F71" s="4">
        <f>'5. Bilan'!BG71</f>
        <v>3634312.4399999995</v>
      </c>
    </row>
    <row r="72" spans="2:6" x14ac:dyDescent="0.25">
      <c r="D72">
        <v>1403</v>
      </c>
      <c r="E72" t="s">
        <v>360</v>
      </c>
      <c r="F72" s="4">
        <f>'5. Bilan'!BG72</f>
        <v>107360987.94</v>
      </c>
    </row>
    <row r="73" spans="2:6" x14ac:dyDescent="0.25">
      <c r="D73">
        <v>1404</v>
      </c>
      <c r="E73" t="s">
        <v>361</v>
      </c>
      <c r="F73" s="4">
        <f>'5. Bilan'!BG73</f>
        <v>200220904.15000001</v>
      </c>
    </row>
    <row r="74" spans="2:6" x14ac:dyDescent="0.25">
      <c r="D74">
        <v>1405</v>
      </c>
      <c r="E74" t="s">
        <v>362</v>
      </c>
      <c r="F74" s="4">
        <f>'5. Bilan'!BG74</f>
        <v>32362343.900000002</v>
      </c>
    </row>
    <row r="75" spans="2:6" x14ac:dyDescent="0.25">
      <c r="D75">
        <v>1406</v>
      </c>
      <c r="E75" t="s">
        <v>363</v>
      </c>
      <c r="F75" s="4">
        <f>'5. Bilan'!BG75</f>
        <v>7788168.0099999998</v>
      </c>
    </row>
    <row r="76" spans="2:6" x14ac:dyDescent="0.25">
      <c r="D76">
        <v>1407</v>
      </c>
      <c r="E76" t="s">
        <v>364</v>
      </c>
      <c r="F76" s="4">
        <f>'5. Bilan'!BG76</f>
        <v>35451555.399999999</v>
      </c>
    </row>
    <row r="77" spans="2:6" x14ac:dyDescent="0.25">
      <c r="D77">
        <v>1409</v>
      </c>
      <c r="E77" t="s">
        <v>365</v>
      </c>
      <c r="F77" s="4">
        <f>'5. Bilan'!BG77</f>
        <v>5087462.6500000004</v>
      </c>
    </row>
    <row r="78" spans="2:6" x14ac:dyDescent="0.25">
      <c r="F78" s="31"/>
    </row>
    <row r="79" spans="2:6" x14ac:dyDescent="0.25">
      <c r="C79" s="56">
        <v>142</v>
      </c>
      <c r="D79" s="56"/>
      <c r="E79" s="56" t="s">
        <v>248</v>
      </c>
      <c r="F79" s="57">
        <f>'5. Bilan'!BG79</f>
        <v>7521537.7799999984</v>
      </c>
    </row>
    <row r="80" spans="2:6" x14ac:dyDescent="0.25">
      <c r="D80">
        <v>1420</v>
      </c>
      <c r="E80" t="s">
        <v>366</v>
      </c>
      <c r="F80" s="4">
        <f>'5. Bilan'!BG80</f>
        <v>607615.85000000009</v>
      </c>
    </row>
    <row r="81" spans="3:6" x14ac:dyDescent="0.25">
      <c r="D81">
        <v>1421</v>
      </c>
      <c r="E81" t="s">
        <v>367</v>
      </c>
      <c r="F81" s="4">
        <f>'5. Bilan'!BG81</f>
        <v>0</v>
      </c>
    </row>
    <row r="82" spans="3:6" x14ac:dyDescent="0.25">
      <c r="F82" s="31"/>
    </row>
    <row r="83" spans="3:6" x14ac:dyDescent="0.25">
      <c r="C83" s="56">
        <v>144</v>
      </c>
      <c r="D83" s="56"/>
      <c r="E83" s="56" t="s">
        <v>250</v>
      </c>
      <c r="F83" s="57">
        <f>'5. Bilan'!BG85</f>
        <v>2891271</v>
      </c>
    </row>
    <row r="84" spans="3:6" x14ac:dyDescent="0.25">
      <c r="D84">
        <v>1440</v>
      </c>
      <c r="E84" t="s">
        <v>368</v>
      </c>
      <c r="F84" s="4">
        <f>'5. Bilan'!BG86</f>
        <v>0</v>
      </c>
    </row>
    <row r="85" spans="3:6" x14ac:dyDescent="0.25">
      <c r="D85">
        <v>1441</v>
      </c>
      <c r="E85" t="s">
        <v>370</v>
      </c>
      <c r="F85" s="4">
        <f>'5. Bilan'!BG87</f>
        <v>0</v>
      </c>
    </row>
    <row r="86" spans="3:6" x14ac:dyDescent="0.25">
      <c r="D86">
        <v>1442</v>
      </c>
      <c r="E86" t="s">
        <v>369</v>
      </c>
      <c r="F86" s="4">
        <f>'5. Bilan'!BG88</f>
        <v>2217881</v>
      </c>
    </row>
    <row r="87" spans="3:6" x14ac:dyDescent="0.25">
      <c r="D87">
        <v>1443</v>
      </c>
      <c r="E87" t="s">
        <v>371</v>
      </c>
      <c r="F87" s="4">
        <f>'5. Bilan'!BG89</f>
        <v>0</v>
      </c>
    </row>
    <row r="88" spans="3:6" x14ac:dyDescent="0.25">
      <c r="D88">
        <v>1444</v>
      </c>
      <c r="E88" t="s">
        <v>372</v>
      </c>
      <c r="F88" s="4">
        <f>'5. Bilan'!BG90</f>
        <v>0</v>
      </c>
    </row>
    <row r="89" spans="3:6" x14ac:dyDescent="0.25">
      <c r="D89">
        <v>1445</v>
      </c>
      <c r="E89" t="s">
        <v>373</v>
      </c>
      <c r="F89" s="4">
        <f>'5. Bilan'!BG91</f>
        <v>487816.6</v>
      </c>
    </row>
    <row r="90" spans="3:6" x14ac:dyDescent="0.25">
      <c r="D90">
        <v>1446</v>
      </c>
      <c r="E90" t="s">
        <v>374</v>
      </c>
      <c r="F90" s="4">
        <f>'5. Bilan'!BG92</f>
        <v>185573.4</v>
      </c>
    </row>
    <row r="91" spans="3:6" x14ac:dyDescent="0.25">
      <c r="D91">
        <v>1447</v>
      </c>
      <c r="E91" t="s">
        <v>375</v>
      </c>
      <c r="F91" s="4">
        <f>'5. Bilan'!BG93</f>
        <v>0</v>
      </c>
    </row>
    <row r="92" spans="3:6" x14ac:dyDescent="0.25">
      <c r="D92">
        <v>1448</v>
      </c>
      <c r="E92" t="s">
        <v>376</v>
      </c>
      <c r="F92" s="4">
        <f>'5. Bilan'!BG94</f>
        <v>0</v>
      </c>
    </row>
    <row r="93" spans="3:6" x14ac:dyDescent="0.25">
      <c r="F93" s="31"/>
    </row>
    <row r="94" spans="3:6" x14ac:dyDescent="0.25">
      <c r="C94" s="56">
        <v>145</v>
      </c>
      <c r="D94" s="56"/>
      <c r="E94" s="56" t="s">
        <v>379</v>
      </c>
      <c r="F94" s="57">
        <f>'5. Bilan'!BG96</f>
        <v>4890759.3900000006</v>
      </c>
    </row>
    <row r="95" spans="3:6" x14ac:dyDescent="0.25">
      <c r="D95">
        <v>1450</v>
      </c>
      <c r="E95" t="s">
        <v>378</v>
      </c>
      <c r="F95" s="4">
        <f>'5. Bilan'!BG97</f>
        <v>4</v>
      </c>
    </row>
    <row r="96" spans="3:6" x14ac:dyDescent="0.25">
      <c r="D96">
        <v>1451</v>
      </c>
      <c r="E96" t="s">
        <v>377</v>
      </c>
      <c r="F96" s="4">
        <f>'5. Bilan'!BG98</f>
        <v>0</v>
      </c>
    </row>
    <row r="97" spans="3:6" x14ac:dyDescent="0.25">
      <c r="D97">
        <v>1452</v>
      </c>
      <c r="E97" t="s">
        <v>380</v>
      </c>
      <c r="F97" s="4">
        <f>'5. Bilan'!BG99</f>
        <v>480091</v>
      </c>
    </row>
    <row r="98" spans="3:6" x14ac:dyDescent="0.25">
      <c r="D98">
        <v>1453</v>
      </c>
      <c r="E98" t="s">
        <v>381</v>
      </c>
      <c r="F98" s="4">
        <f>'5. Bilan'!BG100</f>
        <v>0</v>
      </c>
    </row>
    <row r="99" spans="3:6" x14ac:dyDescent="0.25">
      <c r="D99">
        <v>1454</v>
      </c>
      <c r="E99" t="s">
        <v>382</v>
      </c>
      <c r="F99" s="4">
        <f>'5. Bilan'!BG101</f>
        <v>313600</v>
      </c>
    </row>
    <row r="100" spans="3:6" x14ac:dyDescent="0.25">
      <c r="D100">
        <v>1455</v>
      </c>
      <c r="E100" t="s">
        <v>383</v>
      </c>
      <c r="F100" s="4">
        <f>'5. Bilan'!BG102</f>
        <v>3756959.39</v>
      </c>
    </row>
    <row r="101" spans="3:6" x14ac:dyDescent="0.25">
      <c r="D101">
        <v>1456</v>
      </c>
      <c r="E101" t="s">
        <v>384</v>
      </c>
      <c r="F101" s="4">
        <f>'5. Bilan'!BG103</f>
        <v>340105</v>
      </c>
    </row>
    <row r="102" spans="3:6" x14ac:dyDescent="0.25">
      <c r="D102">
        <v>1457</v>
      </c>
      <c r="E102" t="s">
        <v>385</v>
      </c>
      <c r="F102" s="4">
        <f>'5. Bilan'!BG104</f>
        <v>0</v>
      </c>
    </row>
    <row r="103" spans="3:6" x14ac:dyDescent="0.25">
      <c r="D103">
        <v>1458</v>
      </c>
      <c r="E103" t="s">
        <v>386</v>
      </c>
      <c r="F103" s="4">
        <f>'5. Bilan'!BG105</f>
        <v>0</v>
      </c>
    </row>
    <row r="104" spans="3:6" x14ac:dyDescent="0.25">
      <c r="F104" s="31"/>
    </row>
    <row r="105" spans="3:6" x14ac:dyDescent="0.25">
      <c r="C105" s="56">
        <v>146</v>
      </c>
      <c r="D105" s="56"/>
      <c r="E105" s="56" t="s">
        <v>397</v>
      </c>
      <c r="F105" s="57">
        <f>'5. Bilan'!BG107</f>
        <v>2974406.4200000004</v>
      </c>
    </row>
    <row r="106" spans="3:6" x14ac:dyDescent="0.25">
      <c r="D106">
        <v>1460</v>
      </c>
      <c r="E106" t="s">
        <v>394</v>
      </c>
      <c r="F106" s="4">
        <f>'5. Bilan'!BG108</f>
        <v>0</v>
      </c>
    </row>
    <row r="107" spans="3:6" x14ac:dyDescent="0.25">
      <c r="D107">
        <v>1461</v>
      </c>
      <c r="E107" t="s">
        <v>395</v>
      </c>
      <c r="F107" s="4">
        <f>'5. Bilan'!BG109</f>
        <v>0</v>
      </c>
    </row>
    <row r="108" spans="3:6" x14ac:dyDescent="0.25">
      <c r="D108">
        <v>1462</v>
      </c>
      <c r="E108" t="s">
        <v>387</v>
      </c>
      <c r="F108" s="4">
        <f>'5. Bilan'!BG110</f>
        <v>2798886.62</v>
      </c>
    </row>
    <row r="109" spans="3:6" x14ac:dyDescent="0.25">
      <c r="D109">
        <v>1463</v>
      </c>
      <c r="E109" t="s">
        <v>388</v>
      </c>
      <c r="F109" s="4">
        <f>'5. Bilan'!BG111</f>
        <v>0</v>
      </c>
    </row>
    <row r="110" spans="3:6" x14ac:dyDescent="0.25">
      <c r="D110">
        <v>1464</v>
      </c>
      <c r="E110" t="s">
        <v>389</v>
      </c>
      <c r="F110" s="4">
        <f>'5. Bilan'!BG112</f>
        <v>0</v>
      </c>
    </row>
    <row r="111" spans="3:6" x14ac:dyDescent="0.25">
      <c r="D111">
        <v>1465</v>
      </c>
      <c r="E111" t="s">
        <v>390</v>
      </c>
      <c r="F111" s="4">
        <f>'5. Bilan'!BG113</f>
        <v>32000</v>
      </c>
    </row>
    <row r="112" spans="3:6" x14ac:dyDescent="0.25">
      <c r="D112">
        <v>1466</v>
      </c>
      <c r="E112" t="s">
        <v>396</v>
      </c>
      <c r="F112" s="4">
        <f>'5. Bilan'!BG114</f>
        <v>143519.79999999999</v>
      </c>
    </row>
    <row r="113" spans="1:6" x14ac:dyDescent="0.25">
      <c r="D113">
        <v>1467</v>
      </c>
      <c r="E113" t="s">
        <v>391</v>
      </c>
      <c r="F113" s="4">
        <f>'5. Bilan'!BG115</f>
        <v>0</v>
      </c>
    </row>
    <row r="114" spans="1:6" x14ac:dyDescent="0.25">
      <c r="D114">
        <v>1468</v>
      </c>
      <c r="E114" t="s">
        <v>392</v>
      </c>
      <c r="F114" s="4">
        <f>'5. Bilan'!BG116</f>
        <v>0</v>
      </c>
    </row>
    <row r="115" spans="1:6" x14ac:dyDescent="0.25">
      <c r="D115">
        <v>1469</v>
      </c>
      <c r="E115" t="s">
        <v>393</v>
      </c>
      <c r="F115" s="4">
        <f>'5. Bilan'!BG117</f>
        <v>0</v>
      </c>
    </row>
    <row r="116" spans="1:6" x14ac:dyDescent="0.25">
      <c r="F116" s="31"/>
    </row>
    <row r="117" spans="1:6" x14ac:dyDescent="0.25">
      <c r="F117" s="31"/>
    </row>
    <row r="118" spans="1:6" ht="21" x14ac:dyDescent="0.35">
      <c r="A118" s="64">
        <v>2</v>
      </c>
      <c r="B118" s="64"/>
      <c r="C118" s="64"/>
      <c r="D118" s="64"/>
      <c r="E118" s="64" t="s">
        <v>251</v>
      </c>
      <c r="F118" s="71">
        <f>'5. Bilan'!BG120</f>
        <v>873422151.77999973</v>
      </c>
    </row>
    <row r="119" spans="1:6" x14ac:dyDescent="0.25">
      <c r="A119" s="7"/>
      <c r="B119" s="68">
        <v>20</v>
      </c>
      <c r="C119" s="68"/>
      <c r="D119" s="68"/>
      <c r="E119" s="68" t="s">
        <v>252</v>
      </c>
      <c r="F119" s="69">
        <f>'5. Bilan'!BG121</f>
        <v>616976149.57000005</v>
      </c>
    </row>
    <row r="120" spans="1:6" x14ac:dyDescent="0.25">
      <c r="C120" s="66">
        <v>200</v>
      </c>
      <c r="D120" s="66"/>
      <c r="E120" s="66" t="s">
        <v>253</v>
      </c>
      <c r="F120" s="67">
        <f>'5. Bilan'!BG122</f>
        <v>37578063.93</v>
      </c>
    </row>
    <row r="121" spans="1:6" x14ac:dyDescent="0.25">
      <c r="D121">
        <v>2000</v>
      </c>
      <c r="E121" t="s">
        <v>398</v>
      </c>
      <c r="F121" s="4">
        <f>'5. Bilan'!BG123</f>
        <v>28932315.269999996</v>
      </c>
    </row>
    <row r="122" spans="1:6" x14ac:dyDescent="0.25">
      <c r="D122">
        <v>2001</v>
      </c>
      <c r="E122" t="s">
        <v>399</v>
      </c>
      <c r="F122" s="4">
        <f>'5. Bilan'!BG124</f>
        <v>1845580.59</v>
      </c>
    </row>
    <row r="123" spans="1:6" x14ac:dyDescent="0.25">
      <c r="D123">
        <v>2002</v>
      </c>
      <c r="E123" t="s">
        <v>400</v>
      </c>
      <c r="F123" s="4">
        <f>'5. Bilan'!BG125</f>
        <v>4725578.080000001</v>
      </c>
    </row>
    <row r="124" spans="1:6" x14ac:dyDescent="0.25">
      <c r="D124">
        <v>2003</v>
      </c>
      <c r="E124" t="s">
        <v>401</v>
      </c>
      <c r="F124" s="4">
        <f>'5. Bilan'!BG126</f>
        <v>82070</v>
      </c>
    </row>
    <row r="125" spans="1:6" x14ac:dyDescent="0.25">
      <c r="D125">
        <v>2004</v>
      </c>
      <c r="E125" t="s">
        <v>402</v>
      </c>
      <c r="F125" s="4">
        <f>'5. Bilan'!BG127</f>
        <v>404693.15</v>
      </c>
    </row>
    <row r="126" spans="1:6" x14ac:dyDescent="0.25">
      <c r="D126">
        <v>2005</v>
      </c>
      <c r="E126" t="s">
        <v>323</v>
      </c>
      <c r="F126" s="4">
        <f>'5. Bilan'!BG128</f>
        <v>1356793.86</v>
      </c>
    </row>
    <row r="127" spans="1:6" x14ac:dyDescent="0.25">
      <c r="D127">
        <v>2006</v>
      </c>
      <c r="E127" t="s">
        <v>403</v>
      </c>
      <c r="F127" s="4">
        <f>'5. Bilan'!BG129</f>
        <v>72499.399999999994</v>
      </c>
    </row>
    <row r="128" spans="1:6" x14ac:dyDescent="0.25">
      <c r="D128">
        <v>2009</v>
      </c>
      <c r="E128" t="s">
        <v>404</v>
      </c>
      <c r="F128" s="4">
        <f>'5. Bilan'!BG130</f>
        <v>158533.58000000002</v>
      </c>
    </row>
    <row r="129" spans="3:6" x14ac:dyDescent="0.25">
      <c r="F129" s="31"/>
    </row>
    <row r="130" spans="3:6" x14ac:dyDescent="0.25">
      <c r="C130" s="66">
        <v>201</v>
      </c>
      <c r="D130" s="66"/>
      <c r="E130" s="66" t="s">
        <v>254</v>
      </c>
      <c r="F130" s="67">
        <f>'5. Bilan'!BG132</f>
        <v>107279453.19000001</v>
      </c>
    </row>
    <row r="131" spans="3:6" x14ac:dyDescent="0.25">
      <c r="D131">
        <v>2010</v>
      </c>
      <c r="E131" t="s">
        <v>405</v>
      </c>
      <c r="F131" s="4">
        <f>'5. Bilan'!BG133</f>
        <v>35006813.550000012</v>
      </c>
    </row>
    <row r="132" spans="3:6" x14ac:dyDescent="0.25">
      <c r="D132">
        <v>2011</v>
      </c>
      <c r="E132" t="s">
        <v>406</v>
      </c>
      <c r="F132" s="4">
        <f>'5. Bilan'!BG134</f>
        <v>12868781.99</v>
      </c>
    </row>
    <row r="133" spans="3:6" x14ac:dyDescent="0.25">
      <c r="D133">
        <v>2012</v>
      </c>
      <c r="E133" t="s">
        <v>407</v>
      </c>
      <c r="F133" s="4">
        <f>'5. Bilan'!BG135</f>
        <v>0</v>
      </c>
    </row>
    <row r="134" spans="3:6" x14ac:dyDescent="0.25">
      <c r="D134">
        <v>2013</v>
      </c>
      <c r="E134" t="s">
        <v>408</v>
      </c>
      <c r="F134" s="4">
        <f>'5. Bilan'!BG136</f>
        <v>0</v>
      </c>
    </row>
    <row r="135" spans="3:6" x14ac:dyDescent="0.25">
      <c r="D135">
        <v>2014</v>
      </c>
      <c r="E135" t="s">
        <v>410</v>
      </c>
      <c r="F135" s="4">
        <f>'5. Bilan'!BG137</f>
        <v>58625007.649999999</v>
      </c>
    </row>
    <row r="136" spans="3:6" x14ac:dyDescent="0.25">
      <c r="D136">
        <v>2015</v>
      </c>
      <c r="E136" t="s">
        <v>409</v>
      </c>
      <c r="F136" s="4">
        <f>'5. Bilan'!BG138</f>
        <v>0</v>
      </c>
    </row>
    <row r="137" spans="3:6" x14ac:dyDescent="0.25">
      <c r="D137">
        <v>2016</v>
      </c>
      <c r="E137" t="s">
        <v>269</v>
      </c>
      <c r="F137" s="4">
        <f>'5. Bilan'!BG139</f>
        <v>0</v>
      </c>
    </row>
    <row r="138" spans="3:6" x14ac:dyDescent="0.25">
      <c r="D138">
        <v>2019</v>
      </c>
      <c r="E138" t="s">
        <v>411</v>
      </c>
      <c r="F138" s="4">
        <f>'5. Bilan'!BG140</f>
        <v>778850</v>
      </c>
    </row>
    <row r="139" spans="3:6" x14ac:dyDescent="0.25">
      <c r="F139" s="31"/>
    </row>
    <row r="140" spans="3:6" x14ac:dyDescent="0.25">
      <c r="C140" s="66">
        <v>204</v>
      </c>
      <c r="D140" s="66"/>
      <c r="E140" s="66" t="s">
        <v>255</v>
      </c>
      <c r="F140" s="67">
        <f>'5. Bilan'!BG142</f>
        <v>12900362.9</v>
      </c>
    </row>
    <row r="141" spans="3:6" x14ac:dyDescent="0.25">
      <c r="D141">
        <v>2040</v>
      </c>
      <c r="E141" t="s">
        <v>61</v>
      </c>
      <c r="F141" s="4">
        <f>'5. Bilan'!BG143</f>
        <v>608489.85</v>
      </c>
    </row>
    <row r="142" spans="3:6" x14ac:dyDescent="0.25">
      <c r="D142">
        <v>2041</v>
      </c>
      <c r="E142" t="s">
        <v>277</v>
      </c>
      <c r="F142" s="4">
        <f>'5. Bilan'!BG144</f>
        <v>7475581.5100000026</v>
      </c>
    </row>
    <row r="143" spans="3:6" x14ac:dyDescent="0.25">
      <c r="D143">
        <v>2042</v>
      </c>
      <c r="E143" t="s">
        <v>331</v>
      </c>
      <c r="F143" s="4">
        <f>'5. Bilan'!BG145</f>
        <v>1365075.76</v>
      </c>
    </row>
    <row r="144" spans="3:6" x14ac:dyDescent="0.25">
      <c r="D144">
        <v>2043</v>
      </c>
      <c r="E144" t="s">
        <v>332</v>
      </c>
      <c r="F144" s="4">
        <f>'5. Bilan'!BG146</f>
        <v>2084046.7400000005</v>
      </c>
    </row>
    <row r="145" spans="3:6" x14ac:dyDescent="0.25">
      <c r="D145">
        <v>2044</v>
      </c>
      <c r="E145" t="s">
        <v>412</v>
      </c>
      <c r="F145" s="4">
        <f>'5. Bilan'!BG147</f>
        <v>384151.19999999995</v>
      </c>
    </row>
    <row r="146" spans="3:6" x14ac:dyDescent="0.25">
      <c r="D146">
        <v>2045</v>
      </c>
      <c r="E146" t="s">
        <v>334</v>
      </c>
      <c r="F146" s="4">
        <f>'5. Bilan'!BG148</f>
        <v>61824.24</v>
      </c>
    </row>
    <row r="147" spans="3:6" x14ac:dyDescent="0.25">
      <c r="D147">
        <v>2046</v>
      </c>
      <c r="E147" t="s">
        <v>413</v>
      </c>
      <c r="F147" s="4">
        <f>'5. Bilan'!BG149</f>
        <v>102425.35</v>
      </c>
    </row>
    <row r="148" spans="3:6" x14ac:dyDescent="0.25">
      <c r="D148">
        <v>2049</v>
      </c>
      <c r="E148" t="s">
        <v>414</v>
      </c>
      <c r="F148" s="4">
        <f>'5. Bilan'!BG150</f>
        <v>818768.25</v>
      </c>
    </row>
    <row r="149" spans="3:6" x14ac:dyDescent="0.25">
      <c r="F149" s="31"/>
    </row>
    <row r="150" spans="3:6" x14ac:dyDescent="0.25">
      <c r="C150" s="66">
        <v>205</v>
      </c>
      <c r="D150" s="66"/>
      <c r="E150" s="66" t="s">
        <v>256</v>
      </c>
      <c r="F150" s="67">
        <f>'5. Bilan'!BG152</f>
        <v>1017963.91</v>
      </c>
    </row>
    <row r="151" spans="3:6" x14ac:dyDescent="0.25">
      <c r="D151">
        <v>2050</v>
      </c>
      <c r="E151" t="s">
        <v>415</v>
      </c>
      <c r="F151" s="4">
        <f>'5. Bilan'!BG153</f>
        <v>729007.3600000001</v>
      </c>
    </row>
    <row r="152" spans="3:6" x14ac:dyDescent="0.25">
      <c r="D152">
        <v>2051</v>
      </c>
      <c r="E152" t="s">
        <v>416</v>
      </c>
      <c r="F152" s="4">
        <f>'5. Bilan'!BG154</f>
        <v>0</v>
      </c>
    </row>
    <row r="153" spans="3:6" x14ac:dyDescent="0.25">
      <c r="D153">
        <v>2052</v>
      </c>
      <c r="E153" t="s">
        <v>417</v>
      </c>
      <c r="F153" s="4">
        <f>'5. Bilan'!BG155</f>
        <v>15490</v>
      </c>
    </row>
    <row r="154" spans="3:6" x14ac:dyDescent="0.25">
      <c r="D154">
        <v>2053</v>
      </c>
      <c r="E154" t="s">
        <v>421</v>
      </c>
      <c r="F154" s="4">
        <f>'5. Bilan'!BG156</f>
        <v>125763.32</v>
      </c>
    </row>
    <row r="155" spans="3:6" x14ac:dyDescent="0.25">
      <c r="D155">
        <v>2054</v>
      </c>
      <c r="E155" t="s">
        <v>419</v>
      </c>
      <c r="F155" s="4">
        <f>'5. Bilan'!BG157</f>
        <v>495.6</v>
      </c>
    </row>
    <row r="156" spans="3:6" x14ac:dyDescent="0.25">
      <c r="D156">
        <v>2055</v>
      </c>
      <c r="E156" t="s">
        <v>418</v>
      </c>
      <c r="F156" s="4">
        <f>'5. Bilan'!BG158</f>
        <v>86487.53</v>
      </c>
    </row>
    <row r="157" spans="3:6" x14ac:dyDescent="0.25">
      <c r="D157">
        <v>2056</v>
      </c>
      <c r="E157" t="s">
        <v>420</v>
      </c>
      <c r="F157" s="4">
        <f>'5. Bilan'!BG159</f>
        <v>0</v>
      </c>
    </row>
    <row r="158" spans="3:6" x14ac:dyDescent="0.25">
      <c r="D158">
        <v>2057</v>
      </c>
      <c r="E158" t="s">
        <v>422</v>
      </c>
      <c r="F158" s="4">
        <f>'5. Bilan'!BG160</f>
        <v>28642</v>
      </c>
    </row>
    <row r="159" spans="3:6" x14ac:dyDescent="0.25">
      <c r="D159">
        <v>2058</v>
      </c>
      <c r="E159" t="s">
        <v>423</v>
      </c>
      <c r="F159" s="4">
        <f>'5. Bilan'!BG161</f>
        <v>25000</v>
      </c>
    </row>
    <row r="160" spans="3:6" x14ac:dyDescent="0.25">
      <c r="D160">
        <v>2059</v>
      </c>
      <c r="E160" t="s">
        <v>424</v>
      </c>
      <c r="F160" s="4">
        <f>'5. Bilan'!BG162</f>
        <v>7078.1</v>
      </c>
    </row>
    <row r="161" spans="3:6" x14ac:dyDescent="0.25">
      <c r="F161" s="31"/>
    </row>
    <row r="162" spans="3:6" x14ac:dyDescent="0.25">
      <c r="C162" s="66">
        <v>206</v>
      </c>
      <c r="D162" s="66"/>
      <c r="E162" s="66" t="s">
        <v>257</v>
      </c>
      <c r="F162" s="67">
        <f>'5. Bilan'!BG164</f>
        <v>443486105.92000002</v>
      </c>
    </row>
    <row r="163" spans="3:6" x14ac:dyDescent="0.25">
      <c r="D163">
        <v>2060</v>
      </c>
      <c r="E163" t="s">
        <v>425</v>
      </c>
      <c r="F163" s="4">
        <f>'5. Bilan'!BG165</f>
        <v>31479661.300000001</v>
      </c>
    </row>
    <row r="164" spans="3:6" x14ac:dyDescent="0.25">
      <c r="D164">
        <v>2062</v>
      </c>
      <c r="E164" t="s">
        <v>426</v>
      </c>
      <c r="F164" s="4">
        <f>'5. Bilan'!BG166</f>
        <v>0</v>
      </c>
    </row>
    <row r="165" spans="3:6" x14ac:dyDescent="0.25">
      <c r="D165">
        <v>2063</v>
      </c>
      <c r="E165" t="s">
        <v>427</v>
      </c>
      <c r="F165" s="4">
        <f>'5. Bilan'!BG167</f>
        <v>256862992.47</v>
      </c>
    </row>
    <row r="166" spans="3:6" x14ac:dyDescent="0.25">
      <c r="D166">
        <v>2064</v>
      </c>
      <c r="E166" t="s">
        <v>428</v>
      </c>
      <c r="F166" s="4">
        <f>'5. Bilan'!BG168</f>
        <v>158626992.15000001</v>
      </c>
    </row>
    <row r="167" spans="3:6" x14ac:dyDescent="0.25">
      <c r="D167">
        <v>2067</v>
      </c>
      <c r="E167" t="s">
        <v>429</v>
      </c>
      <c r="F167" s="4">
        <f>'5. Bilan'!BG169</f>
        <v>-1093760</v>
      </c>
    </row>
    <row r="168" spans="3:6" x14ac:dyDescent="0.25">
      <c r="D168">
        <v>2069</v>
      </c>
      <c r="E168" t="s">
        <v>430</v>
      </c>
      <c r="F168" s="4">
        <f>'5. Bilan'!BG170</f>
        <v>-2389780</v>
      </c>
    </row>
    <row r="169" spans="3:6" x14ac:dyDescent="0.25">
      <c r="F169" s="31"/>
    </row>
    <row r="170" spans="3:6" x14ac:dyDescent="0.25">
      <c r="C170" s="66">
        <v>208</v>
      </c>
      <c r="D170" s="66"/>
      <c r="E170" s="66" t="s">
        <v>258</v>
      </c>
      <c r="F170" s="67">
        <f>'5. Bilan'!BG172</f>
        <v>5309439.62</v>
      </c>
    </row>
    <row r="171" spans="3:6" x14ac:dyDescent="0.25">
      <c r="D171">
        <v>2081</v>
      </c>
      <c r="E171" t="s">
        <v>431</v>
      </c>
      <c r="F171" s="4">
        <f>'5. Bilan'!BG173</f>
        <v>0</v>
      </c>
    </row>
    <row r="172" spans="3:6" x14ac:dyDescent="0.25">
      <c r="D172">
        <v>2082</v>
      </c>
      <c r="E172" t="s">
        <v>432</v>
      </c>
      <c r="F172" s="4">
        <f>'5. Bilan'!BG174</f>
        <v>0</v>
      </c>
    </row>
    <row r="173" spans="3:6" x14ac:dyDescent="0.25">
      <c r="D173">
        <v>2083</v>
      </c>
      <c r="E173" t="s">
        <v>433</v>
      </c>
      <c r="F173" s="4">
        <f>'5. Bilan'!BG175</f>
        <v>10691.47</v>
      </c>
    </row>
    <row r="174" spans="3:6" x14ac:dyDescent="0.25">
      <c r="D174">
        <v>2084</v>
      </c>
      <c r="E174" t="s">
        <v>434</v>
      </c>
      <c r="F174" s="4">
        <f>'5. Bilan'!BG176</f>
        <v>0</v>
      </c>
    </row>
    <row r="175" spans="3:6" x14ac:dyDescent="0.25">
      <c r="D175">
        <v>2085</v>
      </c>
      <c r="E175" t="s">
        <v>436</v>
      </c>
      <c r="F175" s="4">
        <f>'5. Bilan'!BG177</f>
        <v>797894.04999999993</v>
      </c>
    </row>
    <row r="176" spans="3:6" x14ac:dyDescent="0.25">
      <c r="D176">
        <v>2086</v>
      </c>
      <c r="E176" t="s">
        <v>435</v>
      </c>
      <c r="F176" s="4">
        <f>'5. Bilan'!BG178</f>
        <v>0</v>
      </c>
    </row>
    <row r="177" spans="2:6" x14ac:dyDescent="0.25">
      <c r="D177">
        <v>2087</v>
      </c>
      <c r="E177" t="s">
        <v>437</v>
      </c>
      <c r="F177" s="4">
        <f>'5. Bilan'!BG179</f>
        <v>0</v>
      </c>
    </row>
    <row r="178" spans="2:6" x14ac:dyDescent="0.25">
      <c r="D178">
        <v>2088</v>
      </c>
      <c r="E178" t="s">
        <v>438</v>
      </c>
      <c r="F178" s="4">
        <f>'5. Bilan'!BG180</f>
        <v>0</v>
      </c>
    </row>
    <row r="179" spans="2:6" x14ac:dyDescent="0.25">
      <c r="D179">
        <v>2089</v>
      </c>
      <c r="E179" t="s">
        <v>439</v>
      </c>
      <c r="F179" s="4">
        <f>'5. Bilan'!BG181</f>
        <v>4500854.0999999996</v>
      </c>
    </row>
    <row r="180" spans="2:6" x14ac:dyDescent="0.25">
      <c r="F180" s="31"/>
    </row>
    <row r="181" spans="2:6" x14ac:dyDescent="0.25">
      <c r="C181" s="66">
        <v>209</v>
      </c>
      <c r="D181" s="66"/>
      <c r="E181" s="66" t="s">
        <v>259</v>
      </c>
      <c r="F181" s="67">
        <f>'5. Bilan'!BG183</f>
        <v>9404760.1000000015</v>
      </c>
    </row>
    <row r="182" spans="2:6" x14ac:dyDescent="0.25">
      <c r="D182">
        <v>2090</v>
      </c>
      <c r="E182" t="s">
        <v>259</v>
      </c>
      <c r="F182" s="4">
        <f>'5. Bilan'!BG184</f>
        <v>1044497.5499999999</v>
      </c>
    </row>
    <row r="183" spans="2:6" x14ac:dyDescent="0.25">
      <c r="D183">
        <v>2091</v>
      </c>
      <c r="E183" t="s">
        <v>440</v>
      </c>
      <c r="F183" s="4">
        <f>'5. Bilan'!BG185</f>
        <v>8307896.3000000007</v>
      </c>
    </row>
    <row r="184" spans="2:6" x14ac:dyDescent="0.25">
      <c r="D184">
        <v>2092</v>
      </c>
      <c r="E184" t="s">
        <v>441</v>
      </c>
      <c r="F184" s="4">
        <f>'5. Bilan'!BG186</f>
        <v>500</v>
      </c>
    </row>
    <row r="185" spans="2:6" x14ac:dyDescent="0.25">
      <c r="D185">
        <v>2093</v>
      </c>
      <c r="E185" t="s">
        <v>442</v>
      </c>
      <c r="F185" s="4">
        <f>'5. Bilan'!BG187</f>
        <v>51866.25</v>
      </c>
    </row>
    <row r="186" spans="2:6" x14ac:dyDescent="0.25">
      <c r="F186" s="31"/>
    </row>
    <row r="187" spans="2:6" x14ac:dyDescent="0.25">
      <c r="B187" s="68">
        <v>29</v>
      </c>
      <c r="C187" s="68"/>
      <c r="D187" s="68"/>
      <c r="E187" s="68" t="s">
        <v>260</v>
      </c>
      <c r="F187" s="69">
        <f>'5. Bilan'!BG189</f>
        <v>256446002.21000004</v>
      </c>
    </row>
    <row r="188" spans="2:6" x14ac:dyDescent="0.25">
      <c r="C188" s="66">
        <v>290</v>
      </c>
      <c r="D188" s="66"/>
      <c r="E188" s="66" t="s">
        <v>261</v>
      </c>
      <c r="F188" s="67">
        <f>'5. Bilan'!BG190</f>
        <v>101978609.80999999</v>
      </c>
    </row>
    <row r="189" spans="2:6" x14ac:dyDescent="0.25">
      <c r="D189">
        <v>2900</v>
      </c>
      <c r="E189" t="s">
        <v>261</v>
      </c>
      <c r="F189" s="4">
        <f>'5. Bilan'!BG191</f>
        <v>101978609.80999999</v>
      </c>
    </row>
    <row r="190" spans="2:6" x14ac:dyDescent="0.25">
      <c r="F190" s="31"/>
    </row>
    <row r="191" spans="2:6" x14ac:dyDescent="0.25">
      <c r="C191" s="66">
        <v>291</v>
      </c>
      <c r="D191" s="66"/>
      <c r="E191" s="66" t="s">
        <v>262</v>
      </c>
      <c r="F191" s="67">
        <f>'5. Bilan'!BG193</f>
        <v>1455148.63</v>
      </c>
    </row>
    <row r="192" spans="2:6" x14ac:dyDescent="0.25">
      <c r="D192">
        <v>2910</v>
      </c>
      <c r="E192" t="s">
        <v>262</v>
      </c>
      <c r="F192" s="4">
        <f>'5. Bilan'!BG194</f>
        <v>1185423.82</v>
      </c>
    </row>
    <row r="193" spans="3:6" x14ac:dyDescent="0.25">
      <c r="D193">
        <v>2911</v>
      </c>
      <c r="E193" t="s">
        <v>443</v>
      </c>
      <c r="F193" s="4">
        <f>'5. Bilan'!BG195</f>
        <v>269724.81</v>
      </c>
    </row>
    <row r="194" spans="3:6" x14ac:dyDescent="0.25">
      <c r="F194" s="31"/>
    </row>
    <row r="195" spans="3:6" x14ac:dyDescent="0.25">
      <c r="C195" s="66">
        <v>292</v>
      </c>
      <c r="D195" s="66"/>
      <c r="E195" s="66" t="s">
        <v>263</v>
      </c>
      <c r="F195" s="67">
        <f>'5. Bilan'!BG197</f>
        <v>496495.75</v>
      </c>
    </row>
    <row r="196" spans="3:6" x14ac:dyDescent="0.25">
      <c r="D196">
        <v>2920</v>
      </c>
      <c r="E196" t="s">
        <v>263</v>
      </c>
      <c r="F196" s="4">
        <f>'5. Bilan'!BG198</f>
        <v>496495.75</v>
      </c>
    </row>
    <row r="197" spans="3:6" x14ac:dyDescent="0.25">
      <c r="F197" s="31"/>
    </row>
    <row r="198" spans="3:6" x14ac:dyDescent="0.25">
      <c r="C198" s="66">
        <v>293</v>
      </c>
      <c r="D198" s="66"/>
      <c r="E198" s="66" t="s">
        <v>264</v>
      </c>
      <c r="F198" s="67">
        <f>'5. Bilan'!BG200</f>
        <v>15588873.17</v>
      </c>
    </row>
    <row r="199" spans="3:6" x14ac:dyDescent="0.25">
      <c r="D199">
        <v>2930</v>
      </c>
      <c r="E199" t="s">
        <v>264</v>
      </c>
      <c r="F199" s="4">
        <f>'5. Bilan'!BG201</f>
        <v>15588873.17</v>
      </c>
    </row>
    <row r="200" spans="3:6" x14ac:dyDescent="0.25">
      <c r="F200" s="31"/>
    </row>
    <row r="201" spans="3:6" x14ac:dyDescent="0.25">
      <c r="C201" s="66">
        <v>294</v>
      </c>
      <c r="D201" s="66"/>
      <c r="E201" s="66" t="s">
        <v>265</v>
      </c>
      <c r="F201" s="67">
        <f>'5. Bilan'!BG203</f>
        <v>28092726.560000006</v>
      </c>
    </row>
    <row r="202" spans="3:6" x14ac:dyDescent="0.25">
      <c r="D202">
        <v>2940</v>
      </c>
      <c r="E202" t="s">
        <v>265</v>
      </c>
      <c r="F202" s="4">
        <f>'5. Bilan'!BG204</f>
        <v>28092726.560000006</v>
      </c>
    </row>
    <row r="203" spans="3:6" x14ac:dyDescent="0.25">
      <c r="F203" s="31"/>
    </row>
    <row r="204" spans="3:6" x14ac:dyDescent="0.25">
      <c r="C204" s="66">
        <v>295</v>
      </c>
      <c r="D204" s="66"/>
      <c r="E204" s="66" t="s">
        <v>266</v>
      </c>
      <c r="F204" s="67">
        <f>'5. Bilan'!BG206</f>
        <v>497783.3</v>
      </c>
    </row>
    <row r="205" spans="3:6" x14ac:dyDescent="0.25">
      <c r="D205">
        <v>2950</v>
      </c>
      <c r="E205" t="s">
        <v>266</v>
      </c>
      <c r="F205" s="4">
        <f>'5. Bilan'!BG207</f>
        <v>497783.3</v>
      </c>
    </row>
    <row r="206" spans="3:6" x14ac:dyDescent="0.25">
      <c r="F206" s="31"/>
    </row>
    <row r="207" spans="3:6" x14ac:dyDescent="0.25">
      <c r="C207" s="66">
        <v>296</v>
      </c>
      <c r="D207" s="66"/>
      <c r="E207" s="66" t="s">
        <v>267</v>
      </c>
      <c r="F207" s="67">
        <f>'5. Bilan'!BG209</f>
        <v>7620869.9900000002</v>
      </c>
    </row>
    <row r="208" spans="3:6" x14ac:dyDescent="0.25">
      <c r="D208">
        <v>2960</v>
      </c>
      <c r="E208" t="s">
        <v>267</v>
      </c>
      <c r="F208" s="4">
        <f>'5. Bilan'!BG210</f>
        <v>7620869.9900000002</v>
      </c>
    </row>
    <row r="209" spans="3:6" x14ac:dyDescent="0.25">
      <c r="F209" s="31"/>
    </row>
    <row r="210" spans="3:6" x14ac:dyDescent="0.25">
      <c r="C210" s="66">
        <v>298</v>
      </c>
      <c r="D210" s="66"/>
      <c r="E210" s="66" t="s">
        <v>268</v>
      </c>
      <c r="F210" s="67">
        <f>'5. Bilan'!BG212</f>
        <v>146768.70000000001</v>
      </c>
    </row>
    <row r="211" spans="3:6" x14ac:dyDescent="0.25">
      <c r="D211">
        <v>2980</v>
      </c>
      <c r="E211" t="s">
        <v>268</v>
      </c>
      <c r="F211" s="4">
        <f>'5. Bilan'!BG213</f>
        <v>146768.70000000001</v>
      </c>
    </row>
    <row r="212" spans="3:6" x14ac:dyDescent="0.25">
      <c r="F212" s="31"/>
    </row>
    <row r="213" spans="3:6" x14ac:dyDescent="0.25">
      <c r="C213" s="66">
        <v>299</v>
      </c>
      <c r="D213" s="66"/>
      <c r="E213" s="66" t="s">
        <v>444</v>
      </c>
      <c r="F213" s="67">
        <f>'5. Bilan'!BG215</f>
        <v>100568726.30000004</v>
      </c>
    </row>
    <row r="214" spans="3:6" x14ac:dyDescent="0.25">
      <c r="D214">
        <v>2990</v>
      </c>
      <c r="E214" t="s">
        <v>444</v>
      </c>
      <c r="F214" s="31">
        <f>'5. Bilan'!BG216</f>
        <v>2964055.3999999985</v>
      </c>
    </row>
    <row r="215" spans="3:6" x14ac:dyDescent="0.25">
      <c r="D215">
        <v>2999</v>
      </c>
      <c r="E215" t="s">
        <v>445</v>
      </c>
      <c r="F215" s="31">
        <f>'5. Bilan'!BG217</f>
        <v>97604670.900000021</v>
      </c>
    </row>
    <row r="216" spans="3:6" x14ac:dyDescent="0.25">
      <c r="F216" s="31"/>
    </row>
    <row r="217" spans="3:6" x14ac:dyDescent="0.25">
      <c r="F217" s="31"/>
    </row>
    <row r="218" spans="3:6" x14ac:dyDescent="0.25">
      <c r="F218" s="31"/>
    </row>
    <row r="219" spans="3:6" x14ac:dyDescent="0.25">
      <c r="E219" s="48" t="s">
        <v>68</v>
      </c>
      <c r="F219" s="30">
        <f>'5. Bilan'!BG225</f>
        <v>274946.04000008106</v>
      </c>
    </row>
  </sheetData>
  <pageMargins left="0.7" right="0.7" top="0.75" bottom="0.75" header="0.3" footer="0.3"/>
  <pageSetup paperSize="8" scale="33"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tint="0.59999389629810485"/>
  </sheetPr>
  <dimension ref="B2:E10"/>
  <sheetViews>
    <sheetView workbookViewId="0">
      <selection activeCell="E2" sqref="E2"/>
    </sheetView>
  </sheetViews>
  <sheetFormatPr baseColWidth="10" defaultColWidth="11.42578125" defaultRowHeight="15" x14ac:dyDescent="0.25"/>
  <cols>
    <col min="1" max="1" width="5.85546875" customWidth="1"/>
    <col min="2" max="2" width="7.42578125" customWidth="1"/>
    <col min="3" max="3" width="8.28515625" customWidth="1"/>
    <col min="4" max="4" width="60.5703125" customWidth="1"/>
    <col min="5" max="5" width="22.85546875" customWidth="1"/>
  </cols>
  <sheetData>
    <row r="2" spans="2:5" x14ac:dyDescent="0.25">
      <c r="B2" s="7">
        <v>290</v>
      </c>
      <c r="C2" s="7"/>
      <c r="D2" t="s">
        <v>261</v>
      </c>
      <c r="E2" s="4">
        <f>'5.2 Tableau bilan'!F188</f>
        <v>101978609.80999999</v>
      </c>
    </row>
    <row r="3" spans="2:5" x14ac:dyDescent="0.25">
      <c r="B3" s="7">
        <v>291</v>
      </c>
      <c r="C3" s="7"/>
      <c r="D3" t="s">
        <v>262</v>
      </c>
      <c r="E3" s="4">
        <f>'5.2 Tableau bilan'!F191</f>
        <v>1455148.63</v>
      </c>
    </row>
    <row r="4" spans="2:5" x14ac:dyDescent="0.25">
      <c r="B4" s="7">
        <v>292</v>
      </c>
      <c r="C4" s="7"/>
      <c r="D4" t="s">
        <v>263</v>
      </c>
      <c r="E4" s="4">
        <f>'5.2 Tableau bilan'!F195</f>
        <v>496495.75</v>
      </c>
    </row>
    <row r="5" spans="2:5" x14ac:dyDescent="0.25">
      <c r="B5" s="7">
        <v>293</v>
      </c>
      <c r="C5" s="7"/>
      <c r="D5" t="s">
        <v>264</v>
      </c>
      <c r="E5" s="4">
        <f>'5.2 Tableau bilan'!F198</f>
        <v>15588873.17</v>
      </c>
    </row>
    <row r="6" spans="2:5" x14ac:dyDescent="0.25">
      <c r="B6" s="7">
        <v>294</v>
      </c>
      <c r="C6" s="7"/>
      <c r="D6" t="s">
        <v>265</v>
      </c>
      <c r="E6" s="4">
        <f>'5.2 Tableau bilan'!F201</f>
        <v>28092726.560000006</v>
      </c>
    </row>
    <row r="7" spans="2:5" x14ac:dyDescent="0.25">
      <c r="B7" s="7">
        <v>295</v>
      </c>
      <c r="C7" s="7"/>
      <c r="D7" t="s">
        <v>266</v>
      </c>
      <c r="E7" s="4">
        <f>'5.2 Tableau bilan'!F204</f>
        <v>497783.3</v>
      </c>
    </row>
    <row r="8" spans="2:5" x14ac:dyDescent="0.25">
      <c r="B8" s="7">
        <v>296</v>
      </c>
      <c r="C8" s="7"/>
      <c r="D8" t="s">
        <v>267</v>
      </c>
      <c r="E8" s="4">
        <f>'5.2 Tableau bilan'!F207</f>
        <v>7620869.9900000002</v>
      </c>
    </row>
    <row r="9" spans="2:5" x14ac:dyDescent="0.25">
      <c r="B9" s="7">
        <v>298</v>
      </c>
      <c r="C9" s="7"/>
      <c r="D9" t="s">
        <v>268</v>
      </c>
      <c r="E9" s="4">
        <f>'5.2 Tableau bilan'!F210</f>
        <v>146768.70000000001</v>
      </c>
    </row>
    <row r="10" spans="2:5" x14ac:dyDescent="0.25">
      <c r="B10" s="7">
        <v>299</v>
      </c>
      <c r="C10" s="7"/>
      <c r="D10" t="s">
        <v>444</v>
      </c>
      <c r="E10" s="4">
        <f>'5.2 Tableau bilan'!F213</f>
        <v>100568726.30000004</v>
      </c>
    </row>
  </sheetData>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59999389629810485"/>
  </sheetPr>
  <dimension ref="A1:BG61"/>
  <sheetViews>
    <sheetView workbookViewId="0">
      <pane xSplit="2" ySplit="6" topLeftCell="BC7" activePane="bottomRight" state="frozen"/>
      <selection pane="topRight" activeCell="C1" sqref="C1"/>
      <selection pane="bottomLeft" activeCell="A7" sqref="A7"/>
      <selection pane="bottomRight" activeCell="BD20" sqref="BD20"/>
    </sheetView>
  </sheetViews>
  <sheetFormatPr baseColWidth="10" defaultColWidth="11.42578125" defaultRowHeight="15" x14ac:dyDescent="0.25"/>
  <cols>
    <col min="1" max="1" width="5.7109375" customWidth="1"/>
    <col min="2" max="2" width="50.28515625" customWidth="1"/>
    <col min="3" max="56" width="16.28515625" customWidth="1"/>
    <col min="57" max="59" width="17.85546875" customWidth="1"/>
  </cols>
  <sheetData>
    <row r="1" spans="1:59" ht="26.25" x14ac:dyDescent="0.4">
      <c r="A1" s="32" t="s">
        <v>850</v>
      </c>
      <c r="B1" s="7"/>
    </row>
    <row r="2" spans="1:59" ht="15" customHeight="1" x14ac:dyDescent="0.25">
      <c r="A2" s="150" t="s">
        <v>450</v>
      </c>
      <c r="B2" s="7"/>
    </row>
    <row r="3" spans="1:59" ht="15" customHeight="1" x14ac:dyDescent="0.25">
      <c r="A3" s="7"/>
      <c r="B3" s="7"/>
    </row>
    <row r="4" spans="1:59" ht="15" customHeight="1" x14ac:dyDescent="0.4">
      <c r="A4" s="32"/>
      <c r="B4" s="7"/>
    </row>
    <row r="5" spans="1:59" x14ac:dyDescent="0.25">
      <c r="A5" s="151"/>
      <c r="C5" s="45">
        <f>'Base de données pop.'!C2</f>
        <v>947</v>
      </c>
      <c r="D5" s="45">
        <f>'Base de données pop.'!C3</f>
        <v>265</v>
      </c>
      <c r="E5" s="45">
        <f>'Base de données pop.'!C4</f>
        <v>469</v>
      </c>
      <c r="F5" s="45">
        <f>'Base de données pop.'!C5</f>
        <v>439</v>
      </c>
      <c r="G5" s="45">
        <f>'Base de données pop.'!C6</f>
        <v>3728</v>
      </c>
      <c r="H5" s="45">
        <f>'Base de données pop.'!C7</f>
        <v>3345</v>
      </c>
      <c r="I5" s="45">
        <f>'Base de données pop.'!C8</f>
        <v>2652</v>
      </c>
      <c r="J5" s="45">
        <f>'Base de données pop.'!C9</f>
        <v>12479</v>
      </c>
      <c r="K5" s="45">
        <f>'Base de données pop.'!C10</f>
        <v>1359</v>
      </c>
      <c r="L5" s="45">
        <f>'Base de données pop.'!C11</f>
        <v>117</v>
      </c>
      <c r="M5" s="45">
        <f>'Base de données pop.'!C12</f>
        <v>7261</v>
      </c>
      <c r="N5" s="45">
        <f>'Base de données pop.'!C13</f>
        <v>538</v>
      </c>
      <c r="O5" s="45">
        <f>'Base de données pop.'!C14</f>
        <v>111</v>
      </c>
      <c r="P5" s="45">
        <f>'Base de données pop.'!C15</f>
        <v>421</v>
      </c>
      <c r="Q5" s="45">
        <f>'Base de données pop.'!C16</f>
        <v>346</v>
      </c>
      <c r="R5" s="45">
        <f>'Base de données pop.'!C17</f>
        <v>710</v>
      </c>
      <c r="S5" s="45">
        <f>'Base de données pop.'!C18</f>
        <v>269</v>
      </c>
      <c r="T5" s="45">
        <f>'Base de données pop.'!C19</f>
        <v>440</v>
      </c>
      <c r="U5" s="45">
        <f>'Base de données pop.'!C20</f>
        <v>3229</v>
      </c>
      <c r="V5" s="45">
        <f>'Base de données pop.'!C21</f>
        <v>310</v>
      </c>
      <c r="W5" s="45">
        <f>'Base de données pop.'!C22</f>
        <v>1270</v>
      </c>
      <c r="X5" s="45">
        <f>'Base de données pop.'!C23</f>
        <v>1506</v>
      </c>
      <c r="Y5" s="45">
        <f>'Base de données pop.'!C24</f>
        <v>96</v>
      </c>
      <c r="Z5" s="45">
        <f>'Base de données pop.'!C25</f>
        <v>148</v>
      </c>
      <c r="AA5" s="45">
        <f>'Base de données pop.'!C26</f>
        <v>518</v>
      </c>
      <c r="AB5" s="45">
        <f>'Base de données pop.'!C27</f>
        <v>701</v>
      </c>
      <c r="AC5" s="45">
        <f>'Base de données pop.'!C28</f>
        <v>564</v>
      </c>
      <c r="AD5" s="45">
        <f>'Base de données pop.'!C29</f>
        <v>525</v>
      </c>
      <c r="AE5" s="45">
        <f>'Base de données pop.'!C30</f>
        <v>1909</v>
      </c>
      <c r="AF5" s="45">
        <f>'Base de données pop.'!C31</f>
        <v>2580</v>
      </c>
      <c r="AG5" s="45">
        <f>'Base de données pop.'!C32</f>
        <v>222</v>
      </c>
      <c r="AH5" s="45">
        <f>'Base de données pop.'!C33</f>
        <v>129</v>
      </c>
      <c r="AI5" s="45">
        <f>'Base de données pop.'!C34</f>
        <v>1891</v>
      </c>
      <c r="AJ5" s="45">
        <f>'Base de données pop.'!C35</f>
        <v>1126</v>
      </c>
      <c r="AK5" s="45">
        <f>'Base de données pop.'!C36</f>
        <v>1225</v>
      </c>
      <c r="AL5" s="45">
        <f>'Base de données pop.'!C37</f>
        <v>117</v>
      </c>
      <c r="AM5" s="45">
        <f>'Base de données pop.'!C38</f>
        <v>1185</v>
      </c>
      <c r="AN5" s="45">
        <f>'Base de données pop.'!C39</f>
        <v>642</v>
      </c>
      <c r="AO5" s="45">
        <f>'Base de données pop.'!C40</f>
        <v>633</v>
      </c>
      <c r="AP5" s="45">
        <f>'Base de données pop.'!C41</f>
        <v>1284</v>
      </c>
      <c r="AQ5" s="45">
        <f>'Base de données pop.'!C42</f>
        <v>731</v>
      </c>
      <c r="AR5" s="45">
        <f>'Base de données pop.'!C43</f>
        <v>1016</v>
      </c>
      <c r="AS5" s="45">
        <f>'Base de données pop.'!C44</f>
        <v>304</v>
      </c>
      <c r="AT5" s="45">
        <f>'Base de données pop.'!C45</f>
        <v>2412</v>
      </c>
      <c r="AU5" s="45">
        <f>'Base de données pop.'!C46</f>
        <v>735</v>
      </c>
      <c r="AV5" s="45">
        <f>'Base de données pop.'!C47</f>
        <v>185</v>
      </c>
      <c r="AW5" s="45">
        <f>'Base de données pop.'!C48</f>
        <v>340</v>
      </c>
      <c r="AX5" s="45">
        <f>'Base de données pop.'!C49</f>
        <v>1697</v>
      </c>
      <c r="AY5" s="45">
        <f>'Base de données pop.'!C50</f>
        <v>390</v>
      </c>
      <c r="AZ5" s="45">
        <f>'Base de données pop.'!C51</f>
        <v>1073</v>
      </c>
      <c r="BA5" s="45">
        <f>'Base de données pop.'!C52</f>
        <v>184</v>
      </c>
      <c r="BB5" s="45">
        <f>'Base de données pop.'!C53</f>
        <v>6466</v>
      </c>
      <c r="BC5" s="45">
        <f>'Base de données pop.'!C54</f>
        <v>559</v>
      </c>
      <c r="BD5" s="45">
        <f>SUM(C5:BC5)</f>
        <v>73798</v>
      </c>
      <c r="BE5" s="45">
        <f>SUM(C5:U5)</f>
        <v>39125</v>
      </c>
      <c r="BF5" s="45">
        <f>SUM(V5:AH5)</f>
        <v>10478</v>
      </c>
      <c r="BG5" s="45">
        <f>SUM(AI5:BC5)</f>
        <v>24195</v>
      </c>
    </row>
    <row r="6" spans="1:59" x14ac:dyDescent="0.25">
      <c r="C6" s="33" t="s">
        <v>56</v>
      </c>
      <c r="D6" s="33" t="s">
        <v>18</v>
      </c>
      <c r="E6" s="33" t="s">
        <v>57</v>
      </c>
      <c r="F6" s="33" t="s">
        <v>53</v>
      </c>
      <c r="G6" s="33" t="s">
        <v>33</v>
      </c>
      <c r="H6" s="33" t="s">
        <v>10</v>
      </c>
      <c r="I6" s="33" t="s">
        <v>15</v>
      </c>
      <c r="J6" s="33" t="s">
        <v>28</v>
      </c>
      <c r="K6" s="33" t="s">
        <v>42</v>
      </c>
      <c r="L6" s="33" t="s">
        <v>23</v>
      </c>
      <c r="M6" s="33" t="s">
        <v>22</v>
      </c>
      <c r="N6" s="33" t="s">
        <v>13</v>
      </c>
      <c r="O6" s="33" t="s">
        <v>17</v>
      </c>
      <c r="P6" s="33" t="s">
        <v>43</v>
      </c>
      <c r="Q6" s="33" t="s">
        <v>40</v>
      </c>
      <c r="R6" s="33" t="s">
        <v>31</v>
      </c>
      <c r="S6" s="33" t="s">
        <v>12</v>
      </c>
      <c r="T6" s="33" t="s">
        <v>59</v>
      </c>
      <c r="U6" s="33" t="s">
        <v>27</v>
      </c>
      <c r="V6" s="34" t="s">
        <v>30</v>
      </c>
      <c r="W6" s="34" t="s">
        <v>20</v>
      </c>
      <c r="X6" s="34" t="s">
        <v>45</v>
      </c>
      <c r="Y6" s="34" t="s">
        <v>71</v>
      </c>
      <c r="Z6" s="34" t="s">
        <v>39</v>
      </c>
      <c r="AA6" s="34" t="s">
        <v>19</v>
      </c>
      <c r="AB6" s="34" t="s">
        <v>41</v>
      </c>
      <c r="AC6" s="34" t="s">
        <v>36</v>
      </c>
      <c r="AD6" s="34" t="s">
        <v>7</v>
      </c>
      <c r="AE6" s="34" t="s">
        <v>55</v>
      </c>
      <c r="AF6" s="34" t="s">
        <v>21</v>
      </c>
      <c r="AG6" s="34" t="s">
        <v>6</v>
      </c>
      <c r="AH6" s="34" t="s">
        <v>34</v>
      </c>
      <c r="AI6" s="35" t="s">
        <v>52</v>
      </c>
      <c r="AJ6" s="35" t="s">
        <v>14</v>
      </c>
      <c r="AK6" s="35" t="s">
        <v>32</v>
      </c>
      <c r="AL6" s="35" t="s">
        <v>29</v>
      </c>
      <c r="AM6" s="35" t="s">
        <v>26</v>
      </c>
      <c r="AN6" s="35" t="s">
        <v>48</v>
      </c>
      <c r="AO6" s="35" t="s">
        <v>44</v>
      </c>
      <c r="AP6" s="35" t="s">
        <v>37</v>
      </c>
      <c r="AQ6" s="35" t="s">
        <v>51</v>
      </c>
      <c r="AR6" s="35" t="s">
        <v>8</v>
      </c>
      <c r="AS6" s="35" t="s">
        <v>24</v>
      </c>
      <c r="AT6" s="35" t="s">
        <v>9</v>
      </c>
      <c r="AU6" s="35" t="s">
        <v>62</v>
      </c>
      <c r="AV6" s="35" t="s">
        <v>46</v>
      </c>
      <c r="AW6" s="35" t="s">
        <v>35</v>
      </c>
      <c r="AX6" s="35" t="s">
        <v>49</v>
      </c>
      <c r="AY6" s="35" t="s">
        <v>47</v>
      </c>
      <c r="AZ6" s="35" t="s">
        <v>58</v>
      </c>
      <c r="BA6" s="35" t="s">
        <v>50</v>
      </c>
      <c r="BB6" s="35" t="s">
        <v>16</v>
      </c>
      <c r="BC6" s="35" t="s">
        <v>25</v>
      </c>
      <c r="BD6" s="36" t="s">
        <v>65</v>
      </c>
      <c r="BE6" s="37" t="s">
        <v>28</v>
      </c>
      <c r="BF6" s="34" t="s">
        <v>64</v>
      </c>
      <c r="BG6" s="35" t="s">
        <v>16</v>
      </c>
    </row>
    <row r="7" spans="1:59" x14ac:dyDescent="0.25">
      <c r="A7">
        <v>10</v>
      </c>
      <c r="B7" t="s">
        <v>240</v>
      </c>
      <c r="C7" s="83">
        <f>'5. Bilan'!F5</f>
        <v>6215834.7400000002</v>
      </c>
      <c r="D7" s="83">
        <f>'5. Bilan'!G5</f>
        <v>1141851.18</v>
      </c>
      <c r="E7" s="83">
        <f>'5. Bilan'!H5</f>
        <v>3560116.5900000003</v>
      </c>
      <c r="F7" s="83">
        <f>'5. Bilan'!I5</f>
        <v>4659729.1099999994</v>
      </c>
      <c r="G7" s="83">
        <f>'5. Bilan'!J5</f>
        <v>15358859.32</v>
      </c>
      <c r="H7" s="83">
        <f>'5. Bilan'!K5</f>
        <v>8576665.4699999988</v>
      </c>
      <c r="I7" s="83">
        <f>'5. Bilan'!L5</f>
        <v>10901550.18</v>
      </c>
      <c r="J7" s="83">
        <f>'5. Bilan'!M5</f>
        <v>50722063.130000003</v>
      </c>
      <c r="K7" s="83">
        <f>'5. Bilan'!N5</f>
        <v>3552476.3299999996</v>
      </c>
      <c r="L7" s="83">
        <f>'5. Bilan'!O5</f>
        <v>387086.74</v>
      </c>
      <c r="M7" s="83">
        <f>'5. Bilan'!P5</f>
        <v>18670168.030000001</v>
      </c>
      <c r="N7" s="83">
        <f>'5. Bilan'!Q5</f>
        <v>2335602.8600000003</v>
      </c>
      <c r="O7" s="83">
        <f>'5. Bilan'!R5</f>
        <v>533749.43999999994</v>
      </c>
      <c r="P7" s="83">
        <f>'5. Bilan'!S5</f>
        <v>1346191.77</v>
      </c>
      <c r="Q7" s="83">
        <f>'5. Bilan'!T5</f>
        <v>2420446.7000000002</v>
      </c>
      <c r="R7" s="83">
        <f>'5. Bilan'!U5</f>
        <v>5477916.4499999993</v>
      </c>
      <c r="S7" s="83">
        <f>'5. Bilan'!V5</f>
        <v>758188.35000000009</v>
      </c>
      <c r="T7" s="83">
        <f>'5. Bilan'!W5</f>
        <v>2180801.88</v>
      </c>
      <c r="U7" s="83">
        <f>'5. Bilan'!X5</f>
        <v>6432633.5</v>
      </c>
      <c r="V7" s="83">
        <f>'5. Bilan'!Y5</f>
        <v>1924599.9999999998</v>
      </c>
      <c r="W7" s="83">
        <f>'5. Bilan'!Z5</f>
        <v>4480522.830000001</v>
      </c>
      <c r="X7" s="83">
        <f>'5. Bilan'!AA5</f>
        <v>24040991.959999997</v>
      </c>
      <c r="Y7" s="83">
        <f>'5. Bilan'!AB5</f>
        <v>767484.10000000009</v>
      </c>
      <c r="Z7" s="83">
        <f>'5. Bilan'!AC5</f>
        <v>1679089.3099999998</v>
      </c>
      <c r="AA7" s="83">
        <f>'5. Bilan'!AD5</f>
        <v>3151827.65</v>
      </c>
      <c r="AB7" s="83">
        <f>'5. Bilan'!AE5</f>
        <v>2703468.09</v>
      </c>
      <c r="AC7" s="83">
        <f>'5. Bilan'!AF5</f>
        <v>2598603.84</v>
      </c>
      <c r="AD7" s="83">
        <f>'5. Bilan'!AG5</f>
        <v>4859272.7300000004</v>
      </c>
      <c r="AE7" s="83">
        <f>'5. Bilan'!AH5</f>
        <v>8453727.2600000016</v>
      </c>
      <c r="AF7" s="83">
        <f>'5. Bilan'!AI5</f>
        <v>9931261.6699999999</v>
      </c>
      <c r="AG7" s="83">
        <f>'5. Bilan'!AJ5</f>
        <v>1884581.5599999998</v>
      </c>
      <c r="AH7" s="83">
        <f>'5. Bilan'!AK5</f>
        <v>2077662.8399999999</v>
      </c>
      <c r="AI7" s="83">
        <f>'5. Bilan'!AL5</f>
        <v>6066530.1399999997</v>
      </c>
      <c r="AJ7" s="83">
        <f>'5. Bilan'!AM5</f>
        <v>5775298.5200000005</v>
      </c>
      <c r="AK7" s="83">
        <f>'5. Bilan'!AN5</f>
        <v>5469328.1600000001</v>
      </c>
      <c r="AL7" s="83">
        <f>'5. Bilan'!AO5</f>
        <v>1688154.88</v>
      </c>
      <c r="AM7" s="83">
        <f>'5. Bilan'!AP5</f>
        <v>13922324.969999999</v>
      </c>
      <c r="AN7" s="83">
        <f>'5. Bilan'!AQ5</f>
        <v>3675736.5500000003</v>
      </c>
      <c r="AO7" s="83">
        <f>'5. Bilan'!AR5</f>
        <v>2883653.4699999997</v>
      </c>
      <c r="AP7" s="83">
        <f>'5. Bilan'!AS5</f>
        <v>11869488.51</v>
      </c>
      <c r="AQ7" s="83">
        <f>'5. Bilan'!AT5</f>
        <v>2610512.23</v>
      </c>
      <c r="AR7" s="83">
        <f>'5. Bilan'!AU5</f>
        <v>4064289.31</v>
      </c>
      <c r="AS7" s="83">
        <f>'5. Bilan'!AV5</f>
        <v>3238914.9200000009</v>
      </c>
      <c r="AT7" s="83">
        <f>'5. Bilan'!AW5</f>
        <v>5993608.2599999998</v>
      </c>
      <c r="AU7" s="83">
        <f>'5. Bilan'!AX5</f>
        <v>3392744.83</v>
      </c>
      <c r="AV7" s="83">
        <f>'5. Bilan'!AY5</f>
        <v>724238.92</v>
      </c>
      <c r="AW7" s="83">
        <f>'5. Bilan'!AZ5</f>
        <v>2708714.2800000003</v>
      </c>
      <c r="AX7" s="83">
        <f>'5. Bilan'!BA5</f>
        <v>4744472.3599999994</v>
      </c>
      <c r="AY7" s="83">
        <f>'5. Bilan'!BB5</f>
        <v>2973001.33</v>
      </c>
      <c r="AZ7" s="83">
        <f>'5. Bilan'!BC5</f>
        <v>4994920.1399999987</v>
      </c>
      <c r="BA7" s="83">
        <f>'5. Bilan'!BD5</f>
        <v>881630.79999999993</v>
      </c>
      <c r="BB7" s="83">
        <f>'5. Bilan'!BE5</f>
        <v>27043126.07</v>
      </c>
      <c r="BC7" s="83">
        <f>'5. Bilan'!BF5</f>
        <v>2304845.67</v>
      </c>
      <c r="BD7" s="83">
        <f>SUM(C7:BC7)</f>
        <v>330810559.92999995</v>
      </c>
      <c r="BE7" s="83">
        <f>SUM(C7:U7)</f>
        <v>145231931.76999998</v>
      </c>
      <c r="BF7" s="83">
        <f>SUM(V7:AH7)</f>
        <v>68553093.840000018</v>
      </c>
      <c r="BG7" s="83">
        <f>SUM(AI7:BC7)</f>
        <v>117025534.32000001</v>
      </c>
    </row>
    <row r="8" spans="1:59" x14ac:dyDescent="0.25">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row>
    <row r="9" spans="1:59" x14ac:dyDescent="0.25">
      <c r="A9">
        <v>20</v>
      </c>
      <c r="B9" t="s">
        <v>252</v>
      </c>
      <c r="C9" s="83">
        <f>'5. Bilan'!F121</f>
        <v>10597593.460000001</v>
      </c>
      <c r="D9" s="83">
        <f>'5. Bilan'!G121</f>
        <v>2476025.2000000002</v>
      </c>
      <c r="E9" s="83">
        <f>'5. Bilan'!H121</f>
        <v>6054411.8899999997</v>
      </c>
      <c r="F9" s="83">
        <f>'5. Bilan'!I121</f>
        <v>4819394.9499999993</v>
      </c>
      <c r="G9" s="83">
        <f>'5. Bilan'!J121</f>
        <v>24955383.649999999</v>
      </c>
      <c r="H9" s="83">
        <f>'5. Bilan'!K121</f>
        <v>24713296.990000002</v>
      </c>
      <c r="I9" s="83">
        <f>'5. Bilan'!L121</f>
        <v>11514993.67</v>
      </c>
      <c r="J9" s="83">
        <f>'5. Bilan'!M121</f>
        <v>146151956.10000002</v>
      </c>
      <c r="K9" s="83">
        <f>'5. Bilan'!N121</f>
        <v>6829297.8200000003</v>
      </c>
      <c r="L9" s="83">
        <f>'5. Bilan'!O121</f>
        <v>1044108.48</v>
      </c>
      <c r="M9" s="83">
        <f>'5. Bilan'!P121</f>
        <v>45801119.899999999</v>
      </c>
      <c r="N9" s="83">
        <f>'5. Bilan'!Q121</f>
        <v>3495201.54</v>
      </c>
      <c r="O9" s="83">
        <f>'5. Bilan'!R121</f>
        <v>574965.75</v>
      </c>
      <c r="P9" s="83">
        <f>'5. Bilan'!S121</f>
        <v>3100133.92</v>
      </c>
      <c r="Q9" s="83">
        <f>'5. Bilan'!T121</f>
        <v>4169598.1600000006</v>
      </c>
      <c r="R9" s="83">
        <f>'5. Bilan'!U121</f>
        <v>5269530.68</v>
      </c>
      <c r="S9" s="83">
        <f>'5. Bilan'!V121</f>
        <v>1053712.0699999998</v>
      </c>
      <c r="T9" s="83">
        <f>'5. Bilan'!W121</f>
        <v>4133437.39</v>
      </c>
      <c r="U9" s="83">
        <f>'5. Bilan'!X121</f>
        <v>17259552.27</v>
      </c>
      <c r="V9" s="83">
        <f>'5. Bilan'!Y121</f>
        <v>665835.80000000005</v>
      </c>
      <c r="W9" s="83">
        <f>'5. Bilan'!Z121</f>
        <v>10920765.789999999</v>
      </c>
      <c r="X9" s="83">
        <f>'5. Bilan'!AA121</f>
        <v>13660696.18</v>
      </c>
      <c r="Y9" s="83">
        <f>'5. Bilan'!AB121</f>
        <v>841503</v>
      </c>
      <c r="Z9" s="83">
        <f>'5. Bilan'!AC121</f>
        <v>1355565.94</v>
      </c>
      <c r="AA9" s="83">
        <f>'5. Bilan'!AD121</f>
        <v>4501281.16</v>
      </c>
      <c r="AB9" s="83">
        <f>'5. Bilan'!AE121</f>
        <v>7319398.3799999999</v>
      </c>
      <c r="AC9" s="83">
        <f>'5. Bilan'!AF121</f>
        <v>4025148.3099999996</v>
      </c>
      <c r="AD9" s="83">
        <f>'5. Bilan'!AG121</f>
        <v>2045263.37</v>
      </c>
      <c r="AE9" s="83">
        <f>'5. Bilan'!AH121</f>
        <v>7020295.6700000009</v>
      </c>
      <c r="AF9" s="83">
        <f>'5. Bilan'!AI121</f>
        <v>18244470.900000002</v>
      </c>
      <c r="AG9" s="83">
        <f>'5. Bilan'!AJ121</f>
        <v>1796313.4300000002</v>
      </c>
      <c r="AH9" s="83">
        <f>'5. Bilan'!AK121</f>
        <v>1072034.6499999999</v>
      </c>
      <c r="AI9" s="83">
        <f>'5. Bilan'!AL121</f>
        <v>18843045</v>
      </c>
      <c r="AJ9" s="83">
        <f>'5. Bilan'!AM121</f>
        <v>10070987.34</v>
      </c>
      <c r="AK9" s="83">
        <f>'5. Bilan'!AN121</f>
        <v>11888425.890000001</v>
      </c>
      <c r="AL9" s="83">
        <f>'5. Bilan'!AO121</f>
        <v>1619181.74</v>
      </c>
      <c r="AM9" s="83">
        <f>'5. Bilan'!AP121</f>
        <v>9669024.3300000001</v>
      </c>
      <c r="AN9" s="83">
        <f>'5. Bilan'!AQ121</f>
        <v>5070636.54</v>
      </c>
      <c r="AO9" s="83">
        <f>'5. Bilan'!AR121</f>
        <v>4144008.19</v>
      </c>
      <c r="AP9" s="83">
        <f>'5. Bilan'!AS121</f>
        <v>11559620.700000001</v>
      </c>
      <c r="AQ9" s="83">
        <f>'5. Bilan'!AT121</f>
        <v>5697376.5699999994</v>
      </c>
      <c r="AR9" s="83">
        <f>'5. Bilan'!AU121</f>
        <v>9161039.7400000002</v>
      </c>
      <c r="AS9" s="83">
        <f>'5. Bilan'!AV121</f>
        <v>2148930.5700000003</v>
      </c>
      <c r="AT9" s="83">
        <f>'5. Bilan'!AW121</f>
        <v>13712349.01</v>
      </c>
      <c r="AU9" s="83">
        <f>'5. Bilan'!AX121</f>
        <v>6198010.5700000003</v>
      </c>
      <c r="AV9" s="83">
        <f>'5. Bilan'!AY121</f>
        <v>913998.53</v>
      </c>
      <c r="AW9" s="83">
        <f>'5. Bilan'!AZ121</f>
        <v>2071378.69</v>
      </c>
      <c r="AX9" s="83">
        <f>'5. Bilan'!BA121</f>
        <v>20057446.789999999</v>
      </c>
      <c r="AY9" s="83">
        <f>'5. Bilan'!BB121</f>
        <v>2088786.8499999999</v>
      </c>
      <c r="AZ9" s="83">
        <f>'5. Bilan'!BC121</f>
        <v>10822262.43</v>
      </c>
      <c r="BA9" s="83">
        <f>'5. Bilan'!BD121</f>
        <v>305132.06</v>
      </c>
      <c r="BB9" s="83">
        <f>'5. Bilan'!BE121</f>
        <v>69166529.180000007</v>
      </c>
      <c r="BC9" s="83">
        <f>'5. Bilan'!BF121</f>
        <v>4285692.38</v>
      </c>
      <c r="BD9" s="83">
        <f>SUM(C9:BC9)</f>
        <v>616976149.57000005</v>
      </c>
      <c r="BE9" s="83">
        <f t="shared" ref="BE9:BE23" si="0">SUM(C9:U9)</f>
        <v>324013713.89000005</v>
      </c>
      <c r="BF9" s="83">
        <f t="shared" ref="BF9:BF23" si="1">SUM(V9:AH9)</f>
        <v>73468572.580000013</v>
      </c>
      <c r="BG9" s="83">
        <f t="shared" ref="BG9:BG23" si="2">SUM(AI9:BC9)</f>
        <v>219493863.09999999</v>
      </c>
    </row>
    <row r="10" spans="1:59" x14ac:dyDescent="0.25">
      <c r="C10" s="83"/>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83"/>
      <c r="BF10" s="83"/>
      <c r="BG10" s="83"/>
    </row>
    <row r="11" spans="1:59" x14ac:dyDescent="0.25">
      <c r="A11">
        <v>200</v>
      </c>
      <c r="B11" t="s">
        <v>451</v>
      </c>
      <c r="C11" s="83">
        <f>'5. Bilan'!F122</f>
        <v>0</v>
      </c>
      <c r="D11" s="83">
        <f>'5. Bilan'!G122</f>
        <v>96415.099999999991</v>
      </c>
      <c r="E11" s="83">
        <f>'5. Bilan'!H122</f>
        <v>204208.4</v>
      </c>
      <c r="F11" s="83">
        <f>'5. Bilan'!I122</f>
        <v>288807.18</v>
      </c>
      <c r="G11" s="83">
        <f>'5. Bilan'!J122</f>
        <v>770196.63</v>
      </c>
      <c r="H11" s="83">
        <f>'5. Bilan'!K122</f>
        <v>1390243.5</v>
      </c>
      <c r="I11" s="83">
        <f>'5. Bilan'!L122</f>
        <v>386006.85000000003</v>
      </c>
      <c r="J11" s="83">
        <f>'5. Bilan'!M122</f>
        <v>10226270.389999999</v>
      </c>
      <c r="K11" s="83">
        <f>'5. Bilan'!N122</f>
        <v>313883.77</v>
      </c>
      <c r="L11" s="83">
        <f>'5. Bilan'!O122</f>
        <v>78133.58</v>
      </c>
      <c r="M11" s="83">
        <f>'5. Bilan'!P122</f>
        <v>1915537.5899999999</v>
      </c>
      <c r="N11" s="83">
        <f>'5. Bilan'!Q122</f>
        <v>103015.62000000001</v>
      </c>
      <c r="O11" s="83">
        <f>'5. Bilan'!R122</f>
        <v>537.75</v>
      </c>
      <c r="P11" s="83">
        <f>'5. Bilan'!S122</f>
        <v>140154.57</v>
      </c>
      <c r="Q11" s="83">
        <f>'5. Bilan'!T122</f>
        <v>61278.31</v>
      </c>
      <c r="R11" s="83">
        <f>'5. Bilan'!U122</f>
        <v>224663.18</v>
      </c>
      <c r="S11" s="83">
        <f>'5. Bilan'!V122</f>
        <v>264819.38</v>
      </c>
      <c r="T11" s="83">
        <f>'5. Bilan'!W122</f>
        <v>293780.13</v>
      </c>
      <c r="U11" s="83">
        <f>'5. Bilan'!X122</f>
        <v>1439741.95</v>
      </c>
      <c r="V11" s="83">
        <f>'5. Bilan'!Y122</f>
        <v>0</v>
      </c>
      <c r="W11" s="83">
        <f>'5. Bilan'!Z122</f>
        <v>-43502.30999999999</v>
      </c>
      <c r="X11" s="83">
        <f>'5. Bilan'!AA122</f>
        <v>5139268.8499999996</v>
      </c>
      <c r="Y11" s="83">
        <f>'5. Bilan'!AB122</f>
        <v>66448.5</v>
      </c>
      <c r="Z11" s="83">
        <f>'5. Bilan'!AC122</f>
        <v>30930.55</v>
      </c>
      <c r="AA11" s="83">
        <f>'5. Bilan'!AD122</f>
        <v>360279.41000000003</v>
      </c>
      <c r="AB11" s="83">
        <f>'5. Bilan'!AE122</f>
        <v>146295.12000000002</v>
      </c>
      <c r="AC11" s="83">
        <f>'5. Bilan'!AF122</f>
        <v>20883.599999999999</v>
      </c>
      <c r="AD11" s="83">
        <f>'5. Bilan'!AG122</f>
        <v>177481.53000000003</v>
      </c>
      <c r="AE11" s="83">
        <f>'5. Bilan'!AH122</f>
        <v>1236141.22</v>
      </c>
      <c r="AF11" s="83">
        <f>'5. Bilan'!AI122</f>
        <v>774396.68</v>
      </c>
      <c r="AG11" s="83">
        <f>'5. Bilan'!AJ122</f>
        <v>607793.76</v>
      </c>
      <c r="AH11" s="83">
        <f>'5. Bilan'!AK122</f>
        <v>60243.5</v>
      </c>
      <c r="AI11" s="83">
        <f>'5. Bilan'!AL122</f>
        <v>149235.53</v>
      </c>
      <c r="AJ11" s="83">
        <f>'5. Bilan'!AM122</f>
        <v>400259.22</v>
      </c>
      <c r="AK11" s="83">
        <f>'5. Bilan'!AN122</f>
        <v>373344.66</v>
      </c>
      <c r="AL11" s="83">
        <f>'5. Bilan'!AO122</f>
        <v>25435.59</v>
      </c>
      <c r="AM11" s="83">
        <f>'5. Bilan'!AP122</f>
        <v>1045617.86</v>
      </c>
      <c r="AN11" s="83">
        <f>'5. Bilan'!AQ122</f>
        <v>356679.72</v>
      </c>
      <c r="AO11" s="83">
        <f>'5. Bilan'!AR122</f>
        <v>115181.64</v>
      </c>
      <c r="AP11" s="83">
        <f>'5. Bilan'!AS122</f>
        <v>779647.5</v>
      </c>
      <c r="AQ11" s="83">
        <f>'5. Bilan'!AT122</f>
        <v>578207.17999999993</v>
      </c>
      <c r="AR11" s="83">
        <f>'5. Bilan'!AU122</f>
        <v>304650.16000000003</v>
      </c>
      <c r="AS11" s="83">
        <f>'5. Bilan'!AV122</f>
        <v>41809.15</v>
      </c>
      <c r="AT11" s="83">
        <f>'5. Bilan'!AW122</f>
        <v>169682.90999999997</v>
      </c>
      <c r="AU11" s="83">
        <f>'5. Bilan'!AX122</f>
        <v>96698.8</v>
      </c>
      <c r="AV11" s="83">
        <f>'5. Bilan'!AY122</f>
        <v>67075.53</v>
      </c>
      <c r="AW11" s="83">
        <f>'5. Bilan'!AZ122</f>
        <v>124398.05</v>
      </c>
      <c r="AX11" s="83">
        <f>'5. Bilan'!BA122</f>
        <v>1017304</v>
      </c>
      <c r="AY11" s="83">
        <f>'5. Bilan'!BB122</f>
        <v>47647.15</v>
      </c>
      <c r="AZ11" s="83">
        <f>'5. Bilan'!BC122</f>
        <v>547198.9</v>
      </c>
      <c r="BA11" s="83">
        <f>'5. Bilan'!BD122</f>
        <v>81146.8</v>
      </c>
      <c r="BB11" s="83">
        <f>'5. Bilan'!BE122</f>
        <v>4206691.96</v>
      </c>
      <c r="BC11" s="83">
        <f>'5. Bilan'!BF122</f>
        <v>275797.32999999996</v>
      </c>
      <c r="BD11" s="83">
        <f>SUM(C11:BC11)</f>
        <v>37578063.93</v>
      </c>
      <c r="BE11" s="83">
        <f t="shared" si="0"/>
        <v>18197693.879999999</v>
      </c>
      <c r="BF11" s="83">
        <f t="shared" si="1"/>
        <v>8576660.4100000001</v>
      </c>
      <c r="BG11" s="83">
        <f t="shared" si="2"/>
        <v>10803709.640000001</v>
      </c>
    </row>
    <row r="12" spans="1:59" x14ac:dyDescent="0.25">
      <c r="C12" s="83"/>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83"/>
      <c r="AU12" s="83"/>
      <c r="AV12" s="83"/>
      <c r="AW12" s="83"/>
      <c r="AX12" s="83"/>
      <c r="AY12" s="83"/>
      <c r="AZ12" s="83"/>
      <c r="BA12" s="83"/>
      <c r="BB12" s="83"/>
      <c r="BC12" s="83"/>
      <c r="BD12" s="83"/>
      <c r="BE12" s="83"/>
      <c r="BF12" s="83"/>
      <c r="BG12" s="83"/>
    </row>
    <row r="13" spans="1:59" x14ac:dyDescent="0.25">
      <c r="A13">
        <v>201</v>
      </c>
      <c r="B13" t="s">
        <v>254</v>
      </c>
      <c r="C13" s="83">
        <f>'5. Bilan'!F132</f>
        <v>5748056.3600000003</v>
      </c>
      <c r="D13" s="83">
        <f>'5. Bilan'!G132</f>
        <v>308700</v>
      </c>
      <c r="E13" s="83">
        <f>'5. Bilan'!H132</f>
        <v>140800</v>
      </c>
      <c r="F13" s="83">
        <f>'5. Bilan'!I132</f>
        <v>252741.71999999997</v>
      </c>
      <c r="G13" s="83">
        <f>'5. Bilan'!J132</f>
        <v>5587130.7400000002</v>
      </c>
      <c r="H13" s="83">
        <f>'5. Bilan'!K132</f>
        <v>6015550</v>
      </c>
      <c r="I13" s="83">
        <f>'5. Bilan'!L132</f>
        <v>390000</v>
      </c>
      <c r="J13" s="83">
        <f>'5. Bilan'!M132</f>
        <v>37051659</v>
      </c>
      <c r="K13" s="83">
        <f>'5. Bilan'!N132</f>
        <v>267000</v>
      </c>
      <c r="L13" s="83">
        <f>'5. Bilan'!O132</f>
        <v>0</v>
      </c>
      <c r="M13" s="83">
        <f>'5. Bilan'!P132</f>
        <v>16290985.550000001</v>
      </c>
      <c r="N13" s="83">
        <f>'5. Bilan'!Q132</f>
        <v>1214136.27</v>
      </c>
      <c r="O13" s="83">
        <f>'5. Bilan'!R132</f>
        <v>120408.18</v>
      </c>
      <c r="P13" s="83">
        <f>'5. Bilan'!S132</f>
        <v>0</v>
      </c>
      <c r="Q13" s="83">
        <f>'5. Bilan'!T132</f>
        <v>2979081.9000000004</v>
      </c>
      <c r="R13" s="83">
        <f>'5. Bilan'!U132</f>
        <v>0</v>
      </c>
      <c r="S13" s="83">
        <f>'5. Bilan'!V132</f>
        <v>168291.86</v>
      </c>
      <c r="T13" s="83">
        <f>'5. Bilan'!W132</f>
        <v>235989.22999999998</v>
      </c>
      <c r="U13" s="83">
        <f>'5. Bilan'!X132</f>
        <v>2545622.62</v>
      </c>
      <c r="V13" s="83">
        <f>'5. Bilan'!Y132</f>
        <v>405605</v>
      </c>
      <c r="W13" s="83">
        <f>'5. Bilan'!Z132</f>
        <v>1490285.95</v>
      </c>
      <c r="X13" s="83">
        <f>'5. Bilan'!AA132</f>
        <v>2640000</v>
      </c>
      <c r="Y13" s="83">
        <f>'5. Bilan'!AB132</f>
        <v>0</v>
      </c>
      <c r="Z13" s="83">
        <f>'5. Bilan'!AC132</f>
        <v>12500</v>
      </c>
      <c r="AA13" s="83">
        <f>'5. Bilan'!AD132</f>
        <v>1235051.02</v>
      </c>
      <c r="AB13" s="83">
        <f>'5. Bilan'!AE132</f>
        <v>-22825.81</v>
      </c>
      <c r="AC13" s="83">
        <f>'5. Bilan'!AF132</f>
        <v>587125.71</v>
      </c>
      <c r="AD13" s="83">
        <f>'5. Bilan'!AG132</f>
        <v>490796.39999999997</v>
      </c>
      <c r="AE13" s="83">
        <f>'5. Bilan'!AH132</f>
        <v>876760.84</v>
      </c>
      <c r="AF13" s="83">
        <f>'5. Bilan'!AI132</f>
        <v>1234262.1499999999</v>
      </c>
      <c r="AG13" s="83">
        <f>'5. Bilan'!AJ132</f>
        <v>239485.96</v>
      </c>
      <c r="AH13" s="83">
        <f>'5. Bilan'!AK132</f>
        <v>148300</v>
      </c>
      <c r="AI13" s="83">
        <f>'5. Bilan'!AL132</f>
        <v>496152.57</v>
      </c>
      <c r="AJ13" s="83">
        <f>'5. Bilan'!AM132</f>
        <v>573216.67000000004</v>
      </c>
      <c r="AK13" s="83">
        <f>'5. Bilan'!AN132</f>
        <v>377313.03</v>
      </c>
      <c r="AL13" s="83">
        <f>'5. Bilan'!AO132</f>
        <v>0</v>
      </c>
      <c r="AM13" s="83">
        <f>'5. Bilan'!AP132</f>
        <v>0</v>
      </c>
      <c r="AN13" s="83">
        <f>'5. Bilan'!AQ132</f>
        <v>102400</v>
      </c>
      <c r="AO13" s="83">
        <f>'5. Bilan'!AR132</f>
        <v>536240</v>
      </c>
      <c r="AP13" s="83">
        <f>'5. Bilan'!AS132</f>
        <v>1050</v>
      </c>
      <c r="AQ13" s="83">
        <f>'5. Bilan'!AT132</f>
        <v>249777.17</v>
      </c>
      <c r="AR13" s="83">
        <f>'5. Bilan'!AU132</f>
        <v>294313</v>
      </c>
      <c r="AS13" s="83">
        <f>'5. Bilan'!AV132</f>
        <v>19300</v>
      </c>
      <c r="AT13" s="83">
        <f>'5. Bilan'!AW132</f>
        <v>0</v>
      </c>
      <c r="AU13" s="83">
        <f>'5. Bilan'!AX132</f>
        <v>666341.01</v>
      </c>
      <c r="AV13" s="83">
        <f>'5. Bilan'!AY132</f>
        <v>0</v>
      </c>
      <c r="AW13" s="83">
        <f>'5. Bilan'!AZ132</f>
        <v>0</v>
      </c>
      <c r="AX13" s="83">
        <f>'5. Bilan'!BA132</f>
        <v>999818.38</v>
      </c>
      <c r="AY13" s="83">
        <f>'5. Bilan'!BB132</f>
        <v>1162137.02</v>
      </c>
      <c r="AZ13" s="83">
        <f>'5. Bilan'!BC132</f>
        <v>2681903.5300000003</v>
      </c>
      <c r="BA13" s="83">
        <f>'5. Bilan'!BD132</f>
        <v>0</v>
      </c>
      <c r="BB13" s="83">
        <f>'5. Bilan'!BE132</f>
        <v>10280540</v>
      </c>
      <c r="BC13" s="83">
        <f>'5. Bilan'!BF132</f>
        <v>185450.16</v>
      </c>
      <c r="BD13" s="83">
        <f>SUM(C13:BC13)</f>
        <v>107279453.19000001</v>
      </c>
      <c r="BE13" s="83">
        <f t="shared" si="0"/>
        <v>79316153.430000022</v>
      </c>
      <c r="BF13" s="83">
        <f t="shared" si="1"/>
        <v>9337347.2200000025</v>
      </c>
      <c r="BG13" s="83">
        <f t="shared" si="2"/>
        <v>18625952.539999999</v>
      </c>
    </row>
    <row r="14" spans="1:59" x14ac:dyDescent="0.25">
      <c r="C14" s="83"/>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c r="AY14" s="83"/>
      <c r="AZ14" s="83"/>
      <c r="BA14" s="83"/>
      <c r="BB14" s="83"/>
      <c r="BC14" s="83"/>
      <c r="BD14" s="83"/>
      <c r="BE14" s="83"/>
      <c r="BF14" s="83"/>
      <c r="BG14" s="83"/>
    </row>
    <row r="15" spans="1:59" x14ac:dyDescent="0.25">
      <c r="A15">
        <v>206</v>
      </c>
      <c r="B15" t="s">
        <v>257</v>
      </c>
      <c r="C15" s="83">
        <f>'5. Bilan'!F164</f>
        <v>4604400</v>
      </c>
      <c r="D15" s="83">
        <f>'5. Bilan'!G164</f>
        <v>2069199.6</v>
      </c>
      <c r="E15" s="83">
        <f>'5. Bilan'!H164</f>
        <v>5177800</v>
      </c>
      <c r="F15" s="83">
        <f>'5. Bilan'!I164</f>
        <v>3890756.96</v>
      </c>
      <c r="G15" s="83">
        <f>'5. Bilan'!J164</f>
        <v>17756300</v>
      </c>
      <c r="H15" s="83">
        <f>'5. Bilan'!K164</f>
        <v>16190550</v>
      </c>
      <c r="I15" s="83">
        <f>'5. Bilan'!L164</f>
        <v>9758495.1300000008</v>
      </c>
      <c r="J15" s="83">
        <f>'5. Bilan'!M164</f>
        <v>95091195.150000006</v>
      </c>
      <c r="K15" s="83">
        <f>'5. Bilan'!N164</f>
        <v>6134829.75</v>
      </c>
      <c r="L15" s="83">
        <f>'5. Bilan'!O164</f>
        <v>780304.9</v>
      </c>
      <c r="M15" s="83">
        <f>'5. Bilan'!P164</f>
        <v>25935350.149999999</v>
      </c>
      <c r="N15" s="83">
        <f>'5. Bilan'!Q164</f>
        <v>1776635.35</v>
      </c>
      <c r="O15" s="83">
        <f>'5. Bilan'!R164</f>
        <v>376450</v>
      </c>
      <c r="P15" s="83">
        <f>'5. Bilan'!S164</f>
        <v>2943627.35</v>
      </c>
      <c r="Q15" s="83">
        <f>'5. Bilan'!T164</f>
        <v>1060911</v>
      </c>
      <c r="R15" s="83">
        <f>'5. Bilan'!U164</f>
        <v>4871800</v>
      </c>
      <c r="S15" s="83">
        <f>'5. Bilan'!V164</f>
        <v>504350</v>
      </c>
      <c r="T15" s="83">
        <f>'5. Bilan'!W164</f>
        <v>3263161.06</v>
      </c>
      <c r="U15" s="83">
        <f>'5. Bilan'!X164</f>
        <v>12462575</v>
      </c>
      <c r="V15" s="83">
        <f>'5. Bilan'!Y164</f>
        <v>196736.2</v>
      </c>
      <c r="W15" s="83">
        <f>'5. Bilan'!Z164</f>
        <v>9245800</v>
      </c>
      <c r="X15" s="83">
        <f>'5. Bilan'!AA164</f>
        <v>700000</v>
      </c>
      <c r="Y15" s="83">
        <f>'5. Bilan'!AB164</f>
        <v>768670.9</v>
      </c>
      <c r="Z15" s="83">
        <f>'5. Bilan'!AC164</f>
        <v>1175000</v>
      </c>
      <c r="AA15" s="83">
        <f>'5. Bilan'!AD164</f>
        <v>2701405</v>
      </c>
      <c r="AB15" s="83">
        <f>'5. Bilan'!AE164</f>
        <v>7038135.8499999996</v>
      </c>
      <c r="AC15" s="83">
        <f>'5. Bilan'!AF164</f>
        <v>3142600</v>
      </c>
      <c r="AD15" s="83">
        <f>'5. Bilan'!AG164</f>
        <v>490800</v>
      </c>
      <c r="AE15" s="83">
        <f>'5. Bilan'!AH164</f>
        <v>4291400</v>
      </c>
      <c r="AF15" s="83">
        <f>'5. Bilan'!AI164</f>
        <v>14869135.15</v>
      </c>
      <c r="AG15" s="83">
        <f>'5. Bilan'!AJ164</f>
        <v>834750.62</v>
      </c>
      <c r="AH15" s="83">
        <f>'5. Bilan'!AK164</f>
        <v>823610</v>
      </c>
      <c r="AI15" s="83">
        <f>'5. Bilan'!AL164</f>
        <v>17359320</v>
      </c>
      <c r="AJ15" s="83">
        <f>'5. Bilan'!AM164</f>
        <v>8587000</v>
      </c>
      <c r="AK15" s="83">
        <f>'5. Bilan'!AN164</f>
        <v>10539574.300000001</v>
      </c>
      <c r="AL15" s="83">
        <f>'5. Bilan'!AO164</f>
        <v>1584400</v>
      </c>
      <c r="AM15" s="83">
        <f>'5. Bilan'!AP164</f>
        <v>8421550</v>
      </c>
      <c r="AN15" s="83">
        <f>'5. Bilan'!AQ164</f>
        <v>4601800</v>
      </c>
      <c r="AO15" s="83">
        <f>'5. Bilan'!AR164</f>
        <v>3432745</v>
      </c>
      <c r="AP15" s="83">
        <f>'5. Bilan'!AS164</f>
        <v>10477846.050000001</v>
      </c>
      <c r="AQ15" s="83">
        <f>'5. Bilan'!AT164</f>
        <v>4848271.0999999996</v>
      </c>
      <c r="AR15" s="83">
        <f>'5. Bilan'!AU164</f>
        <v>8332909.5</v>
      </c>
      <c r="AS15" s="83">
        <f>'5. Bilan'!AV164</f>
        <v>1806665</v>
      </c>
      <c r="AT15" s="83">
        <f>'5. Bilan'!AW164</f>
        <v>12929000</v>
      </c>
      <c r="AU15" s="83">
        <f>'5. Bilan'!AX164</f>
        <v>5224542</v>
      </c>
      <c r="AV15" s="83">
        <f>'5. Bilan'!AY164</f>
        <v>637770</v>
      </c>
      <c r="AW15" s="83">
        <f>'5. Bilan'!AZ164</f>
        <v>1878500</v>
      </c>
      <c r="AX15" s="83">
        <f>'5. Bilan'!BA164</f>
        <v>17771972</v>
      </c>
      <c r="AY15" s="83">
        <f>'5. Bilan'!BB164</f>
        <v>860500</v>
      </c>
      <c r="AZ15" s="83">
        <f>'5. Bilan'!BC164</f>
        <v>7129460</v>
      </c>
      <c r="BA15" s="83">
        <f>'5. Bilan'!BD164</f>
        <v>138745.70000000001</v>
      </c>
      <c r="BB15" s="83">
        <f>'5. Bilan'!BE164</f>
        <v>52417022</v>
      </c>
      <c r="BC15" s="83">
        <f>'5. Bilan'!BF164</f>
        <v>3579778.15</v>
      </c>
      <c r="BD15" s="83">
        <f>SUM(C15:BC15)</f>
        <v>443486105.92000002</v>
      </c>
      <c r="BE15" s="83">
        <f t="shared" si="0"/>
        <v>214648691.40000001</v>
      </c>
      <c r="BF15" s="83">
        <f t="shared" si="1"/>
        <v>46278043.719999999</v>
      </c>
      <c r="BG15" s="83">
        <f t="shared" si="2"/>
        <v>182559370.79999998</v>
      </c>
    </row>
    <row r="16" spans="1:59" x14ac:dyDescent="0.25">
      <c r="C16" s="83"/>
      <c r="D16" s="83"/>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row>
    <row r="17" spans="1:59" x14ac:dyDescent="0.25">
      <c r="A17">
        <v>2016</v>
      </c>
      <c r="B17" t="s">
        <v>269</v>
      </c>
      <c r="C17" s="83">
        <f>'5. Bilan'!F139</f>
        <v>0</v>
      </c>
      <c r="D17" s="83">
        <f>'5. Bilan'!G139</f>
        <v>0</v>
      </c>
      <c r="E17" s="83">
        <f>'5. Bilan'!H139</f>
        <v>0</v>
      </c>
      <c r="F17" s="83">
        <f>'5. Bilan'!I139</f>
        <v>0</v>
      </c>
      <c r="G17" s="83">
        <f>'5. Bilan'!J139</f>
        <v>0</v>
      </c>
      <c r="H17" s="83">
        <f>'5. Bilan'!K139</f>
        <v>0</v>
      </c>
      <c r="I17" s="83">
        <f>'5. Bilan'!L139</f>
        <v>0</v>
      </c>
      <c r="J17" s="83">
        <f>'5. Bilan'!M139</f>
        <v>0</v>
      </c>
      <c r="K17" s="83">
        <f>'5. Bilan'!N139</f>
        <v>0</v>
      </c>
      <c r="L17" s="83">
        <f>'5. Bilan'!O139</f>
        <v>0</v>
      </c>
      <c r="M17" s="83">
        <f>'5. Bilan'!P139</f>
        <v>0</v>
      </c>
      <c r="N17" s="83">
        <f>'5. Bilan'!Q139</f>
        <v>0</v>
      </c>
      <c r="O17" s="83">
        <f>'5. Bilan'!R139</f>
        <v>0</v>
      </c>
      <c r="P17" s="83">
        <f>'5. Bilan'!S139</f>
        <v>0</v>
      </c>
      <c r="Q17" s="83">
        <f>'5. Bilan'!T139</f>
        <v>0</v>
      </c>
      <c r="R17" s="83">
        <f>'5. Bilan'!U139</f>
        <v>0</v>
      </c>
      <c r="S17" s="83">
        <f>'5. Bilan'!V139</f>
        <v>0</v>
      </c>
      <c r="T17" s="83">
        <f>'5. Bilan'!W139</f>
        <v>0</v>
      </c>
      <c r="U17" s="83">
        <f>'5. Bilan'!X139</f>
        <v>0</v>
      </c>
      <c r="V17" s="83">
        <f>'5. Bilan'!Y139</f>
        <v>0</v>
      </c>
      <c r="W17" s="83">
        <f>'5. Bilan'!Z139</f>
        <v>0</v>
      </c>
      <c r="X17" s="83">
        <f>'5. Bilan'!AA139</f>
        <v>0</v>
      </c>
      <c r="Y17" s="83">
        <f>'5. Bilan'!AB139</f>
        <v>0</v>
      </c>
      <c r="Z17" s="83">
        <f>'5. Bilan'!AC139</f>
        <v>0</v>
      </c>
      <c r="AA17" s="83">
        <f>'5. Bilan'!AD139</f>
        <v>0</v>
      </c>
      <c r="AB17" s="83">
        <f>'5. Bilan'!AE139</f>
        <v>0</v>
      </c>
      <c r="AC17" s="83">
        <f>'5. Bilan'!AF139</f>
        <v>0</v>
      </c>
      <c r="AD17" s="83">
        <f>'5. Bilan'!AG139</f>
        <v>0</v>
      </c>
      <c r="AE17" s="83">
        <f>'5. Bilan'!AH139</f>
        <v>0</v>
      </c>
      <c r="AF17" s="83">
        <f>'5. Bilan'!AI139</f>
        <v>0</v>
      </c>
      <c r="AG17" s="83">
        <f>'5. Bilan'!AJ139</f>
        <v>0</v>
      </c>
      <c r="AH17" s="83">
        <f>'5. Bilan'!AK139</f>
        <v>0</v>
      </c>
      <c r="AI17" s="83">
        <f>'5. Bilan'!AL139</f>
        <v>0</v>
      </c>
      <c r="AJ17" s="83">
        <f>'5. Bilan'!AM139</f>
        <v>0</v>
      </c>
      <c r="AK17" s="83">
        <f>'5. Bilan'!AN139</f>
        <v>0</v>
      </c>
      <c r="AL17" s="83">
        <f>'5. Bilan'!AO139</f>
        <v>0</v>
      </c>
      <c r="AM17" s="83">
        <f>'5. Bilan'!AP139</f>
        <v>0</v>
      </c>
      <c r="AN17" s="83">
        <f>'5. Bilan'!AQ139</f>
        <v>0</v>
      </c>
      <c r="AO17" s="83">
        <f>'5. Bilan'!AR139</f>
        <v>0</v>
      </c>
      <c r="AP17" s="83">
        <f>'5. Bilan'!AS139</f>
        <v>0</v>
      </c>
      <c r="AQ17" s="83">
        <f>'5. Bilan'!AT139</f>
        <v>0</v>
      </c>
      <c r="AR17" s="83">
        <f>'5. Bilan'!AU139</f>
        <v>0</v>
      </c>
      <c r="AS17" s="83">
        <f>'5. Bilan'!AV139</f>
        <v>0</v>
      </c>
      <c r="AT17" s="83">
        <f>'5. Bilan'!AW139</f>
        <v>0</v>
      </c>
      <c r="AU17" s="83">
        <f>'5. Bilan'!AX139</f>
        <v>0</v>
      </c>
      <c r="AV17" s="83">
        <f>'5. Bilan'!AY139</f>
        <v>0</v>
      </c>
      <c r="AW17" s="83">
        <f>'5. Bilan'!AZ139</f>
        <v>0</v>
      </c>
      <c r="AX17" s="83">
        <f>'5. Bilan'!BA139</f>
        <v>0</v>
      </c>
      <c r="AY17" s="83">
        <f>'5. Bilan'!BB139</f>
        <v>0</v>
      </c>
      <c r="AZ17" s="83">
        <f>'5. Bilan'!BC139</f>
        <v>0</v>
      </c>
      <c r="BA17" s="83">
        <f>'5. Bilan'!BD139</f>
        <v>0</v>
      </c>
      <c r="BB17" s="83">
        <f>'5. Bilan'!BE139</f>
        <v>0</v>
      </c>
      <c r="BC17" s="83">
        <f>'5. Bilan'!BF139</f>
        <v>0</v>
      </c>
      <c r="BD17" s="83">
        <f>SUM(C17:BC17)</f>
        <v>0</v>
      </c>
      <c r="BE17" s="83">
        <f t="shared" si="0"/>
        <v>0</v>
      </c>
      <c r="BF17" s="83">
        <f t="shared" si="1"/>
        <v>0</v>
      </c>
      <c r="BG17" s="83">
        <f t="shared" si="2"/>
        <v>0</v>
      </c>
    </row>
    <row r="18" spans="1:59" x14ac:dyDescent="0.25">
      <c r="C18" s="83"/>
      <c r="D18" s="83"/>
      <c r="E18" s="83"/>
      <c r="F18" s="83"/>
      <c r="G18" s="83"/>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row>
    <row r="19" spans="1:59" x14ac:dyDescent="0.25">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row>
    <row r="20" spans="1:59" x14ac:dyDescent="0.25">
      <c r="B20" s="81" t="s">
        <v>637</v>
      </c>
      <c r="C20" s="147">
        <f>C11+C13+C15-C17</f>
        <v>10352456.359999999</v>
      </c>
      <c r="D20" s="147">
        <f t="shared" ref="D20:BC20" si="3">D11+D13+D15-D17</f>
        <v>2474314.7000000002</v>
      </c>
      <c r="E20" s="147">
        <f t="shared" si="3"/>
        <v>5522808.4000000004</v>
      </c>
      <c r="F20" s="147">
        <f t="shared" si="3"/>
        <v>4432305.8599999994</v>
      </c>
      <c r="G20" s="147">
        <f t="shared" si="3"/>
        <v>24113627.370000001</v>
      </c>
      <c r="H20" s="147">
        <f t="shared" si="3"/>
        <v>23596343.5</v>
      </c>
      <c r="I20" s="147">
        <f t="shared" si="3"/>
        <v>10534501.98</v>
      </c>
      <c r="J20" s="147">
        <f t="shared" si="3"/>
        <v>142369124.54000002</v>
      </c>
      <c r="K20" s="147">
        <f t="shared" si="3"/>
        <v>6715713.5199999996</v>
      </c>
      <c r="L20" s="147">
        <f t="shared" si="3"/>
        <v>858438.48</v>
      </c>
      <c r="M20" s="147">
        <f t="shared" si="3"/>
        <v>44141873.289999999</v>
      </c>
      <c r="N20" s="147">
        <f t="shared" si="3"/>
        <v>3093787.24</v>
      </c>
      <c r="O20" s="147">
        <f t="shared" si="3"/>
        <v>497395.93</v>
      </c>
      <c r="P20" s="147">
        <f t="shared" si="3"/>
        <v>3083781.92</v>
      </c>
      <c r="Q20" s="147">
        <f t="shared" si="3"/>
        <v>4101271.2100000004</v>
      </c>
      <c r="R20" s="147">
        <f t="shared" si="3"/>
        <v>5096463.18</v>
      </c>
      <c r="S20" s="147">
        <f t="shared" si="3"/>
        <v>937461.24</v>
      </c>
      <c r="T20" s="147">
        <f t="shared" si="3"/>
        <v>3792930.42</v>
      </c>
      <c r="U20" s="147">
        <f t="shared" si="3"/>
        <v>16447939.57</v>
      </c>
      <c r="V20" s="147">
        <f t="shared" si="3"/>
        <v>602341.19999999995</v>
      </c>
      <c r="W20" s="147">
        <f t="shared" si="3"/>
        <v>10692583.640000001</v>
      </c>
      <c r="X20" s="147">
        <f t="shared" si="3"/>
        <v>8479268.8499999996</v>
      </c>
      <c r="Y20" s="147">
        <f t="shared" si="3"/>
        <v>835119.4</v>
      </c>
      <c r="Z20" s="147">
        <f t="shared" si="3"/>
        <v>1218430.55</v>
      </c>
      <c r="AA20" s="147">
        <f t="shared" si="3"/>
        <v>4296735.43</v>
      </c>
      <c r="AB20" s="147">
        <f t="shared" si="3"/>
        <v>7161605.1599999992</v>
      </c>
      <c r="AC20" s="147">
        <f t="shared" si="3"/>
        <v>3750609.31</v>
      </c>
      <c r="AD20" s="147">
        <f t="shared" si="3"/>
        <v>1159077.93</v>
      </c>
      <c r="AE20" s="147">
        <f t="shared" si="3"/>
        <v>6404302.0600000005</v>
      </c>
      <c r="AF20" s="147">
        <f t="shared" si="3"/>
        <v>16877793.98</v>
      </c>
      <c r="AG20" s="147">
        <f t="shared" si="3"/>
        <v>1682030.3399999999</v>
      </c>
      <c r="AH20" s="147">
        <f t="shared" si="3"/>
        <v>1032153.5</v>
      </c>
      <c r="AI20" s="147">
        <f t="shared" si="3"/>
        <v>18004708.100000001</v>
      </c>
      <c r="AJ20" s="147">
        <f t="shared" si="3"/>
        <v>9560475.8900000006</v>
      </c>
      <c r="AK20" s="147">
        <f t="shared" si="3"/>
        <v>11290231.99</v>
      </c>
      <c r="AL20" s="147">
        <f t="shared" si="3"/>
        <v>1609835.59</v>
      </c>
      <c r="AM20" s="147">
        <f t="shared" si="3"/>
        <v>9467167.8599999994</v>
      </c>
      <c r="AN20" s="147">
        <f t="shared" si="3"/>
        <v>5060879.72</v>
      </c>
      <c r="AO20" s="147">
        <f t="shared" si="3"/>
        <v>4084166.64</v>
      </c>
      <c r="AP20" s="147">
        <f t="shared" si="3"/>
        <v>11258543.550000001</v>
      </c>
      <c r="AQ20" s="147">
        <f t="shared" si="3"/>
        <v>5676255.4499999993</v>
      </c>
      <c r="AR20" s="147">
        <f t="shared" si="3"/>
        <v>8931872.6600000001</v>
      </c>
      <c r="AS20" s="147">
        <f t="shared" si="3"/>
        <v>1867774.15</v>
      </c>
      <c r="AT20" s="147">
        <f t="shared" si="3"/>
        <v>13098682.91</v>
      </c>
      <c r="AU20" s="147">
        <f t="shared" si="3"/>
        <v>5987581.8100000005</v>
      </c>
      <c r="AV20" s="147">
        <f t="shared" si="3"/>
        <v>704845.53</v>
      </c>
      <c r="AW20" s="147">
        <f t="shared" si="3"/>
        <v>2002898.05</v>
      </c>
      <c r="AX20" s="147">
        <f t="shared" si="3"/>
        <v>19789094.379999999</v>
      </c>
      <c r="AY20" s="147">
        <f t="shared" si="3"/>
        <v>2070284.17</v>
      </c>
      <c r="AZ20" s="147">
        <f t="shared" si="3"/>
        <v>10358562.43</v>
      </c>
      <c r="BA20" s="147">
        <f t="shared" si="3"/>
        <v>219892.5</v>
      </c>
      <c r="BB20" s="147">
        <f t="shared" si="3"/>
        <v>66904253.960000001</v>
      </c>
      <c r="BC20" s="147">
        <f t="shared" si="3"/>
        <v>4041025.6399999997</v>
      </c>
      <c r="BD20" s="147">
        <f>SUM(C20:BC20)</f>
        <v>588343623.0400002</v>
      </c>
      <c r="BE20" s="147">
        <f t="shared" si="0"/>
        <v>312162538.7100001</v>
      </c>
      <c r="BF20" s="147">
        <f t="shared" si="1"/>
        <v>64192051.350000009</v>
      </c>
      <c r="BG20" s="147">
        <f t="shared" si="2"/>
        <v>211989032.97999999</v>
      </c>
    </row>
    <row r="21" spans="1:59" x14ac:dyDescent="0.25">
      <c r="B21" s="56" t="s">
        <v>449</v>
      </c>
      <c r="C21" s="141">
        <f>C20/C5</f>
        <v>10931.844097148891</v>
      </c>
      <c r="D21" s="141">
        <f t="shared" ref="D21:BC21" si="4">D20/D5</f>
        <v>9337.0366037735857</v>
      </c>
      <c r="E21" s="141">
        <f t="shared" si="4"/>
        <v>11775.710874200427</v>
      </c>
      <c r="F21" s="141">
        <f t="shared" si="4"/>
        <v>10096.368701594532</v>
      </c>
      <c r="G21" s="141">
        <f t="shared" si="4"/>
        <v>6468.2476850858375</v>
      </c>
      <c r="H21" s="141">
        <f t="shared" si="4"/>
        <v>7054.2133034379667</v>
      </c>
      <c r="I21" s="141">
        <f t="shared" si="4"/>
        <v>3972.2858144796382</v>
      </c>
      <c r="J21" s="141">
        <f t="shared" si="4"/>
        <v>11408.696573443387</v>
      </c>
      <c r="K21" s="141">
        <f t="shared" si="4"/>
        <v>4941.658219278881</v>
      </c>
      <c r="L21" s="141">
        <f t="shared" si="4"/>
        <v>7337.0810256410259</v>
      </c>
      <c r="M21" s="141">
        <f t="shared" si="4"/>
        <v>6079.31046550062</v>
      </c>
      <c r="N21" s="141">
        <f t="shared" si="4"/>
        <v>5750.5339033457258</v>
      </c>
      <c r="O21" s="141">
        <f t="shared" si="4"/>
        <v>4481.0444144144139</v>
      </c>
      <c r="P21" s="141">
        <f t="shared" si="4"/>
        <v>7324.8976722090256</v>
      </c>
      <c r="Q21" s="141">
        <f t="shared" si="4"/>
        <v>11853.385000000002</v>
      </c>
      <c r="R21" s="141">
        <f t="shared" si="4"/>
        <v>7178.1171549295768</v>
      </c>
      <c r="S21" s="141">
        <f t="shared" si="4"/>
        <v>3484.9860223048327</v>
      </c>
      <c r="T21" s="141">
        <f t="shared" si="4"/>
        <v>8620.2964090909081</v>
      </c>
      <c r="U21" s="141">
        <f t="shared" si="4"/>
        <v>5093.818386497368</v>
      </c>
      <c r="V21" s="141">
        <f t="shared" si="4"/>
        <v>1943.0361290322578</v>
      </c>
      <c r="W21" s="141">
        <f t="shared" si="4"/>
        <v>8419.3571968503948</v>
      </c>
      <c r="X21" s="141">
        <f t="shared" si="4"/>
        <v>5630.3246015936256</v>
      </c>
      <c r="Y21" s="141">
        <f t="shared" si="4"/>
        <v>8699.1604166666675</v>
      </c>
      <c r="Z21" s="141">
        <f t="shared" si="4"/>
        <v>8232.6388513513521</v>
      </c>
      <c r="AA21" s="141">
        <f t="shared" si="4"/>
        <v>8294.8560424710413</v>
      </c>
      <c r="AB21" s="141">
        <f t="shared" si="4"/>
        <v>10216.269843081311</v>
      </c>
      <c r="AC21" s="141">
        <f t="shared" si="4"/>
        <v>6650.0165070921985</v>
      </c>
      <c r="AD21" s="141">
        <f t="shared" si="4"/>
        <v>2207.7674857142856</v>
      </c>
      <c r="AE21" s="141">
        <f t="shared" si="4"/>
        <v>3354.7941644840234</v>
      </c>
      <c r="AF21" s="141">
        <f t="shared" si="4"/>
        <v>6541.7806124031013</v>
      </c>
      <c r="AG21" s="141">
        <f t="shared" si="4"/>
        <v>7576.7132432432427</v>
      </c>
      <c r="AH21" s="141">
        <f t="shared" si="4"/>
        <v>8001.1899224806202</v>
      </c>
      <c r="AI21" s="141">
        <f t="shared" si="4"/>
        <v>9521.2628767847709</v>
      </c>
      <c r="AJ21" s="141">
        <f t="shared" si="4"/>
        <v>8490.6535435168753</v>
      </c>
      <c r="AK21" s="141">
        <f t="shared" si="4"/>
        <v>9216.5159102040816</v>
      </c>
      <c r="AL21" s="141">
        <f t="shared" si="4"/>
        <v>13759.278547008547</v>
      </c>
      <c r="AM21" s="141">
        <f t="shared" si="4"/>
        <v>7989.1711898734175</v>
      </c>
      <c r="AN21" s="141">
        <f t="shared" si="4"/>
        <v>7882.9902180685358</v>
      </c>
      <c r="AO21" s="141">
        <f t="shared" si="4"/>
        <v>6452.08</v>
      </c>
      <c r="AP21" s="141">
        <f t="shared" si="4"/>
        <v>8768.3360981308415</v>
      </c>
      <c r="AQ21" s="141">
        <f t="shared" si="4"/>
        <v>7765.055335157318</v>
      </c>
      <c r="AR21" s="141">
        <f t="shared" si="4"/>
        <v>8791.2132480314958</v>
      </c>
      <c r="AS21" s="141">
        <f t="shared" si="4"/>
        <v>6143.9939144736836</v>
      </c>
      <c r="AT21" s="141">
        <f t="shared" si="4"/>
        <v>5430.631388888889</v>
      </c>
      <c r="AU21" s="141">
        <f t="shared" si="4"/>
        <v>8146.3698095238105</v>
      </c>
      <c r="AV21" s="141">
        <f t="shared" si="4"/>
        <v>3809.9758378378378</v>
      </c>
      <c r="AW21" s="141">
        <f t="shared" si="4"/>
        <v>5890.876617647059</v>
      </c>
      <c r="AX21" s="141">
        <f t="shared" si="4"/>
        <v>11661.222380671774</v>
      </c>
      <c r="AY21" s="141">
        <f t="shared" si="4"/>
        <v>5308.4209487179487</v>
      </c>
      <c r="AZ21" s="141">
        <f t="shared" si="4"/>
        <v>9653.8326467847146</v>
      </c>
      <c r="BA21" s="141">
        <f t="shared" si="4"/>
        <v>1195.0679347826087</v>
      </c>
      <c r="BB21" s="141">
        <f t="shared" si="4"/>
        <v>10347.08536343953</v>
      </c>
      <c r="BC21" s="141">
        <f t="shared" si="4"/>
        <v>7229.0261896243283</v>
      </c>
      <c r="BD21" s="141">
        <f>BD20/BD5</f>
        <v>7972.3518664462481</v>
      </c>
      <c r="BE21" s="141">
        <f t="shared" ref="BE21:BG21" si="5">BE20/BE5</f>
        <v>7978.5952385942519</v>
      </c>
      <c r="BF21" s="141">
        <f t="shared" si="5"/>
        <v>6126.364893109373</v>
      </c>
      <c r="BG21" s="141">
        <f t="shared" si="5"/>
        <v>8761.6876619136183</v>
      </c>
    </row>
    <row r="22" spans="1:59" x14ac:dyDescent="0.25">
      <c r="B22" s="7"/>
      <c r="C22" s="148"/>
      <c r="D22" s="148"/>
      <c r="E22" s="148"/>
      <c r="F22" s="148"/>
      <c r="G22" s="148"/>
      <c r="H22" s="148"/>
      <c r="I22" s="148"/>
      <c r="J22" s="148"/>
      <c r="K22" s="148"/>
      <c r="L22" s="148"/>
      <c r="M22" s="148"/>
      <c r="N22" s="148"/>
      <c r="O22" s="148"/>
      <c r="P22" s="148"/>
      <c r="Q22" s="148"/>
      <c r="R22" s="148"/>
      <c r="S22" s="148"/>
      <c r="T22" s="148"/>
      <c r="U22" s="148"/>
      <c r="V22" s="148"/>
      <c r="W22" s="148"/>
      <c r="X22" s="148"/>
      <c r="Y22" s="148"/>
      <c r="Z22" s="148"/>
      <c r="AA22" s="148"/>
      <c r="AB22" s="148"/>
      <c r="AC22" s="148"/>
      <c r="AD22" s="148"/>
      <c r="AE22" s="148"/>
      <c r="AF22" s="148"/>
      <c r="AG22" s="148"/>
      <c r="AH22" s="148"/>
      <c r="AI22" s="148"/>
      <c r="AJ22" s="148"/>
      <c r="AK22" s="148"/>
      <c r="AL22" s="148"/>
      <c r="AM22" s="148"/>
      <c r="AN22" s="148"/>
      <c r="AO22" s="148"/>
      <c r="AP22" s="148"/>
      <c r="AQ22" s="148"/>
      <c r="AR22" s="148"/>
      <c r="AS22" s="148"/>
      <c r="AT22" s="148"/>
      <c r="AU22" s="148"/>
      <c r="AV22" s="148"/>
      <c r="AW22" s="148"/>
      <c r="AX22" s="148"/>
      <c r="AY22" s="148"/>
      <c r="AZ22" s="148"/>
      <c r="BA22" s="148"/>
      <c r="BB22" s="148"/>
      <c r="BC22" s="148"/>
      <c r="BD22" s="148"/>
      <c r="BE22" s="148"/>
      <c r="BF22" s="148"/>
      <c r="BG22" s="148"/>
    </row>
    <row r="23" spans="1:59" x14ac:dyDescent="0.25">
      <c r="B23" s="81" t="s">
        <v>638</v>
      </c>
      <c r="C23" s="147">
        <f>C9-C7</f>
        <v>4381758.7200000007</v>
      </c>
      <c r="D23" s="147">
        <f t="shared" ref="D23:BC23" si="6">D9-D7</f>
        <v>1334174.0200000003</v>
      </c>
      <c r="E23" s="147">
        <f t="shared" si="6"/>
        <v>2494295.2999999993</v>
      </c>
      <c r="F23" s="147">
        <f t="shared" si="6"/>
        <v>159665.83999999985</v>
      </c>
      <c r="G23" s="147">
        <f t="shared" si="6"/>
        <v>9596524.3299999982</v>
      </c>
      <c r="H23" s="147">
        <f t="shared" si="6"/>
        <v>16136631.520000003</v>
      </c>
      <c r="I23" s="147">
        <f t="shared" si="6"/>
        <v>613443.49000000022</v>
      </c>
      <c r="J23" s="147">
        <f t="shared" si="6"/>
        <v>95429892.970000029</v>
      </c>
      <c r="K23" s="147">
        <f t="shared" si="6"/>
        <v>3276821.4900000007</v>
      </c>
      <c r="L23" s="147">
        <f t="shared" si="6"/>
        <v>657021.74</v>
      </c>
      <c r="M23" s="147">
        <f t="shared" si="6"/>
        <v>27130951.869999997</v>
      </c>
      <c r="N23" s="147">
        <f t="shared" si="6"/>
        <v>1159598.6799999997</v>
      </c>
      <c r="O23" s="147">
        <f t="shared" si="6"/>
        <v>41216.310000000056</v>
      </c>
      <c r="P23" s="147">
        <f t="shared" si="6"/>
        <v>1753942.15</v>
      </c>
      <c r="Q23" s="147">
        <f t="shared" si="6"/>
        <v>1749151.4600000004</v>
      </c>
      <c r="R23" s="147">
        <f t="shared" si="6"/>
        <v>-208385.76999999955</v>
      </c>
      <c r="S23" s="147">
        <f t="shared" si="6"/>
        <v>295523.71999999974</v>
      </c>
      <c r="T23" s="147">
        <f t="shared" si="6"/>
        <v>1952635.5100000002</v>
      </c>
      <c r="U23" s="147">
        <f t="shared" si="6"/>
        <v>10826918.77</v>
      </c>
      <c r="V23" s="147">
        <f t="shared" si="6"/>
        <v>-1258764.1999999997</v>
      </c>
      <c r="W23" s="147">
        <f t="shared" si="6"/>
        <v>6440242.9599999981</v>
      </c>
      <c r="X23" s="147">
        <f t="shared" si="6"/>
        <v>-10380295.779999997</v>
      </c>
      <c r="Y23" s="147">
        <f t="shared" si="6"/>
        <v>74018.899999999907</v>
      </c>
      <c r="Z23" s="147">
        <f t="shared" si="6"/>
        <v>-323523.36999999988</v>
      </c>
      <c r="AA23" s="147">
        <f t="shared" si="6"/>
        <v>1349453.5100000002</v>
      </c>
      <c r="AB23" s="147">
        <f t="shared" si="6"/>
        <v>4615930.29</v>
      </c>
      <c r="AC23" s="147">
        <f t="shared" si="6"/>
        <v>1426544.4699999997</v>
      </c>
      <c r="AD23" s="147">
        <f t="shared" si="6"/>
        <v>-2814009.3600000003</v>
      </c>
      <c r="AE23" s="147">
        <f t="shared" si="6"/>
        <v>-1433431.5900000008</v>
      </c>
      <c r="AF23" s="147">
        <f t="shared" si="6"/>
        <v>8313209.2300000023</v>
      </c>
      <c r="AG23" s="147">
        <f t="shared" si="6"/>
        <v>-88268.129999999655</v>
      </c>
      <c r="AH23" s="147">
        <f t="shared" si="6"/>
        <v>-1005628.19</v>
      </c>
      <c r="AI23" s="147">
        <f t="shared" si="6"/>
        <v>12776514.859999999</v>
      </c>
      <c r="AJ23" s="147">
        <f t="shared" si="6"/>
        <v>4295688.8199999994</v>
      </c>
      <c r="AK23" s="147">
        <f t="shared" si="6"/>
        <v>6419097.7300000004</v>
      </c>
      <c r="AL23" s="147">
        <f t="shared" si="6"/>
        <v>-68973.139999999898</v>
      </c>
      <c r="AM23" s="147">
        <f t="shared" si="6"/>
        <v>-4253300.6399999987</v>
      </c>
      <c r="AN23" s="147">
        <f t="shared" si="6"/>
        <v>1394899.9899999998</v>
      </c>
      <c r="AO23" s="147">
        <f t="shared" si="6"/>
        <v>1260354.7200000002</v>
      </c>
      <c r="AP23" s="147">
        <f t="shared" si="6"/>
        <v>-309867.80999999866</v>
      </c>
      <c r="AQ23" s="147">
        <f t="shared" si="6"/>
        <v>3086864.3399999994</v>
      </c>
      <c r="AR23" s="147">
        <f t="shared" si="6"/>
        <v>5096750.43</v>
      </c>
      <c r="AS23" s="147">
        <f t="shared" si="6"/>
        <v>-1089984.3500000006</v>
      </c>
      <c r="AT23" s="147">
        <f t="shared" si="6"/>
        <v>7718740.75</v>
      </c>
      <c r="AU23" s="147">
        <f t="shared" si="6"/>
        <v>2805265.74</v>
      </c>
      <c r="AV23" s="147">
        <f t="shared" si="6"/>
        <v>189759.61</v>
      </c>
      <c r="AW23" s="147">
        <f t="shared" si="6"/>
        <v>-637335.59000000032</v>
      </c>
      <c r="AX23" s="147">
        <f t="shared" si="6"/>
        <v>15312974.43</v>
      </c>
      <c r="AY23" s="147">
        <f t="shared" si="6"/>
        <v>-884214.48000000021</v>
      </c>
      <c r="AZ23" s="147">
        <f t="shared" si="6"/>
        <v>5827342.290000001</v>
      </c>
      <c r="BA23" s="147">
        <f t="shared" si="6"/>
        <v>-576498.74</v>
      </c>
      <c r="BB23" s="147">
        <f t="shared" si="6"/>
        <v>42123403.110000007</v>
      </c>
      <c r="BC23" s="147">
        <f t="shared" si="6"/>
        <v>1980846.71</v>
      </c>
      <c r="BD23" s="147">
        <f>SUM(C23:BC23)</f>
        <v>286165589.64000005</v>
      </c>
      <c r="BE23" s="147">
        <f t="shared" si="0"/>
        <v>178781782.12000003</v>
      </c>
      <c r="BF23" s="147">
        <f t="shared" si="1"/>
        <v>4915478.7400000021</v>
      </c>
      <c r="BG23" s="147">
        <f t="shared" si="2"/>
        <v>102468328.78</v>
      </c>
    </row>
    <row r="24" spans="1:59" x14ac:dyDescent="0.25">
      <c r="B24" s="56" t="s">
        <v>449</v>
      </c>
      <c r="C24" s="141">
        <f>C23/C5</f>
        <v>4626.989144667371</v>
      </c>
      <c r="D24" s="141">
        <f t="shared" ref="D24:BG24" si="7">D23/D5</f>
        <v>5034.6189433962272</v>
      </c>
      <c r="E24" s="141">
        <f t="shared" si="7"/>
        <v>5318.32686567164</v>
      </c>
      <c r="F24" s="141">
        <f t="shared" si="7"/>
        <v>363.7035079726648</v>
      </c>
      <c r="G24" s="141">
        <f t="shared" si="7"/>
        <v>2574.1749812231756</v>
      </c>
      <c r="H24" s="141">
        <f t="shared" si="7"/>
        <v>4824.1050881913316</v>
      </c>
      <c r="I24" s="141">
        <f t="shared" si="7"/>
        <v>231.31353318250385</v>
      </c>
      <c r="J24" s="141">
        <f t="shared" si="7"/>
        <v>7647.2387987819557</v>
      </c>
      <c r="K24" s="141">
        <f t="shared" si="7"/>
        <v>2411.2005077262697</v>
      </c>
      <c r="L24" s="141">
        <f t="shared" si="7"/>
        <v>5615.5704273504271</v>
      </c>
      <c r="M24" s="141">
        <f t="shared" si="7"/>
        <v>3736.531038424459</v>
      </c>
      <c r="N24" s="141">
        <f t="shared" si="7"/>
        <v>2155.3878810408914</v>
      </c>
      <c r="O24" s="141">
        <f t="shared" si="7"/>
        <v>371.31810810810862</v>
      </c>
      <c r="P24" s="141">
        <f t="shared" si="7"/>
        <v>4166.1333729216149</v>
      </c>
      <c r="Q24" s="141">
        <f t="shared" si="7"/>
        <v>5055.3510404624294</v>
      </c>
      <c r="R24" s="141">
        <f t="shared" si="7"/>
        <v>-293.50108450704164</v>
      </c>
      <c r="S24" s="141">
        <f t="shared" si="7"/>
        <v>1098.6011895910772</v>
      </c>
      <c r="T24" s="141">
        <f t="shared" si="7"/>
        <v>4437.8079772727278</v>
      </c>
      <c r="U24" s="141">
        <f t="shared" si="7"/>
        <v>3353.0253236296066</v>
      </c>
      <c r="V24" s="141">
        <f t="shared" si="7"/>
        <v>-4060.5296774193539</v>
      </c>
      <c r="W24" s="141">
        <f t="shared" si="7"/>
        <v>5071.0574488188959</v>
      </c>
      <c r="X24" s="141">
        <f t="shared" si="7"/>
        <v>-6892.6266799468776</v>
      </c>
      <c r="Y24" s="141">
        <f t="shared" si="7"/>
        <v>771.03020833333233</v>
      </c>
      <c r="Z24" s="141">
        <f t="shared" si="7"/>
        <v>-2185.9687162162154</v>
      </c>
      <c r="AA24" s="141">
        <f t="shared" si="7"/>
        <v>2605.1226061776065</v>
      </c>
      <c r="AB24" s="141">
        <f t="shared" si="7"/>
        <v>6584.7793009985735</v>
      </c>
      <c r="AC24" s="141">
        <f t="shared" si="7"/>
        <v>2529.3341666666661</v>
      </c>
      <c r="AD24" s="141">
        <f t="shared" si="7"/>
        <v>-5360.0178285714292</v>
      </c>
      <c r="AE24" s="141">
        <f t="shared" si="7"/>
        <v>-750.88087480356251</v>
      </c>
      <c r="AF24" s="141">
        <f t="shared" si="7"/>
        <v>3222.1741201550399</v>
      </c>
      <c r="AG24" s="141">
        <f t="shared" si="7"/>
        <v>-397.60418918918765</v>
      </c>
      <c r="AH24" s="141">
        <f t="shared" si="7"/>
        <v>-7795.5673643410846</v>
      </c>
      <c r="AI24" s="141">
        <f t="shared" si="7"/>
        <v>6756.4859122157586</v>
      </c>
      <c r="AJ24" s="141">
        <f t="shared" si="7"/>
        <v>3814.9989520426284</v>
      </c>
      <c r="AK24" s="141">
        <f t="shared" si="7"/>
        <v>5240.079779591837</v>
      </c>
      <c r="AL24" s="141">
        <f t="shared" si="7"/>
        <v>-589.51401709401625</v>
      </c>
      <c r="AM24" s="141">
        <f t="shared" si="7"/>
        <v>-3589.2832405063282</v>
      </c>
      <c r="AN24" s="141">
        <f t="shared" si="7"/>
        <v>2172.7414174454825</v>
      </c>
      <c r="AO24" s="141">
        <f t="shared" si="7"/>
        <v>1991.0817061611378</v>
      </c>
      <c r="AP24" s="141">
        <f t="shared" si="7"/>
        <v>-241.3300700934569</v>
      </c>
      <c r="AQ24" s="141">
        <f t="shared" si="7"/>
        <v>4222.796634746921</v>
      </c>
      <c r="AR24" s="141">
        <f t="shared" si="7"/>
        <v>5016.4866437007868</v>
      </c>
      <c r="AS24" s="141">
        <f t="shared" si="7"/>
        <v>-3585.4748355263177</v>
      </c>
      <c r="AT24" s="141">
        <f t="shared" si="7"/>
        <v>3200.1412728026535</v>
      </c>
      <c r="AU24" s="141">
        <f t="shared" si="7"/>
        <v>3816.6880816326534</v>
      </c>
      <c r="AV24" s="141">
        <f t="shared" si="7"/>
        <v>1025.7276216216214</v>
      </c>
      <c r="AW24" s="141">
        <f t="shared" si="7"/>
        <v>-1874.5164411764715</v>
      </c>
      <c r="AX24" s="141">
        <f t="shared" si="7"/>
        <v>9023.5559398939295</v>
      </c>
      <c r="AY24" s="141">
        <f t="shared" si="7"/>
        <v>-2267.216615384616</v>
      </c>
      <c r="AZ24" s="141">
        <f t="shared" si="7"/>
        <v>5430.887502329917</v>
      </c>
      <c r="BA24" s="141">
        <f t="shared" si="7"/>
        <v>-3133.1453260869566</v>
      </c>
      <c r="BB24" s="141">
        <f t="shared" si="7"/>
        <v>6514.5999242189928</v>
      </c>
      <c r="BC24" s="141">
        <f t="shared" si="7"/>
        <v>3543.5540429338103</v>
      </c>
      <c r="BD24" s="141">
        <f t="shared" si="7"/>
        <v>3877.6876018320286</v>
      </c>
      <c r="BE24" s="141">
        <f t="shared" si="7"/>
        <v>4569.5024184025569</v>
      </c>
      <c r="BF24" s="141">
        <f t="shared" si="7"/>
        <v>469.12375835083049</v>
      </c>
      <c r="BG24" s="141">
        <f t="shared" si="7"/>
        <v>4235.1034833643316</v>
      </c>
    </row>
    <row r="25" spans="1:59" x14ac:dyDescent="0.25">
      <c r="C25" s="83"/>
      <c r="D25" s="83"/>
      <c r="E25" s="83"/>
      <c r="F25" s="83"/>
      <c r="G25" s="83"/>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row>
    <row r="26" spans="1:59" x14ac:dyDescent="0.25">
      <c r="C26" s="83"/>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row>
    <row r="27" spans="1:59" x14ac:dyDescent="0.25">
      <c r="A27" s="7" t="s">
        <v>636</v>
      </c>
      <c r="C27" s="83"/>
      <c r="D27" s="83"/>
      <c r="E27" s="83"/>
      <c r="F27" s="83"/>
      <c r="G27" s="83"/>
      <c r="H27" s="83"/>
      <c r="I27" s="83"/>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row>
    <row r="28" spans="1:59" x14ac:dyDescent="0.25">
      <c r="C28" s="83"/>
      <c r="D28" s="83"/>
      <c r="E28" s="83"/>
      <c r="F28" s="83"/>
      <c r="G28" s="83"/>
      <c r="H28" s="83"/>
      <c r="I28" s="83"/>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row>
    <row r="29" spans="1:59" x14ac:dyDescent="0.25">
      <c r="A29">
        <v>10</v>
      </c>
      <c r="B29" t="s">
        <v>240</v>
      </c>
      <c r="C29" s="83">
        <f>'Base de données indicateurs1'!E5</f>
        <v>6215834.75</v>
      </c>
      <c r="D29" s="83">
        <f>'Base de données indicateurs1'!F5</f>
        <v>1141851.18</v>
      </c>
      <c r="E29" s="83">
        <f>'Base de données indicateurs1'!G5</f>
        <v>3560116.59</v>
      </c>
      <c r="F29" s="83">
        <f>'Base de données indicateurs1'!H5</f>
        <v>4665729.1100000003</v>
      </c>
      <c r="G29" s="83">
        <f>'Base de données indicateurs1'!I5</f>
        <v>15358859</v>
      </c>
      <c r="H29" s="83">
        <f>'Base de données indicateurs1'!J5</f>
        <v>8576665.4700000007</v>
      </c>
      <c r="I29" s="83">
        <f>'Base de données indicateurs1'!K5</f>
        <v>10901550.18</v>
      </c>
      <c r="J29" s="83">
        <f>'Base de données indicateurs1'!L5</f>
        <v>50722063</v>
      </c>
      <c r="K29" s="83">
        <f>'Base de données indicateurs1'!M5</f>
        <v>3552476.33</v>
      </c>
      <c r="L29" s="83">
        <f>'Base de données indicateurs1'!N5</f>
        <v>387086.74</v>
      </c>
      <c r="M29" s="83">
        <f>'Base de données indicateurs1'!O5</f>
        <v>18670168.030000001</v>
      </c>
      <c r="N29" s="83">
        <f>'Base de données indicateurs1'!P5</f>
        <v>2335602.86</v>
      </c>
      <c r="O29" s="83">
        <f>'Base de données indicateurs1'!Q5</f>
        <v>533749.43999999994</v>
      </c>
      <c r="P29" s="83">
        <f>'Base de données indicateurs1'!R5</f>
        <v>1346191.77</v>
      </c>
      <c r="Q29" s="83">
        <f>'Base de données indicateurs1'!S5</f>
        <v>2420446.7000000002</v>
      </c>
      <c r="R29" s="83">
        <f>'Base de données indicateurs1'!T5</f>
        <v>5477916.4500000002</v>
      </c>
      <c r="S29" s="83">
        <f>'Base de données indicateurs1'!U5</f>
        <v>758188.35</v>
      </c>
      <c r="T29" s="83">
        <f>'Base de données indicateurs1'!V5</f>
        <v>2180801.88</v>
      </c>
      <c r="U29" s="83">
        <f>'Base de données indicateurs1'!W5</f>
        <v>6432633.5</v>
      </c>
      <c r="V29" s="83">
        <f>'Base de données indicateurs1'!X5</f>
        <v>1924600</v>
      </c>
      <c r="W29" s="83">
        <f>'Base de données indicateurs1'!Y5</f>
        <v>4480522.83</v>
      </c>
      <c r="X29" s="83">
        <f>'Base de données indicateurs1'!Z5</f>
        <v>24040991.960000001</v>
      </c>
      <c r="Y29" s="83">
        <f>'Base de données indicateurs1'!AA5</f>
        <v>767484.1</v>
      </c>
      <c r="Z29" s="83">
        <f>'Base de données indicateurs1'!AB5</f>
        <v>1679089.31</v>
      </c>
      <c r="AA29" s="83">
        <f>'Base de données indicateurs1'!AC5</f>
        <v>3151827.65</v>
      </c>
      <c r="AB29" s="83">
        <f>'Base de données indicateurs1'!AD5</f>
        <v>2703468.09</v>
      </c>
      <c r="AC29" s="83">
        <f>'Base de données indicateurs1'!AE5</f>
        <v>2598603.84</v>
      </c>
      <c r="AD29" s="83">
        <f>'Base de données indicateurs1'!AF5</f>
        <v>4859272.7300000004</v>
      </c>
      <c r="AE29" s="83">
        <f>'Base de données indicateurs1'!AG5</f>
        <v>8453727.2599999998</v>
      </c>
      <c r="AF29" s="83">
        <f>'Base de données indicateurs1'!AH5</f>
        <v>9931261.6699999999</v>
      </c>
      <c r="AG29" s="83">
        <f>'Base de données indicateurs1'!AI5</f>
        <v>1884581.56</v>
      </c>
      <c r="AH29" s="83">
        <f>'Base de données indicateurs1'!AJ5</f>
        <v>2077662.84</v>
      </c>
      <c r="AI29" s="83">
        <f>'Base de données indicateurs1'!AK5</f>
        <v>6066530.1399999997</v>
      </c>
      <c r="AJ29" s="83">
        <f>'Base de données indicateurs1'!AL5</f>
        <v>5775298.5199999996</v>
      </c>
      <c r="AK29" s="83">
        <f>'Base de données indicateurs1'!AM5</f>
        <v>5469328.1600000001</v>
      </c>
      <c r="AL29" s="83">
        <f>'Base de données indicateurs1'!AN5</f>
        <v>1688154.88</v>
      </c>
      <c r="AM29" s="83">
        <f>'Base de données indicateurs1'!AO5</f>
        <v>13922324.970000001</v>
      </c>
      <c r="AN29" s="83">
        <f>'Base de données indicateurs1'!AP5</f>
        <v>3675736.55</v>
      </c>
      <c r="AO29" s="83">
        <f>'Base de données indicateurs1'!AQ5</f>
        <v>2883653</v>
      </c>
      <c r="AP29" s="83">
        <f>'Base de données indicateurs1'!AR5</f>
        <v>11869488.51</v>
      </c>
      <c r="AQ29" s="83">
        <f>'Base de données indicateurs1'!AS5</f>
        <v>2610512.23</v>
      </c>
      <c r="AR29" s="83">
        <f>'Base de données indicateurs1'!AT5</f>
        <v>4064289.31</v>
      </c>
      <c r="AS29" s="83">
        <f>'Base de données indicateurs1'!AU5</f>
        <v>3238914.92</v>
      </c>
      <c r="AT29" s="83">
        <f>'Base de données indicateurs1'!AV5</f>
        <v>5993608.2599999998</v>
      </c>
      <c r="AU29" s="83">
        <f>'Base de données indicateurs1'!AW5</f>
        <v>3392744.83</v>
      </c>
      <c r="AV29" s="83">
        <f>'Base de données indicateurs1'!AX5</f>
        <v>734999</v>
      </c>
      <c r="AW29" s="83">
        <f>'Base de données indicateurs1'!AY5</f>
        <v>2708714.28</v>
      </c>
      <c r="AX29" s="83">
        <f>'Base de données indicateurs1'!AZ5</f>
        <v>4744472.3600000003</v>
      </c>
      <c r="AY29" s="83">
        <f>'Base de données indicateurs1'!BA5</f>
        <v>2973001.33</v>
      </c>
      <c r="AZ29" s="83">
        <f>'Base de données indicateurs1'!BB5</f>
        <v>4994920.1399999997</v>
      </c>
      <c r="BA29" s="83">
        <f>'Base de données indicateurs1'!BC5</f>
        <v>881392.45</v>
      </c>
      <c r="BB29" s="83">
        <f>'Base de données indicateurs1'!BD5</f>
        <v>27043126.07</v>
      </c>
      <c r="BC29" s="83">
        <f>'Base de données indicateurs1'!BE5</f>
        <v>2304845.67</v>
      </c>
      <c r="BD29" s="83">
        <f>SUM(C29:BC29)</f>
        <v>330827080.74999988</v>
      </c>
      <c r="BE29" s="83">
        <f>SUM(C29:U29)</f>
        <v>145237931.32999998</v>
      </c>
      <c r="BF29" s="83">
        <f>SUM(V29:AH29)</f>
        <v>68553093.840000004</v>
      </c>
      <c r="BG29" s="83">
        <f>SUM(AI29:BC29)</f>
        <v>117036055.58</v>
      </c>
    </row>
    <row r="30" spans="1:59" x14ac:dyDescent="0.25">
      <c r="C30" s="83"/>
      <c r="D30" s="83"/>
      <c r="E30" s="83"/>
      <c r="F30" s="83"/>
      <c r="G30" s="83"/>
      <c r="H30" s="83"/>
      <c r="I30" s="83"/>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row>
    <row r="31" spans="1:59" x14ac:dyDescent="0.25">
      <c r="A31">
        <v>20</v>
      </c>
      <c r="B31" t="s">
        <v>252</v>
      </c>
      <c r="C31" s="83">
        <f>'Base de données indicateurs1'!E8</f>
        <v>10597593.460000001</v>
      </c>
      <c r="D31" s="83">
        <f>'Base de données indicateurs1'!F8</f>
        <v>2476025.2000000002</v>
      </c>
      <c r="E31" s="83">
        <f>'Base de données indicateurs1'!G8</f>
        <v>6054411.8899999997</v>
      </c>
      <c r="F31" s="83">
        <f>'Base de données indicateurs1'!H8</f>
        <v>4819394.95</v>
      </c>
      <c r="G31" s="83">
        <f>'Base de données indicateurs1'!I8</f>
        <v>24955383</v>
      </c>
      <c r="H31" s="83">
        <f>'Base de données indicateurs1'!J8</f>
        <v>24713296.989999998</v>
      </c>
      <c r="I31" s="83">
        <f>'Base de données indicateurs1'!K8</f>
        <v>11514993.67</v>
      </c>
      <c r="J31" s="83">
        <f>'Base de données indicateurs1'!L8</f>
        <v>146151956.09999999</v>
      </c>
      <c r="K31" s="83">
        <f>'Base de données indicateurs1'!M8</f>
        <v>6829297.8200000003</v>
      </c>
      <c r="L31" s="83">
        <f>'Base de données indicateurs1'!N8</f>
        <v>1044108.48</v>
      </c>
      <c r="M31" s="83">
        <f>'Base de données indicateurs1'!O8</f>
        <v>45801119</v>
      </c>
      <c r="N31" s="83">
        <f>'Base de données indicateurs1'!P8</f>
        <v>3495201.54</v>
      </c>
      <c r="O31" s="83">
        <f>'Base de données indicateurs1'!Q8</f>
        <v>574956.75</v>
      </c>
      <c r="P31" s="83">
        <f>'Base de données indicateurs1'!R8</f>
        <v>3100133.92</v>
      </c>
      <c r="Q31" s="83">
        <f>'Base de données indicateurs1'!S8</f>
        <v>4169598.16</v>
      </c>
      <c r="R31" s="83">
        <f>'Base de données indicateurs1'!T8</f>
        <v>5269530.68</v>
      </c>
      <c r="S31" s="83">
        <f>'Base de données indicateurs1'!U8</f>
        <v>1053712.07</v>
      </c>
      <c r="T31" s="83">
        <f>'Base de données indicateurs1'!V8</f>
        <v>4133437.39</v>
      </c>
      <c r="U31" s="83">
        <f>'Base de données indicateurs1'!W8</f>
        <v>17259552.27</v>
      </c>
      <c r="V31" s="83">
        <f>'Base de données indicateurs1'!X8</f>
        <v>665836</v>
      </c>
      <c r="W31" s="83">
        <f>'Base de données indicateurs1'!Y8</f>
        <v>10920765.789999999</v>
      </c>
      <c r="X31" s="83">
        <f>'Base de données indicateurs1'!Z8</f>
        <v>13660696.18</v>
      </c>
      <c r="Y31" s="83">
        <f>'Base de données indicateurs1'!AA8</f>
        <v>841503</v>
      </c>
      <c r="Z31" s="83">
        <f>'Base de données indicateurs1'!AB8</f>
        <v>1355565.94</v>
      </c>
      <c r="AA31" s="83">
        <f>'Base de données indicateurs1'!AC8</f>
        <v>4501281.16</v>
      </c>
      <c r="AB31" s="83">
        <f>'Base de données indicateurs1'!AD8</f>
        <v>7319398.3799999999</v>
      </c>
      <c r="AC31" s="83">
        <f>'Base de données indicateurs1'!AE8</f>
        <v>4025148.31</v>
      </c>
      <c r="AD31" s="83">
        <f>'Base de données indicateurs1'!AF8</f>
        <v>2045263.37</v>
      </c>
      <c r="AE31" s="83">
        <f>'Base de données indicateurs1'!AG8</f>
        <v>7020295.6699999999</v>
      </c>
      <c r="AF31" s="83">
        <f>'Base de données indicateurs1'!AH8</f>
        <v>18244470.899999999</v>
      </c>
      <c r="AG31" s="83">
        <f>'Base de données indicateurs1'!AI8</f>
        <v>1796313.43</v>
      </c>
      <c r="AH31" s="83">
        <f>'Base de données indicateurs1'!AJ8</f>
        <v>1072034.6499999999</v>
      </c>
      <c r="AI31" s="83">
        <f>'Base de données indicateurs1'!AK8</f>
        <v>18843045</v>
      </c>
      <c r="AJ31" s="83">
        <f>'Base de données indicateurs1'!AL8</f>
        <v>10070987.34</v>
      </c>
      <c r="AK31" s="83">
        <f>'Base de données indicateurs1'!AM8</f>
        <v>11888425.890000001</v>
      </c>
      <c r="AL31" s="83">
        <f>'Base de données indicateurs1'!AN8</f>
        <v>1619181.74</v>
      </c>
      <c r="AM31" s="83">
        <f>'Base de données indicateurs1'!AO8</f>
        <v>9669024.3300000001</v>
      </c>
      <c r="AN31" s="83">
        <f>'Base de données indicateurs1'!AP8</f>
        <v>5070636.54</v>
      </c>
      <c r="AO31" s="83">
        <f>'Base de données indicateurs1'!AQ8</f>
        <v>4144008</v>
      </c>
      <c r="AP31" s="83">
        <f>'Base de données indicateurs1'!AR8</f>
        <v>11559620.699999999</v>
      </c>
      <c r="AQ31" s="83">
        <f>'Base de données indicateurs1'!AS8</f>
        <v>5697376.5700000003</v>
      </c>
      <c r="AR31" s="83">
        <f>'Base de données indicateurs1'!AT8</f>
        <v>9161039.7400000002</v>
      </c>
      <c r="AS31" s="83">
        <f>'Base de données indicateurs1'!AU8</f>
        <v>2148930.5699999998</v>
      </c>
      <c r="AT31" s="83">
        <f>'Base de données indicateurs1'!AV8</f>
        <v>13712349.01</v>
      </c>
      <c r="AU31" s="83">
        <f>'Base de données indicateurs1'!AW8</f>
        <v>6198010.5700000003</v>
      </c>
      <c r="AV31" s="83">
        <f>'Base de données indicateurs1'!AX8</f>
        <v>913998</v>
      </c>
      <c r="AW31" s="83">
        <f>'Base de données indicateurs1'!AY8</f>
        <v>2071378.69</v>
      </c>
      <c r="AX31" s="83">
        <f>'Base de données indicateurs1'!AZ8</f>
        <v>20057446.789999999</v>
      </c>
      <c r="AY31" s="83">
        <f>'Base de données indicateurs1'!BA8</f>
        <v>2088786.85</v>
      </c>
      <c r="AZ31" s="83">
        <f>'Base de données indicateurs1'!BB8</f>
        <v>10822262.43</v>
      </c>
      <c r="BA31" s="83">
        <f>'Base de données indicateurs1'!BC8</f>
        <v>305132.06</v>
      </c>
      <c r="BB31" s="83">
        <f>'Base de données indicateurs1'!BD8</f>
        <v>69166529.180000007</v>
      </c>
      <c r="BC31" s="83">
        <f>'Base de données indicateurs1'!BE8</f>
        <v>4285692.38</v>
      </c>
      <c r="BD31" s="83">
        <f t="shared" ref="BD31:BD39" si="8">SUM(C31:BC31)</f>
        <v>616976138.49999988</v>
      </c>
      <c r="BE31" s="83">
        <f t="shared" ref="BE31:BE39" si="9">SUM(C31:U31)</f>
        <v>324013703.33999997</v>
      </c>
      <c r="BF31" s="83">
        <f t="shared" ref="BF31:BF39" si="10">SUM(V31:AH31)</f>
        <v>73468572.780000016</v>
      </c>
      <c r="BG31" s="83">
        <f t="shared" ref="BG31:BG39" si="11">SUM(AI31:BC31)</f>
        <v>219493862.38</v>
      </c>
    </row>
    <row r="32" spans="1:59" x14ac:dyDescent="0.25">
      <c r="C32" s="83"/>
      <c r="D32" s="83"/>
      <c r="E32" s="83"/>
      <c r="F32" s="83"/>
      <c r="G32" s="83"/>
      <c r="H32" s="83"/>
      <c r="I32" s="83"/>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row>
    <row r="33" spans="1:59" x14ac:dyDescent="0.25">
      <c r="A33">
        <v>200</v>
      </c>
      <c r="B33" t="s">
        <v>451</v>
      </c>
      <c r="C33" s="83">
        <f>'Base de données indicateurs1'!E9</f>
        <v>0</v>
      </c>
      <c r="D33" s="83">
        <f>'Base de données indicateurs1'!F9</f>
        <v>96415.1</v>
      </c>
      <c r="E33" s="83">
        <f>'Base de données indicateurs1'!G9</f>
        <v>204208.4</v>
      </c>
      <c r="F33" s="83">
        <f>'Base de données indicateurs1'!H9</f>
        <v>288807.18</v>
      </c>
      <c r="G33" s="83">
        <f>'Base de données indicateurs1'!I9</f>
        <v>770196</v>
      </c>
      <c r="H33" s="83">
        <f>'Base de données indicateurs1'!J9</f>
        <v>1390243.5</v>
      </c>
      <c r="I33" s="83">
        <f>'Base de données indicateurs1'!K9</f>
        <v>386006.85</v>
      </c>
      <c r="J33" s="83">
        <f>'Base de données indicateurs1'!L9</f>
        <v>10226270.390000001</v>
      </c>
      <c r="K33" s="83">
        <f>'Base de données indicateurs1'!M9</f>
        <v>313883.77</v>
      </c>
      <c r="L33" s="83">
        <f>'Base de données indicateurs1'!N9</f>
        <v>78133.58</v>
      </c>
      <c r="M33" s="83">
        <f>'Base de données indicateurs1'!O9</f>
        <v>1915537.59</v>
      </c>
      <c r="N33" s="83">
        <f>'Base de données indicateurs1'!P9</f>
        <v>103015.62</v>
      </c>
      <c r="O33" s="83">
        <f>'Base de données indicateurs1'!Q9</f>
        <v>537.75</v>
      </c>
      <c r="P33" s="83">
        <f>'Base de données indicateurs1'!R9</f>
        <v>140154.57</v>
      </c>
      <c r="Q33" s="83">
        <f>'Base de données indicateurs1'!S9</f>
        <v>61278.31</v>
      </c>
      <c r="R33" s="83">
        <f>'Base de données indicateurs1'!T9</f>
        <v>224663.18</v>
      </c>
      <c r="S33" s="83">
        <f>'Base de données indicateurs1'!U9</f>
        <v>264819.38</v>
      </c>
      <c r="T33" s="83">
        <f>'Base de données indicateurs1'!V9</f>
        <v>293780.13</v>
      </c>
      <c r="U33" s="83">
        <f>'Base de données indicateurs1'!W9</f>
        <v>1439741.95</v>
      </c>
      <c r="V33" s="83">
        <f>'Base de données indicateurs1'!X9</f>
        <v>0</v>
      </c>
      <c r="W33" s="83">
        <f>'Base de données indicateurs1'!Y9</f>
        <v>-43502.31</v>
      </c>
      <c r="X33" s="83">
        <f>'Base de données indicateurs1'!Z9</f>
        <v>5139268.8499999996</v>
      </c>
      <c r="Y33" s="83">
        <f>'Base de données indicateurs1'!AA9</f>
        <v>66448.5</v>
      </c>
      <c r="Z33" s="83">
        <f>'Base de données indicateurs1'!AB9</f>
        <v>30930.55</v>
      </c>
      <c r="AA33" s="83">
        <f>'Base de données indicateurs1'!AC9</f>
        <v>360279.41</v>
      </c>
      <c r="AB33" s="83">
        <f>'Base de données indicateurs1'!AD9</f>
        <v>146295.12</v>
      </c>
      <c r="AC33" s="83">
        <f>'Base de données indicateurs1'!AE9</f>
        <v>20883.599999999999</v>
      </c>
      <c r="AD33" s="83">
        <f>'Base de données indicateurs1'!AF9</f>
        <v>177481.53</v>
      </c>
      <c r="AE33" s="83">
        <f>'Base de données indicateurs1'!AG9</f>
        <v>1236141.22</v>
      </c>
      <c r="AF33" s="83">
        <f>'Base de données indicateurs1'!AH9</f>
        <v>774396.68</v>
      </c>
      <c r="AG33" s="83">
        <f>'Base de données indicateurs1'!AI9</f>
        <v>607793.76</v>
      </c>
      <c r="AH33" s="83">
        <f>'Base de données indicateurs1'!AJ9</f>
        <v>60243.5</v>
      </c>
      <c r="AI33" s="83">
        <f>'Base de données indicateurs1'!AK9</f>
        <v>149235.53</v>
      </c>
      <c r="AJ33" s="83">
        <f>'Base de données indicateurs1'!AL9</f>
        <v>400259.22</v>
      </c>
      <c r="AK33" s="83">
        <f>'Base de données indicateurs1'!AM9</f>
        <v>373344.66</v>
      </c>
      <c r="AL33" s="83">
        <f>'Base de données indicateurs1'!AN9</f>
        <v>25435.59</v>
      </c>
      <c r="AM33" s="83">
        <f>'Base de données indicateurs1'!AO9</f>
        <v>1045617.86</v>
      </c>
      <c r="AN33" s="83">
        <f>'Base de données indicateurs1'!AP9</f>
        <v>356679.72</v>
      </c>
      <c r="AO33" s="83">
        <f>'Base de données indicateurs1'!AQ9</f>
        <v>115182</v>
      </c>
      <c r="AP33" s="83">
        <f>'Base de données indicateurs1'!AR9</f>
        <v>779647.5</v>
      </c>
      <c r="AQ33" s="83">
        <f>'Base de données indicateurs1'!AS9</f>
        <v>578207.18000000005</v>
      </c>
      <c r="AR33" s="83">
        <f>'Base de données indicateurs1'!AT9</f>
        <v>304650.15999999997</v>
      </c>
      <c r="AS33" s="83">
        <f>'Base de données indicateurs1'!AU9</f>
        <v>41809.15</v>
      </c>
      <c r="AT33" s="83">
        <f>'Base de données indicateurs1'!AV9</f>
        <v>169682.91</v>
      </c>
      <c r="AU33" s="83">
        <f>'Base de données indicateurs1'!AW9</f>
        <v>96698.8</v>
      </c>
      <c r="AV33" s="83">
        <f>'Base de données indicateurs1'!AX9</f>
        <v>67075</v>
      </c>
      <c r="AW33" s="83">
        <f>'Base de données indicateurs1'!AY9</f>
        <v>124398.05</v>
      </c>
      <c r="AX33" s="83">
        <f>'Base de données indicateurs1'!AZ9</f>
        <v>1017304</v>
      </c>
      <c r="AY33" s="83">
        <f>'Base de données indicateurs1'!BA9</f>
        <v>47647.15</v>
      </c>
      <c r="AZ33" s="83">
        <f>'Base de données indicateurs1'!BB9</f>
        <v>547198.9</v>
      </c>
      <c r="BA33" s="83">
        <f>'Base de données indicateurs1'!BC9</f>
        <v>81146.8</v>
      </c>
      <c r="BB33" s="83">
        <f>'Base de données indicateurs1'!BD9</f>
        <v>4206691.96</v>
      </c>
      <c r="BC33" s="83">
        <f>'Base de données indicateurs1'!BE9</f>
        <v>275797.33</v>
      </c>
      <c r="BD33" s="83">
        <f t="shared" si="8"/>
        <v>37578063.129999995</v>
      </c>
      <c r="BE33" s="83">
        <f t="shared" si="9"/>
        <v>18197693.25</v>
      </c>
      <c r="BF33" s="83">
        <f t="shared" si="10"/>
        <v>8576660.4100000001</v>
      </c>
      <c r="BG33" s="83">
        <f t="shared" si="11"/>
        <v>10803709.470000001</v>
      </c>
    </row>
    <row r="34" spans="1:59" x14ac:dyDescent="0.25">
      <c r="C34" s="83"/>
      <c r="D34" s="83"/>
      <c r="E34" s="83"/>
      <c r="F34" s="83"/>
      <c r="G34" s="83"/>
      <c r="H34" s="83"/>
      <c r="I34" s="83"/>
      <c r="J34" s="83"/>
      <c r="K34" s="83"/>
      <c r="L34" s="83"/>
      <c r="M34" s="83"/>
      <c r="N34" s="83"/>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row>
    <row r="35" spans="1:59" x14ac:dyDescent="0.25">
      <c r="A35">
        <v>201</v>
      </c>
      <c r="B35" t="s">
        <v>254</v>
      </c>
      <c r="C35" s="83">
        <f>'Base de données indicateurs1'!E10</f>
        <v>5748056.3600000003</v>
      </c>
      <c r="D35" s="83">
        <f>'Base de données indicateurs1'!F10</f>
        <v>308700</v>
      </c>
      <c r="E35" s="83">
        <f>'Base de données indicateurs1'!G10</f>
        <v>140800</v>
      </c>
      <c r="F35" s="83">
        <f>'Base de données indicateurs1'!H10</f>
        <v>252741.72</v>
      </c>
      <c r="G35" s="83">
        <f>'Base de données indicateurs1'!I10</f>
        <v>5587130</v>
      </c>
      <c r="H35" s="83">
        <f>'Base de données indicateurs1'!J10</f>
        <v>6015550</v>
      </c>
      <c r="I35" s="83">
        <f>'Base de données indicateurs1'!K10</f>
        <v>390000</v>
      </c>
      <c r="J35" s="83">
        <f>'Base de données indicateurs1'!L10</f>
        <v>37051659</v>
      </c>
      <c r="K35" s="83">
        <f>'Base de données indicateurs1'!M10</f>
        <v>267000</v>
      </c>
      <c r="L35" s="83">
        <f>'Base de données indicateurs1'!N10</f>
        <v>0</v>
      </c>
      <c r="M35" s="83">
        <f>'Base de données indicateurs1'!O10</f>
        <v>16290985.550000001</v>
      </c>
      <c r="N35" s="83">
        <f>'Base de données indicateurs1'!P10</f>
        <v>1214136.27</v>
      </c>
      <c r="O35" s="83">
        <f>'Base de données indicateurs1'!Q10</f>
        <v>120408.18</v>
      </c>
      <c r="P35" s="83">
        <f>'Base de données indicateurs1'!R10</f>
        <v>0</v>
      </c>
      <c r="Q35" s="83">
        <f>'Base de données indicateurs1'!S10</f>
        <v>2979081.9</v>
      </c>
      <c r="R35" s="83">
        <f>'Base de données indicateurs1'!T10</f>
        <v>0</v>
      </c>
      <c r="S35" s="83">
        <f>'Base de données indicateurs1'!U10</f>
        <v>168291.86</v>
      </c>
      <c r="T35" s="83">
        <f>'Base de données indicateurs1'!V10</f>
        <v>235989.23</v>
      </c>
      <c r="U35" s="83">
        <f>'Base de données indicateurs1'!W10</f>
        <v>2545622.62</v>
      </c>
      <c r="V35" s="83">
        <f>'Base de données indicateurs1'!X10</f>
        <v>405605</v>
      </c>
      <c r="W35" s="83">
        <f>'Base de données indicateurs1'!Y10</f>
        <v>1490285.95</v>
      </c>
      <c r="X35" s="83">
        <f>'Base de données indicateurs1'!Z10</f>
        <v>2640000</v>
      </c>
      <c r="Y35" s="83">
        <f>'Base de données indicateurs1'!AA10</f>
        <v>0</v>
      </c>
      <c r="Z35" s="83">
        <f>'Base de données indicateurs1'!AB10</f>
        <v>12500</v>
      </c>
      <c r="AA35" s="83">
        <f>'Base de données indicateurs1'!AC10</f>
        <v>1235051.02</v>
      </c>
      <c r="AB35" s="83">
        <f>'Base de données indicateurs1'!AD10</f>
        <v>-22825.81</v>
      </c>
      <c r="AC35" s="83">
        <f>'Base de données indicateurs1'!AE10</f>
        <v>587125.71</v>
      </c>
      <c r="AD35" s="83">
        <f>'Base de données indicateurs1'!AF10</f>
        <v>490796.4</v>
      </c>
      <c r="AE35" s="83">
        <f>'Base de données indicateurs1'!AG10</f>
        <v>876760.84</v>
      </c>
      <c r="AF35" s="83">
        <f>'Base de données indicateurs1'!AH10</f>
        <v>1234262.1499999999</v>
      </c>
      <c r="AG35" s="83">
        <f>'Base de données indicateurs1'!AI10</f>
        <v>242085.96</v>
      </c>
      <c r="AH35" s="83">
        <f>'Base de données indicateurs1'!AJ10</f>
        <v>148300</v>
      </c>
      <c r="AI35" s="83">
        <f>'Base de données indicateurs1'!AK10</f>
        <v>496152.57</v>
      </c>
      <c r="AJ35" s="83">
        <f>'Base de données indicateurs1'!AL10</f>
        <v>573216.67000000004</v>
      </c>
      <c r="AK35" s="83">
        <f>'Base de données indicateurs1'!AM10</f>
        <v>230143.03</v>
      </c>
      <c r="AL35" s="83">
        <f>'Base de données indicateurs1'!AN10</f>
        <v>0</v>
      </c>
      <c r="AM35" s="83">
        <f>'Base de données indicateurs1'!AO10</f>
        <v>0</v>
      </c>
      <c r="AN35" s="83">
        <f>'Base de données indicateurs1'!AP10</f>
        <v>102400</v>
      </c>
      <c r="AO35" s="83">
        <f>'Base de données indicateurs1'!AQ10</f>
        <v>536240</v>
      </c>
      <c r="AP35" s="83">
        <f>'Base de données indicateurs1'!AR10</f>
        <v>1050</v>
      </c>
      <c r="AQ35" s="83">
        <f>'Base de données indicateurs1'!AS10</f>
        <v>249777.17</v>
      </c>
      <c r="AR35" s="83">
        <f>'Base de données indicateurs1'!AT10</f>
        <v>294313</v>
      </c>
      <c r="AS35" s="83">
        <f>'Base de données indicateurs1'!AU10</f>
        <v>19300</v>
      </c>
      <c r="AT35" s="83">
        <f>'Base de données indicateurs1'!AV10</f>
        <v>0</v>
      </c>
      <c r="AU35" s="83">
        <f>'Base de données indicateurs1'!AW10</f>
        <v>666341.01</v>
      </c>
      <c r="AV35" s="83">
        <f>'Base de données indicateurs1'!AX10</f>
        <v>238.5</v>
      </c>
      <c r="AW35" s="83">
        <f>'Base de données indicateurs1'!AY10</f>
        <v>0</v>
      </c>
      <c r="AX35" s="83">
        <f>'Base de données indicateurs1'!AZ10</f>
        <v>999818.38</v>
      </c>
      <c r="AY35" s="83">
        <f>'Base de données indicateurs1'!BA10</f>
        <v>1162137.02</v>
      </c>
      <c r="AZ35" s="83">
        <f>'Base de données indicateurs1'!BB10</f>
        <v>2681903.5299999998</v>
      </c>
      <c r="BA35" s="83">
        <f>'Base de données indicateurs1'!BC10</f>
        <v>0</v>
      </c>
      <c r="BB35" s="83">
        <f>'Base de données indicateurs1'!BD10</f>
        <v>10280540</v>
      </c>
      <c r="BC35" s="83">
        <f>'Base de données indicateurs1'!BE10</f>
        <v>185450.16</v>
      </c>
      <c r="BD35" s="83">
        <f t="shared" si="8"/>
        <v>107135120.95</v>
      </c>
      <c r="BE35" s="83">
        <f t="shared" si="9"/>
        <v>79316152.690000013</v>
      </c>
      <c r="BF35" s="83">
        <f t="shared" si="10"/>
        <v>9339947.2200000025</v>
      </c>
      <c r="BG35" s="83">
        <f t="shared" si="11"/>
        <v>18479021.039999999</v>
      </c>
    </row>
    <row r="36" spans="1:59" x14ac:dyDescent="0.25">
      <c r="C36" s="83"/>
      <c r="D36" s="83"/>
      <c r="E36" s="83"/>
      <c r="F36" s="83"/>
      <c r="G36" s="83"/>
      <c r="H36" s="83"/>
      <c r="I36" s="83"/>
      <c r="J36" s="83"/>
      <c r="K36" s="83"/>
      <c r="L36" s="83"/>
      <c r="M36" s="83"/>
      <c r="N36" s="83"/>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row>
    <row r="37" spans="1:59" x14ac:dyDescent="0.25">
      <c r="A37">
        <v>206</v>
      </c>
      <c r="B37" t="s">
        <v>257</v>
      </c>
      <c r="C37" s="83">
        <f>'Base de données indicateurs1'!E12</f>
        <v>4604400</v>
      </c>
      <c r="D37" s="83">
        <f>'Base de données indicateurs1'!F12</f>
        <v>2069199.6</v>
      </c>
      <c r="E37" s="83">
        <f>'Base de données indicateurs1'!G12</f>
        <v>5177800</v>
      </c>
      <c r="F37" s="83">
        <f>'Base de données indicateurs1'!H12</f>
        <v>3890756.96</v>
      </c>
      <c r="G37" s="83">
        <f>'Base de données indicateurs1'!I12</f>
        <v>17756300</v>
      </c>
      <c r="H37" s="83">
        <f>'Base de données indicateurs1'!J12</f>
        <v>16190550</v>
      </c>
      <c r="I37" s="83">
        <f>'Base de données indicateurs1'!K12</f>
        <v>9785495.1300000008</v>
      </c>
      <c r="J37" s="83">
        <f>'Base de données indicateurs1'!L12</f>
        <v>95091195.150000006</v>
      </c>
      <c r="K37" s="83">
        <f>'Base de données indicateurs1'!M12</f>
        <v>6134829.75</v>
      </c>
      <c r="L37" s="83">
        <f>'Base de données indicateurs1'!N12</f>
        <v>780304.9</v>
      </c>
      <c r="M37" s="83">
        <f>'Base de données indicateurs1'!O12</f>
        <v>25935350.149999999</v>
      </c>
      <c r="N37" s="83">
        <f>'Base de données indicateurs1'!P12</f>
        <v>1776635.35</v>
      </c>
      <c r="O37" s="83">
        <f>'Base de données indicateurs1'!Q12</f>
        <v>376450</v>
      </c>
      <c r="P37" s="83">
        <f>'Base de données indicateurs1'!R12</f>
        <v>2943627.35</v>
      </c>
      <c r="Q37" s="83">
        <f>'Base de données indicateurs1'!S12</f>
        <v>1060911</v>
      </c>
      <c r="R37" s="83">
        <f>'Base de données indicateurs1'!T12</f>
        <v>4871800</v>
      </c>
      <c r="S37" s="83">
        <f>'Base de données indicateurs1'!U12</f>
        <v>504350</v>
      </c>
      <c r="T37" s="83">
        <f>'Base de données indicateurs1'!V12</f>
        <v>3263161.06</v>
      </c>
      <c r="U37" s="83">
        <f>'Base de données indicateurs1'!W12</f>
        <v>12462575</v>
      </c>
      <c r="V37" s="83">
        <f>'Base de données indicateurs1'!X12</f>
        <v>196736</v>
      </c>
      <c r="W37" s="83">
        <f>'Base de données indicateurs1'!Y12</f>
        <v>9245800</v>
      </c>
      <c r="X37" s="83">
        <f>'Base de données indicateurs1'!Z12</f>
        <v>700000</v>
      </c>
      <c r="Y37" s="83">
        <f>'Base de données indicateurs1'!AA12</f>
        <v>768670.9</v>
      </c>
      <c r="Z37" s="83">
        <f>'Base de données indicateurs1'!AB12</f>
        <v>1175000</v>
      </c>
      <c r="AA37" s="83">
        <f>'Base de données indicateurs1'!AC12</f>
        <v>2701405</v>
      </c>
      <c r="AB37" s="83">
        <f>'Base de données indicateurs1'!AD12</f>
        <v>7038135.8499999996</v>
      </c>
      <c r="AC37" s="83">
        <f>'Base de données indicateurs1'!AE12</f>
        <v>3142600</v>
      </c>
      <c r="AD37" s="83">
        <f>'Base de données indicateurs1'!AF12</f>
        <v>490800</v>
      </c>
      <c r="AE37" s="83">
        <f>'Base de données indicateurs1'!AG12</f>
        <v>4291400</v>
      </c>
      <c r="AF37" s="83">
        <f>'Base de données indicateurs1'!AH12</f>
        <v>14869135.15</v>
      </c>
      <c r="AG37" s="83">
        <f>'Base de données indicateurs1'!AI12</f>
        <v>832150.62</v>
      </c>
      <c r="AH37" s="83">
        <f>'Base de données indicateurs1'!AJ12</f>
        <v>823610</v>
      </c>
      <c r="AI37" s="83">
        <f>'Base de données indicateurs1'!AK12</f>
        <v>17359320</v>
      </c>
      <c r="AJ37" s="83">
        <f>'Base de données indicateurs1'!AL12</f>
        <v>8587000</v>
      </c>
      <c r="AK37" s="83">
        <f>'Base de données indicateurs1'!AM12</f>
        <v>10303874.300000001</v>
      </c>
      <c r="AL37" s="83">
        <f>'Base de données indicateurs1'!AN12</f>
        <v>1584400</v>
      </c>
      <c r="AM37" s="83">
        <f>'Base de données indicateurs1'!AO12</f>
        <v>8421550</v>
      </c>
      <c r="AN37" s="83">
        <f>'Base de données indicateurs1'!AP12</f>
        <v>4601800</v>
      </c>
      <c r="AO37" s="83">
        <f>'Base de données indicateurs1'!AQ12</f>
        <v>3432745</v>
      </c>
      <c r="AP37" s="83">
        <f>'Base de données indicateurs1'!AR12</f>
        <v>10477846.050000001</v>
      </c>
      <c r="AQ37" s="83">
        <f>'Base de données indicateurs1'!AS12</f>
        <v>4848271.0999999996</v>
      </c>
      <c r="AR37" s="83">
        <f>'Base de données indicateurs1'!AT12</f>
        <v>8332909.5</v>
      </c>
      <c r="AS37" s="83">
        <f>'Base de données indicateurs1'!AU12</f>
        <v>1806665</v>
      </c>
      <c r="AT37" s="83">
        <f>'Base de données indicateurs1'!AV12</f>
        <v>12929000</v>
      </c>
      <c r="AU37" s="83">
        <f>'Base de données indicateurs1'!AW12</f>
        <v>5224542</v>
      </c>
      <c r="AV37" s="83">
        <f>'Base de données indicateurs1'!AX12</f>
        <v>637770</v>
      </c>
      <c r="AW37" s="83">
        <f>'Base de données indicateurs1'!AY12</f>
        <v>1878500</v>
      </c>
      <c r="AX37" s="83">
        <f>'Base de données indicateurs1'!AZ12</f>
        <v>17770972</v>
      </c>
      <c r="AY37" s="83">
        <f>'Base de données indicateurs1'!BA12</f>
        <v>860500</v>
      </c>
      <c r="AZ37" s="83">
        <f>'Base de données indicateurs1'!BB12</f>
        <v>7129460</v>
      </c>
      <c r="BA37" s="83">
        <f>'Base de données indicateurs1'!BC12</f>
        <v>138745.70000000001</v>
      </c>
      <c r="BB37" s="83">
        <f>'Base de données indicateurs1'!BD12</f>
        <v>52417022</v>
      </c>
      <c r="BC37" s="83">
        <f>'Base de données indicateurs1'!BE12</f>
        <v>3579778.15</v>
      </c>
      <c r="BD37" s="83">
        <f t="shared" si="8"/>
        <v>443273805.72000003</v>
      </c>
      <c r="BE37" s="83">
        <f t="shared" si="9"/>
        <v>214675691.40000001</v>
      </c>
      <c r="BF37" s="83">
        <f t="shared" si="10"/>
        <v>46275443.519999996</v>
      </c>
      <c r="BG37" s="83">
        <f t="shared" si="11"/>
        <v>182322670.79999998</v>
      </c>
    </row>
    <row r="38" spans="1:59" x14ac:dyDescent="0.25">
      <c r="C38" s="83"/>
      <c r="D38" s="83"/>
      <c r="E38" s="83"/>
      <c r="F38" s="83"/>
      <c r="G38" s="83"/>
      <c r="H38" s="83"/>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row>
    <row r="39" spans="1:59" x14ac:dyDescent="0.25">
      <c r="A39">
        <v>2016</v>
      </c>
      <c r="B39" t="s">
        <v>269</v>
      </c>
      <c r="C39" s="83">
        <f>'Base de données indicateurs1'!E11</f>
        <v>0</v>
      </c>
      <c r="D39" s="83">
        <f>'Base de données indicateurs1'!F11</f>
        <v>0</v>
      </c>
      <c r="E39" s="83">
        <f>'Base de données indicateurs1'!G11</f>
        <v>0</v>
      </c>
      <c r="F39" s="83">
        <f>'Base de données indicateurs1'!H11</f>
        <v>0</v>
      </c>
      <c r="G39" s="83">
        <f>'Base de données indicateurs1'!I11</f>
        <v>0</v>
      </c>
      <c r="H39" s="83">
        <f>'Base de données indicateurs1'!J11</f>
        <v>0</v>
      </c>
      <c r="I39" s="83">
        <f>'Base de données indicateurs1'!K11</f>
        <v>0</v>
      </c>
      <c r="J39" s="83">
        <f>'Base de données indicateurs1'!L11</f>
        <v>0</v>
      </c>
      <c r="K39" s="83">
        <f>'Base de données indicateurs1'!M11</f>
        <v>0</v>
      </c>
      <c r="L39" s="83">
        <f>'Base de données indicateurs1'!N11</f>
        <v>0</v>
      </c>
      <c r="M39" s="83">
        <f>'Base de données indicateurs1'!O11</f>
        <v>0</v>
      </c>
      <c r="N39" s="83">
        <f>'Base de données indicateurs1'!P11</f>
        <v>0</v>
      </c>
      <c r="O39" s="83">
        <f>'Base de données indicateurs1'!Q11</f>
        <v>0</v>
      </c>
      <c r="P39" s="83">
        <f>'Base de données indicateurs1'!R11</f>
        <v>0</v>
      </c>
      <c r="Q39" s="83">
        <f>'Base de données indicateurs1'!S11</f>
        <v>0</v>
      </c>
      <c r="R39" s="83">
        <f>'Base de données indicateurs1'!T11</f>
        <v>0</v>
      </c>
      <c r="S39" s="83">
        <f>'Base de données indicateurs1'!U11</f>
        <v>0</v>
      </c>
      <c r="T39" s="83">
        <f>'Base de données indicateurs1'!V11</f>
        <v>0</v>
      </c>
      <c r="U39" s="83">
        <f>'Base de données indicateurs1'!W11</f>
        <v>0</v>
      </c>
      <c r="V39" s="83">
        <f>'Base de données indicateurs1'!X11</f>
        <v>0</v>
      </c>
      <c r="W39" s="83">
        <f>'Base de données indicateurs1'!Y11</f>
        <v>0</v>
      </c>
      <c r="X39" s="83">
        <f>'Base de données indicateurs1'!Z11</f>
        <v>0</v>
      </c>
      <c r="Y39" s="83">
        <f>'Base de données indicateurs1'!AA11</f>
        <v>0</v>
      </c>
      <c r="Z39" s="83">
        <f>'Base de données indicateurs1'!AB11</f>
        <v>0</v>
      </c>
      <c r="AA39" s="83">
        <f>'Base de données indicateurs1'!AC11</f>
        <v>0</v>
      </c>
      <c r="AB39" s="83">
        <f>'Base de données indicateurs1'!AD11</f>
        <v>0</v>
      </c>
      <c r="AC39" s="83">
        <f>'Base de données indicateurs1'!AE11</f>
        <v>0</v>
      </c>
      <c r="AD39" s="83">
        <f>'Base de données indicateurs1'!AF11</f>
        <v>0</v>
      </c>
      <c r="AE39" s="83">
        <f>'Base de données indicateurs1'!AG11</f>
        <v>0</v>
      </c>
      <c r="AF39" s="83">
        <f>'Base de données indicateurs1'!AH11</f>
        <v>0</v>
      </c>
      <c r="AG39" s="83">
        <f>'Base de données indicateurs1'!AI11</f>
        <v>0</v>
      </c>
      <c r="AH39" s="83">
        <f>'Base de données indicateurs1'!AJ11</f>
        <v>0</v>
      </c>
      <c r="AI39" s="83">
        <f>'Base de données indicateurs1'!AK11</f>
        <v>0</v>
      </c>
      <c r="AJ39" s="83">
        <f>'Base de données indicateurs1'!AL11</f>
        <v>0</v>
      </c>
      <c r="AK39" s="83">
        <f>'Base de données indicateurs1'!AM11</f>
        <v>0</v>
      </c>
      <c r="AL39" s="83">
        <f>'Base de données indicateurs1'!AN11</f>
        <v>0</v>
      </c>
      <c r="AM39" s="83">
        <f>'Base de données indicateurs1'!AO11</f>
        <v>0</v>
      </c>
      <c r="AN39" s="83">
        <f>'Base de données indicateurs1'!AP11</f>
        <v>0</v>
      </c>
      <c r="AO39" s="83">
        <f>'Base de données indicateurs1'!AQ11</f>
        <v>0</v>
      </c>
      <c r="AP39" s="83">
        <f>'Base de données indicateurs1'!AR11</f>
        <v>0</v>
      </c>
      <c r="AQ39" s="83">
        <f>'Base de données indicateurs1'!AS11</f>
        <v>0</v>
      </c>
      <c r="AR39" s="83">
        <f>'Base de données indicateurs1'!AT11</f>
        <v>0</v>
      </c>
      <c r="AS39" s="83">
        <f>'Base de données indicateurs1'!AU11</f>
        <v>0</v>
      </c>
      <c r="AT39" s="83">
        <f>'Base de données indicateurs1'!AV11</f>
        <v>0</v>
      </c>
      <c r="AU39" s="83">
        <f>'Base de données indicateurs1'!AW11</f>
        <v>0</v>
      </c>
      <c r="AV39" s="83">
        <f>'Base de données indicateurs1'!AX11</f>
        <v>0</v>
      </c>
      <c r="AW39" s="83">
        <f>'Base de données indicateurs1'!AY11</f>
        <v>0</v>
      </c>
      <c r="AX39" s="83">
        <f>'Base de données indicateurs1'!AZ11</f>
        <v>0</v>
      </c>
      <c r="AY39" s="83">
        <f>'Base de données indicateurs1'!BA11</f>
        <v>0</v>
      </c>
      <c r="AZ39" s="83">
        <f>'Base de données indicateurs1'!BB11</f>
        <v>0</v>
      </c>
      <c r="BA39" s="83">
        <f>'Base de données indicateurs1'!BC11</f>
        <v>0</v>
      </c>
      <c r="BB39" s="83">
        <f>'Base de données indicateurs1'!BD11</f>
        <v>0</v>
      </c>
      <c r="BC39" s="83">
        <f>'Base de données indicateurs1'!BE11</f>
        <v>0</v>
      </c>
      <c r="BD39" s="83">
        <f t="shared" si="8"/>
        <v>0</v>
      </c>
      <c r="BE39" s="83">
        <f t="shared" si="9"/>
        <v>0</v>
      </c>
      <c r="BF39" s="83">
        <f t="shared" si="10"/>
        <v>0</v>
      </c>
      <c r="BG39" s="83">
        <f t="shared" si="11"/>
        <v>0</v>
      </c>
    </row>
    <row r="40" spans="1:59" x14ac:dyDescent="0.25">
      <c r="C40" s="83"/>
      <c r="D40" s="83"/>
      <c r="E40" s="83"/>
      <c r="F40" s="83"/>
      <c r="G40" s="83"/>
      <c r="H40" s="83"/>
      <c r="I40" s="83"/>
      <c r="J40" s="83"/>
      <c r="K40" s="83"/>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row>
    <row r="41" spans="1:59" x14ac:dyDescent="0.25">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row>
    <row r="42" spans="1:59" x14ac:dyDescent="0.25">
      <c r="B42" s="81" t="s">
        <v>639</v>
      </c>
      <c r="C42" s="82">
        <f>C33+C35+C37-C39</f>
        <v>10352456.359999999</v>
      </c>
      <c r="D42" s="82">
        <f t="shared" ref="D42:BC42" si="12">D33+D35+D37-D39</f>
        <v>2474314.7000000002</v>
      </c>
      <c r="E42" s="82">
        <f t="shared" si="12"/>
        <v>5522808.4000000004</v>
      </c>
      <c r="F42" s="82">
        <f t="shared" si="12"/>
        <v>4432305.8600000003</v>
      </c>
      <c r="G42" s="82">
        <f t="shared" si="12"/>
        <v>24113626</v>
      </c>
      <c r="H42" s="82">
        <f t="shared" si="12"/>
        <v>23596343.5</v>
      </c>
      <c r="I42" s="82">
        <f t="shared" si="12"/>
        <v>10561501.98</v>
      </c>
      <c r="J42" s="82">
        <f t="shared" si="12"/>
        <v>142369124.54000002</v>
      </c>
      <c r="K42" s="82">
        <f t="shared" si="12"/>
        <v>6715713.5199999996</v>
      </c>
      <c r="L42" s="82">
        <f t="shared" si="12"/>
        <v>858438.48</v>
      </c>
      <c r="M42" s="82">
        <f t="shared" si="12"/>
        <v>44141873.289999999</v>
      </c>
      <c r="N42" s="82">
        <f t="shared" si="12"/>
        <v>3093787.24</v>
      </c>
      <c r="O42" s="82">
        <f t="shared" si="12"/>
        <v>497395.93</v>
      </c>
      <c r="P42" s="82">
        <f t="shared" si="12"/>
        <v>3083781.92</v>
      </c>
      <c r="Q42" s="82">
        <f t="shared" si="12"/>
        <v>4101271.21</v>
      </c>
      <c r="R42" s="82">
        <f t="shared" si="12"/>
        <v>5096463.18</v>
      </c>
      <c r="S42" s="82">
        <f t="shared" si="12"/>
        <v>937461.24</v>
      </c>
      <c r="T42" s="82">
        <f t="shared" si="12"/>
        <v>3792930.42</v>
      </c>
      <c r="U42" s="82">
        <f t="shared" si="12"/>
        <v>16447939.57</v>
      </c>
      <c r="V42" s="82">
        <f t="shared" si="12"/>
        <v>602341</v>
      </c>
      <c r="W42" s="82">
        <f t="shared" si="12"/>
        <v>10692583.640000001</v>
      </c>
      <c r="X42" s="82">
        <f t="shared" si="12"/>
        <v>8479268.8499999996</v>
      </c>
      <c r="Y42" s="82">
        <f t="shared" si="12"/>
        <v>835119.4</v>
      </c>
      <c r="Z42" s="82">
        <f t="shared" si="12"/>
        <v>1218430.55</v>
      </c>
      <c r="AA42" s="82">
        <f t="shared" si="12"/>
        <v>4296735.43</v>
      </c>
      <c r="AB42" s="82">
        <f t="shared" si="12"/>
        <v>7161605.1599999992</v>
      </c>
      <c r="AC42" s="82">
        <f t="shared" si="12"/>
        <v>3750609.31</v>
      </c>
      <c r="AD42" s="82">
        <f t="shared" si="12"/>
        <v>1159077.9300000002</v>
      </c>
      <c r="AE42" s="82">
        <f t="shared" si="12"/>
        <v>6404302.0600000005</v>
      </c>
      <c r="AF42" s="82">
        <f t="shared" si="12"/>
        <v>16877793.98</v>
      </c>
      <c r="AG42" s="82">
        <f t="shared" si="12"/>
        <v>1682030.3399999999</v>
      </c>
      <c r="AH42" s="82">
        <f t="shared" si="12"/>
        <v>1032153.5</v>
      </c>
      <c r="AI42" s="82">
        <f t="shared" si="12"/>
        <v>18004708.100000001</v>
      </c>
      <c r="AJ42" s="82">
        <f t="shared" si="12"/>
        <v>9560475.8900000006</v>
      </c>
      <c r="AK42" s="82">
        <f t="shared" si="12"/>
        <v>10907361.99</v>
      </c>
      <c r="AL42" s="82">
        <f t="shared" si="12"/>
        <v>1609835.59</v>
      </c>
      <c r="AM42" s="82">
        <f t="shared" si="12"/>
        <v>9467167.8599999994</v>
      </c>
      <c r="AN42" s="82">
        <f t="shared" si="12"/>
        <v>5060879.72</v>
      </c>
      <c r="AO42" s="82">
        <f t="shared" si="12"/>
        <v>4084167</v>
      </c>
      <c r="AP42" s="82">
        <f t="shared" si="12"/>
        <v>11258543.550000001</v>
      </c>
      <c r="AQ42" s="82">
        <f t="shared" si="12"/>
        <v>5676255.4499999993</v>
      </c>
      <c r="AR42" s="82">
        <f t="shared" si="12"/>
        <v>8931872.6600000001</v>
      </c>
      <c r="AS42" s="82">
        <f t="shared" si="12"/>
        <v>1867774.15</v>
      </c>
      <c r="AT42" s="82">
        <f t="shared" si="12"/>
        <v>13098682.91</v>
      </c>
      <c r="AU42" s="82">
        <f t="shared" si="12"/>
        <v>5987581.8100000005</v>
      </c>
      <c r="AV42" s="82">
        <f t="shared" si="12"/>
        <v>705083.5</v>
      </c>
      <c r="AW42" s="82">
        <f t="shared" si="12"/>
        <v>2002898.05</v>
      </c>
      <c r="AX42" s="82">
        <f t="shared" si="12"/>
        <v>19788094.379999999</v>
      </c>
      <c r="AY42" s="82">
        <f t="shared" si="12"/>
        <v>2070284.17</v>
      </c>
      <c r="AZ42" s="82">
        <f t="shared" si="12"/>
        <v>10358562.43</v>
      </c>
      <c r="BA42" s="82">
        <f t="shared" si="12"/>
        <v>219892.5</v>
      </c>
      <c r="BB42" s="82">
        <f t="shared" si="12"/>
        <v>66904253.960000001</v>
      </c>
      <c r="BC42" s="82">
        <f t="shared" si="12"/>
        <v>4041025.6399999997</v>
      </c>
      <c r="BD42" s="147">
        <f>SUM(C42:BC42)</f>
        <v>587986989.80000019</v>
      </c>
      <c r="BE42" s="147">
        <f t="shared" ref="BE42" si="13">SUM(C42:U42)</f>
        <v>312189537.34000009</v>
      </c>
      <c r="BF42" s="147">
        <f t="shared" ref="BF42" si="14">SUM(V42:AH42)</f>
        <v>64192051.150000006</v>
      </c>
      <c r="BG42" s="147">
        <f t="shared" ref="BG42" si="15">SUM(AI42:BC42)</f>
        <v>211605401.31</v>
      </c>
    </row>
    <row r="43" spans="1:59" x14ac:dyDescent="0.25">
      <c r="B43" s="56" t="s">
        <v>449</v>
      </c>
      <c r="C43" s="57">
        <f>C42/C5</f>
        <v>10931.844097148891</v>
      </c>
      <c r="D43" s="57">
        <f t="shared" ref="D43:BC43" si="16">D42/D5</f>
        <v>9337.0366037735857</v>
      </c>
      <c r="E43" s="57">
        <f t="shared" si="16"/>
        <v>11775.710874200427</v>
      </c>
      <c r="F43" s="57">
        <f t="shared" si="16"/>
        <v>10096.368701594534</v>
      </c>
      <c r="G43" s="57">
        <f t="shared" si="16"/>
        <v>6468.247317596567</v>
      </c>
      <c r="H43" s="57">
        <f t="shared" si="16"/>
        <v>7054.2133034379667</v>
      </c>
      <c r="I43" s="57">
        <f t="shared" si="16"/>
        <v>3982.4668099547512</v>
      </c>
      <c r="J43" s="57">
        <f t="shared" si="16"/>
        <v>11408.696573443387</v>
      </c>
      <c r="K43" s="57">
        <f t="shared" si="16"/>
        <v>4941.658219278881</v>
      </c>
      <c r="L43" s="57">
        <f t="shared" si="16"/>
        <v>7337.0810256410259</v>
      </c>
      <c r="M43" s="57">
        <f t="shared" si="16"/>
        <v>6079.31046550062</v>
      </c>
      <c r="N43" s="57">
        <f t="shared" si="16"/>
        <v>5750.5339033457258</v>
      </c>
      <c r="O43" s="57">
        <f t="shared" si="16"/>
        <v>4481.0444144144139</v>
      </c>
      <c r="P43" s="57">
        <f t="shared" si="16"/>
        <v>7324.8976722090256</v>
      </c>
      <c r="Q43" s="57">
        <f t="shared" si="16"/>
        <v>11853.385</v>
      </c>
      <c r="R43" s="57">
        <f t="shared" si="16"/>
        <v>7178.1171549295768</v>
      </c>
      <c r="S43" s="57">
        <f t="shared" si="16"/>
        <v>3484.9860223048327</v>
      </c>
      <c r="T43" s="57">
        <f t="shared" si="16"/>
        <v>8620.2964090909081</v>
      </c>
      <c r="U43" s="57">
        <f t="shared" si="16"/>
        <v>5093.818386497368</v>
      </c>
      <c r="V43" s="57">
        <f t="shared" si="16"/>
        <v>1943.0354838709677</v>
      </c>
      <c r="W43" s="57">
        <f t="shared" si="16"/>
        <v>8419.3571968503948</v>
      </c>
      <c r="X43" s="57">
        <f t="shared" si="16"/>
        <v>5630.3246015936256</v>
      </c>
      <c r="Y43" s="57">
        <f t="shared" si="16"/>
        <v>8699.1604166666675</v>
      </c>
      <c r="Z43" s="57">
        <f t="shared" si="16"/>
        <v>8232.6388513513521</v>
      </c>
      <c r="AA43" s="57">
        <f t="shared" si="16"/>
        <v>8294.8560424710413</v>
      </c>
      <c r="AB43" s="57">
        <f t="shared" si="16"/>
        <v>10216.269843081311</v>
      </c>
      <c r="AC43" s="57">
        <f t="shared" si="16"/>
        <v>6650.0165070921985</v>
      </c>
      <c r="AD43" s="57">
        <f t="shared" si="16"/>
        <v>2207.7674857142861</v>
      </c>
      <c r="AE43" s="57">
        <f t="shared" si="16"/>
        <v>3354.7941644840234</v>
      </c>
      <c r="AF43" s="57">
        <f t="shared" si="16"/>
        <v>6541.7806124031013</v>
      </c>
      <c r="AG43" s="57">
        <f t="shared" si="16"/>
        <v>7576.7132432432427</v>
      </c>
      <c r="AH43" s="57">
        <f t="shared" si="16"/>
        <v>8001.1899224806202</v>
      </c>
      <c r="AI43" s="57">
        <f t="shared" si="16"/>
        <v>9521.2628767847709</v>
      </c>
      <c r="AJ43" s="57">
        <f t="shared" si="16"/>
        <v>8490.6535435168753</v>
      </c>
      <c r="AK43" s="57">
        <f t="shared" si="16"/>
        <v>8903.9689714285723</v>
      </c>
      <c r="AL43" s="57">
        <f t="shared" si="16"/>
        <v>13759.278547008547</v>
      </c>
      <c r="AM43" s="57">
        <f t="shared" si="16"/>
        <v>7989.1711898734175</v>
      </c>
      <c r="AN43" s="57">
        <f t="shared" si="16"/>
        <v>7882.9902180685358</v>
      </c>
      <c r="AO43" s="57">
        <f t="shared" si="16"/>
        <v>6452.0805687203792</v>
      </c>
      <c r="AP43" s="57">
        <f t="shared" si="16"/>
        <v>8768.3360981308415</v>
      </c>
      <c r="AQ43" s="57">
        <f t="shared" si="16"/>
        <v>7765.055335157318</v>
      </c>
      <c r="AR43" s="57">
        <f t="shared" si="16"/>
        <v>8791.2132480314958</v>
      </c>
      <c r="AS43" s="57">
        <f t="shared" si="16"/>
        <v>6143.9939144736836</v>
      </c>
      <c r="AT43" s="57">
        <f t="shared" si="16"/>
        <v>5430.631388888889</v>
      </c>
      <c r="AU43" s="57">
        <f t="shared" si="16"/>
        <v>8146.3698095238105</v>
      </c>
      <c r="AV43" s="57">
        <f t="shared" si="16"/>
        <v>3811.262162162162</v>
      </c>
      <c r="AW43" s="57">
        <f t="shared" si="16"/>
        <v>5890.876617647059</v>
      </c>
      <c r="AX43" s="57">
        <f t="shared" si="16"/>
        <v>11660.633105480259</v>
      </c>
      <c r="AY43" s="57">
        <f t="shared" si="16"/>
        <v>5308.4209487179487</v>
      </c>
      <c r="AZ43" s="57">
        <f t="shared" si="16"/>
        <v>9653.8326467847146</v>
      </c>
      <c r="BA43" s="57">
        <f t="shared" si="16"/>
        <v>1195.0679347826087</v>
      </c>
      <c r="BB43" s="57">
        <f t="shared" si="16"/>
        <v>10347.08536343953</v>
      </c>
      <c r="BC43" s="57">
        <f t="shared" si="16"/>
        <v>7229.0261896243283</v>
      </c>
      <c r="BD43" s="141">
        <f>BD42/BD5</f>
        <v>7967.5193067562832</v>
      </c>
      <c r="BE43" s="141">
        <f>BE42/BE5</f>
        <v>7979.2852994249224</v>
      </c>
      <c r="BF43" s="141">
        <f>BF42/BF5</f>
        <v>6126.3648740217604</v>
      </c>
      <c r="BG43" s="141">
        <f>BG42/BG5</f>
        <v>8745.8318375697454</v>
      </c>
    </row>
    <row r="44" spans="1:59" x14ac:dyDescent="0.25">
      <c r="B44" s="7"/>
      <c r="C44" s="4"/>
      <c r="D44" s="83"/>
      <c r="E44" s="83"/>
      <c r="F44" s="83"/>
      <c r="G44" s="83"/>
      <c r="H44" s="83"/>
      <c r="I44" s="83"/>
      <c r="J44" s="83"/>
      <c r="K44" s="83"/>
      <c r="L44" s="83"/>
      <c r="M44" s="83"/>
      <c r="N44" s="83"/>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148"/>
      <c r="BE44" s="148"/>
      <c r="BF44" s="148"/>
      <c r="BG44" s="148"/>
    </row>
    <row r="45" spans="1:59" x14ac:dyDescent="0.25">
      <c r="B45" s="81" t="s">
        <v>640</v>
      </c>
      <c r="C45" s="82">
        <f>C31-C29</f>
        <v>4381758.7100000009</v>
      </c>
      <c r="D45" s="82">
        <f t="shared" ref="D45:BG45" si="17">D31-D29</f>
        <v>1334174.0200000003</v>
      </c>
      <c r="E45" s="82">
        <f t="shared" si="17"/>
        <v>2494295.2999999998</v>
      </c>
      <c r="F45" s="82">
        <f t="shared" si="17"/>
        <v>153665.83999999985</v>
      </c>
      <c r="G45" s="82">
        <f t="shared" si="17"/>
        <v>9596524</v>
      </c>
      <c r="H45" s="82">
        <f t="shared" si="17"/>
        <v>16136631.519999998</v>
      </c>
      <c r="I45" s="82">
        <f t="shared" si="17"/>
        <v>613443.49000000022</v>
      </c>
      <c r="J45" s="82">
        <f t="shared" si="17"/>
        <v>95429893.099999994</v>
      </c>
      <c r="K45" s="82">
        <f t="shared" si="17"/>
        <v>3276821.49</v>
      </c>
      <c r="L45" s="82">
        <f t="shared" si="17"/>
        <v>657021.74</v>
      </c>
      <c r="M45" s="82">
        <f t="shared" si="17"/>
        <v>27130950.969999999</v>
      </c>
      <c r="N45" s="82">
        <f t="shared" si="17"/>
        <v>1159598.6800000002</v>
      </c>
      <c r="O45" s="82">
        <f t="shared" si="17"/>
        <v>41207.310000000056</v>
      </c>
      <c r="P45" s="82">
        <f t="shared" si="17"/>
        <v>1753942.15</v>
      </c>
      <c r="Q45" s="82">
        <f t="shared" si="17"/>
        <v>1749151.46</v>
      </c>
      <c r="R45" s="82">
        <f t="shared" si="17"/>
        <v>-208385.77000000048</v>
      </c>
      <c r="S45" s="82">
        <f t="shared" si="17"/>
        <v>295523.72000000009</v>
      </c>
      <c r="T45" s="82">
        <f t="shared" si="17"/>
        <v>1952635.5100000002</v>
      </c>
      <c r="U45" s="82">
        <f t="shared" si="17"/>
        <v>10826918.77</v>
      </c>
      <c r="V45" s="82">
        <f t="shared" si="17"/>
        <v>-1258764</v>
      </c>
      <c r="W45" s="82">
        <f t="shared" si="17"/>
        <v>6440242.959999999</v>
      </c>
      <c r="X45" s="82">
        <f t="shared" si="17"/>
        <v>-10380295.780000001</v>
      </c>
      <c r="Y45" s="82">
        <f t="shared" si="17"/>
        <v>74018.900000000023</v>
      </c>
      <c r="Z45" s="82">
        <f t="shared" si="17"/>
        <v>-323523.37000000011</v>
      </c>
      <c r="AA45" s="82">
        <f t="shared" si="17"/>
        <v>1349453.5100000002</v>
      </c>
      <c r="AB45" s="82">
        <f t="shared" si="17"/>
        <v>4615930.29</v>
      </c>
      <c r="AC45" s="82">
        <f t="shared" si="17"/>
        <v>1426544.4700000002</v>
      </c>
      <c r="AD45" s="82">
        <f t="shared" si="17"/>
        <v>-2814009.3600000003</v>
      </c>
      <c r="AE45" s="82">
        <f t="shared" si="17"/>
        <v>-1433431.5899999999</v>
      </c>
      <c r="AF45" s="82">
        <f t="shared" si="17"/>
        <v>8313209.2299999986</v>
      </c>
      <c r="AG45" s="82">
        <f t="shared" si="17"/>
        <v>-88268.130000000121</v>
      </c>
      <c r="AH45" s="82">
        <f t="shared" si="17"/>
        <v>-1005628.1900000002</v>
      </c>
      <c r="AI45" s="82">
        <f t="shared" si="17"/>
        <v>12776514.859999999</v>
      </c>
      <c r="AJ45" s="82">
        <f t="shared" si="17"/>
        <v>4295688.82</v>
      </c>
      <c r="AK45" s="82">
        <f t="shared" si="17"/>
        <v>6419097.7300000004</v>
      </c>
      <c r="AL45" s="82">
        <f t="shared" si="17"/>
        <v>-68973.139999999898</v>
      </c>
      <c r="AM45" s="82">
        <f t="shared" si="17"/>
        <v>-4253300.6400000006</v>
      </c>
      <c r="AN45" s="82">
        <f t="shared" si="17"/>
        <v>1394899.9900000002</v>
      </c>
      <c r="AO45" s="82">
        <f t="shared" si="17"/>
        <v>1260355</v>
      </c>
      <c r="AP45" s="82">
        <f t="shared" si="17"/>
        <v>-309867.81000000052</v>
      </c>
      <c r="AQ45" s="82">
        <f t="shared" si="17"/>
        <v>3086864.3400000003</v>
      </c>
      <c r="AR45" s="82">
        <f t="shared" si="17"/>
        <v>5096750.43</v>
      </c>
      <c r="AS45" s="82">
        <f t="shared" si="17"/>
        <v>-1089984.3500000001</v>
      </c>
      <c r="AT45" s="82">
        <f t="shared" si="17"/>
        <v>7718740.75</v>
      </c>
      <c r="AU45" s="82">
        <f t="shared" si="17"/>
        <v>2805265.74</v>
      </c>
      <c r="AV45" s="82">
        <f t="shared" si="17"/>
        <v>178999</v>
      </c>
      <c r="AW45" s="82">
        <f t="shared" si="17"/>
        <v>-637335.58999999985</v>
      </c>
      <c r="AX45" s="82">
        <f t="shared" si="17"/>
        <v>15312974.43</v>
      </c>
      <c r="AY45" s="82">
        <f t="shared" si="17"/>
        <v>-884214.48</v>
      </c>
      <c r="AZ45" s="82">
        <f t="shared" si="17"/>
        <v>5827342.29</v>
      </c>
      <c r="BA45" s="82">
        <f t="shared" si="17"/>
        <v>-576260.3899999999</v>
      </c>
      <c r="BB45" s="82">
        <f t="shared" si="17"/>
        <v>42123403.110000007</v>
      </c>
      <c r="BC45" s="82">
        <f t="shared" si="17"/>
        <v>1980846.71</v>
      </c>
      <c r="BD45" s="82">
        <f t="shared" si="17"/>
        <v>286149057.75</v>
      </c>
      <c r="BE45" s="147">
        <f t="shared" si="17"/>
        <v>178775772.00999999</v>
      </c>
      <c r="BF45" s="147">
        <f t="shared" si="17"/>
        <v>4915478.9400000125</v>
      </c>
      <c r="BG45" s="147">
        <f t="shared" si="17"/>
        <v>102457806.8</v>
      </c>
    </row>
    <row r="46" spans="1:59" x14ac:dyDescent="0.25">
      <c r="B46" s="56" t="s">
        <v>449</v>
      </c>
      <c r="C46" s="57">
        <f>C45/C5</f>
        <v>4626.9891341077091</v>
      </c>
      <c r="D46" s="57">
        <f t="shared" ref="D46:BC46" si="18">D45/D5</f>
        <v>5034.6189433962272</v>
      </c>
      <c r="E46" s="57">
        <f t="shared" si="18"/>
        <v>5318.3268656716418</v>
      </c>
      <c r="F46" s="57">
        <f t="shared" si="18"/>
        <v>350.03608200455545</v>
      </c>
      <c r="G46" s="57">
        <f t="shared" si="18"/>
        <v>2574.1748927038625</v>
      </c>
      <c r="H46" s="57">
        <f t="shared" si="18"/>
        <v>4824.1050881913297</v>
      </c>
      <c r="I46" s="57">
        <f t="shared" si="18"/>
        <v>231.31353318250385</v>
      </c>
      <c r="J46" s="57">
        <f t="shared" si="18"/>
        <v>7647.2388091994544</v>
      </c>
      <c r="K46" s="57">
        <f t="shared" si="18"/>
        <v>2411.2005077262693</v>
      </c>
      <c r="L46" s="57">
        <f t="shared" si="18"/>
        <v>5615.5704273504271</v>
      </c>
      <c r="M46" s="57">
        <f t="shared" si="18"/>
        <v>3736.5309144745902</v>
      </c>
      <c r="N46" s="57">
        <f t="shared" si="18"/>
        <v>2155.3878810408924</v>
      </c>
      <c r="O46" s="57">
        <f t="shared" si="18"/>
        <v>371.23702702702752</v>
      </c>
      <c r="P46" s="57">
        <f t="shared" si="18"/>
        <v>4166.1333729216149</v>
      </c>
      <c r="Q46" s="57">
        <f t="shared" si="18"/>
        <v>5055.3510404624276</v>
      </c>
      <c r="R46" s="57">
        <f t="shared" si="18"/>
        <v>-293.50108450704295</v>
      </c>
      <c r="S46" s="57">
        <f t="shared" si="18"/>
        <v>1098.6011895910783</v>
      </c>
      <c r="T46" s="57">
        <f t="shared" si="18"/>
        <v>4437.8079772727278</v>
      </c>
      <c r="U46" s="57">
        <f t="shared" si="18"/>
        <v>3353.0253236296066</v>
      </c>
      <c r="V46" s="57">
        <f t="shared" si="18"/>
        <v>-4060.5290322580645</v>
      </c>
      <c r="W46" s="57">
        <f t="shared" si="18"/>
        <v>5071.0574488188968</v>
      </c>
      <c r="X46" s="57">
        <f t="shared" si="18"/>
        <v>-6892.6266799468804</v>
      </c>
      <c r="Y46" s="57">
        <f t="shared" si="18"/>
        <v>771.03020833333358</v>
      </c>
      <c r="Z46" s="57">
        <f t="shared" si="18"/>
        <v>-2185.9687162162168</v>
      </c>
      <c r="AA46" s="57">
        <f t="shared" si="18"/>
        <v>2605.1226061776065</v>
      </c>
      <c r="AB46" s="57">
        <f t="shared" si="18"/>
        <v>6584.7793009985735</v>
      </c>
      <c r="AC46" s="57">
        <f t="shared" si="18"/>
        <v>2529.334166666667</v>
      </c>
      <c r="AD46" s="57">
        <f t="shared" si="18"/>
        <v>-5360.0178285714292</v>
      </c>
      <c r="AE46" s="57">
        <f t="shared" si="18"/>
        <v>-750.88087480356205</v>
      </c>
      <c r="AF46" s="57">
        <f t="shared" si="18"/>
        <v>3222.1741201550381</v>
      </c>
      <c r="AG46" s="57">
        <f t="shared" si="18"/>
        <v>-397.60418918918975</v>
      </c>
      <c r="AH46" s="57">
        <f t="shared" si="18"/>
        <v>-7795.5673643410864</v>
      </c>
      <c r="AI46" s="57">
        <f t="shared" si="18"/>
        <v>6756.4859122157586</v>
      </c>
      <c r="AJ46" s="57">
        <f t="shared" si="18"/>
        <v>3814.9989520426288</v>
      </c>
      <c r="AK46" s="57">
        <f t="shared" si="18"/>
        <v>5240.079779591837</v>
      </c>
      <c r="AL46" s="57">
        <f t="shared" si="18"/>
        <v>-589.51401709401625</v>
      </c>
      <c r="AM46" s="57">
        <f t="shared" si="18"/>
        <v>-3589.2832405063295</v>
      </c>
      <c r="AN46" s="57">
        <f t="shared" si="18"/>
        <v>2172.7414174454834</v>
      </c>
      <c r="AO46" s="57">
        <f t="shared" si="18"/>
        <v>1991.08214849921</v>
      </c>
      <c r="AP46" s="57">
        <f t="shared" si="18"/>
        <v>-241.33007009345835</v>
      </c>
      <c r="AQ46" s="57">
        <f t="shared" si="18"/>
        <v>4222.7966347469228</v>
      </c>
      <c r="AR46" s="57">
        <f t="shared" si="18"/>
        <v>5016.4866437007868</v>
      </c>
      <c r="AS46" s="57">
        <f t="shared" si="18"/>
        <v>-3585.4748355263159</v>
      </c>
      <c r="AT46" s="57">
        <f t="shared" si="18"/>
        <v>3200.1412728026535</v>
      </c>
      <c r="AU46" s="57">
        <f t="shared" si="18"/>
        <v>3816.6880816326534</v>
      </c>
      <c r="AV46" s="57">
        <f t="shared" si="18"/>
        <v>967.56216216216217</v>
      </c>
      <c r="AW46" s="57">
        <f t="shared" si="18"/>
        <v>-1874.5164411764702</v>
      </c>
      <c r="AX46" s="57">
        <f t="shared" si="18"/>
        <v>9023.5559398939295</v>
      </c>
      <c r="AY46" s="57">
        <f t="shared" si="18"/>
        <v>-2267.2166153846151</v>
      </c>
      <c r="AZ46" s="57">
        <f t="shared" si="18"/>
        <v>5430.8875023299161</v>
      </c>
      <c r="BA46" s="57">
        <f t="shared" si="18"/>
        <v>-3131.8499456521736</v>
      </c>
      <c r="BB46" s="57">
        <f t="shared" si="18"/>
        <v>6514.5999242189928</v>
      </c>
      <c r="BC46" s="57">
        <f t="shared" si="18"/>
        <v>3543.5540429338103</v>
      </c>
      <c r="BD46" s="57">
        <f>BD45/BD5</f>
        <v>3877.4635864115558</v>
      </c>
      <c r="BE46" s="141">
        <f>BE45/BE5</f>
        <v>4569.3488053674118</v>
      </c>
      <c r="BF46" s="141">
        <f>BF45/BF5</f>
        <v>469.12377743844365</v>
      </c>
      <c r="BG46" s="141">
        <f>BG45/BG5</f>
        <v>4234.6686009506093</v>
      </c>
    </row>
    <row r="47" spans="1:59" x14ac:dyDescent="0.25">
      <c r="C47" s="83"/>
      <c r="D47" s="83"/>
      <c r="E47" s="83"/>
      <c r="F47" s="83"/>
      <c r="G47" s="83"/>
      <c r="H47" s="83"/>
      <c r="I47" s="83"/>
      <c r="J47" s="83"/>
      <c r="K47" s="83"/>
      <c r="L47" s="83"/>
      <c r="M47" s="83"/>
      <c r="N47" s="83"/>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row>
    <row r="48" spans="1:59" x14ac:dyDescent="0.25">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row>
    <row r="49" spans="3:59" x14ac:dyDescent="0.25">
      <c r="C49" s="83"/>
      <c r="D49" s="83"/>
      <c r="E49" s="83"/>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row>
    <row r="50" spans="3:59" x14ac:dyDescent="0.25">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row>
    <row r="51" spans="3:59" x14ac:dyDescent="0.25">
      <c r="C51" s="83"/>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row>
    <row r="52" spans="3:59" x14ac:dyDescent="0.25">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row>
    <row r="53" spans="3:59" x14ac:dyDescent="0.25">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row>
    <row r="54" spans="3:59" x14ac:dyDescent="0.25">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row>
    <row r="55" spans="3:59" x14ac:dyDescent="0.25">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row>
    <row r="56" spans="3:59" x14ac:dyDescent="0.25">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row>
    <row r="57" spans="3:59" x14ac:dyDescent="0.25">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row>
    <row r="58" spans="3:59" x14ac:dyDescent="0.25">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row>
    <row r="59" spans="3:59" x14ac:dyDescent="0.25">
      <c r="C59" s="83"/>
      <c r="D59" s="83"/>
      <c r="E59" s="83"/>
      <c r="F59" s="83"/>
      <c r="G59" s="83"/>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row>
    <row r="60" spans="3:59" x14ac:dyDescent="0.25">
      <c r="C60" s="83"/>
      <c r="D60" s="83"/>
      <c r="E60" s="83"/>
      <c r="F60" s="83"/>
      <c r="G60" s="83"/>
      <c r="H60" s="83"/>
      <c r="I60" s="83"/>
      <c r="J60" s="83"/>
      <c r="K60" s="83"/>
      <c r="L60" s="83"/>
      <c r="M60" s="83"/>
      <c r="N60" s="83"/>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row>
    <row r="61" spans="3:59" x14ac:dyDescent="0.25">
      <c r="C61" s="83"/>
      <c r="D61" s="83"/>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tint="0.59999389629810485"/>
  </sheetPr>
  <dimension ref="A2:E55"/>
  <sheetViews>
    <sheetView zoomScale="70" zoomScaleNormal="70" workbookViewId="0">
      <selection activeCell="Q18" sqref="Q18"/>
    </sheetView>
  </sheetViews>
  <sheetFormatPr baseColWidth="10" defaultColWidth="11.42578125" defaultRowHeight="15" x14ac:dyDescent="0.25"/>
  <cols>
    <col min="1" max="1" width="22.85546875" customWidth="1"/>
    <col min="2" max="5" width="16.28515625" customWidth="1"/>
  </cols>
  <sheetData>
    <row r="2" spans="1:5" x14ac:dyDescent="0.25">
      <c r="A2" s="53" t="s">
        <v>67</v>
      </c>
      <c r="B2" s="53" t="s">
        <v>792</v>
      </c>
      <c r="C2" s="53" t="s">
        <v>794</v>
      </c>
      <c r="D2" s="53" t="s">
        <v>793</v>
      </c>
      <c r="E2" s="53" t="s">
        <v>795</v>
      </c>
    </row>
    <row r="3" spans="1:5" x14ac:dyDescent="0.25">
      <c r="A3" s="169" t="s">
        <v>56</v>
      </c>
      <c r="B3" s="4">
        <f>'5.4 Tableau de l''endettement'!C20</f>
        <v>10352456.359999999</v>
      </c>
      <c r="C3" s="4">
        <f>'5.4 Tableau de l''endettement'!C21</f>
        <v>10931.844097148891</v>
      </c>
      <c r="D3" s="4">
        <f>'5.4 Tableau de l''endettement'!C23</f>
        <v>4381758.7200000007</v>
      </c>
      <c r="E3" s="4">
        <f>'5.4 Tableau de l''endettement'!C24</f>
        <v>4626.989144667371</v>
      </c>
    </row>
    <row r="4" spans="1:5" x14ac:dyDescent="0.25">
      <c r="A4" s="169" t="s">
        <v>18</v>
      </c>
      <c r="B4" s="4">
        <f>'5.4 Tableau de l''endettement'!D20</f>
        <v>2474314.7000000002</v>
      </c>
      <c r="C4" s="4">
        <f>'5.4 Tableau de l''endettement'!D21</f>
        <v>9337.0366037735857</v>
      </c>
      <c r="D4" s="4">
        <f>'5.4 Tableau de l''endettement'!D23</f>
        <v>1334174.0200000003</v>
      </c>
      <c r="E4" s="4">
        <f>'5.4 Tableau de l''endettement'!D24</f>
        <v>5034.6189433962272</v>
      </c>
    </row>
    <row r="5" spans="1:5" x14ac:dyDescent="0.25">
      <c r="A5" s="169" t="s">
        <v>57</v>
      </c>
      <c r="B5" s="4">
        <f>'5.4 Tableau de l''endettement'!E20</f>
        <v>5522808.4000000004</v>
      </c>
      <c r="C5" s="4">
        <f>'5.4 Tableau de l''endettement'!E21</f>
        <v>11775.710874200427</v>
      </c>
      <c r="D5" s="4">
        <f>'5.4 Tableau de l''endettement'!E23</f>
        <v>2494295.2999999993</v>
      </c>
      <c r="E5" s="4">
        <f>'5.4 Tableau de l''endettement'!E24</f>
        <v>5318.32686567164</v>
      </c>
    </row>
    <row r="6" spans="1:5" x14ac:dyDescent="0.25">
      <c r="A6" s="169" t="s">
        <v>53</v>
      </c>
      <c r="B6" s="4">
        <f>'5.4 Tableau de l''endettement'!F20</f>
        <v>4432305.8599999994</v>
      </c>
      <c r="C6" s="4">
        <f>'5.4 Tableau de l''endettement'!F21</f>
        <v>10096.368701594532</v>
      </c>
      <c r="D6" s="4">
        <f>'5.4 Tableau de l''endettement'!F23</f>
        <v>159665.83999999985</v>
      </c>
      <c r="E6" s="4">
        <f>'5.4 Tableau de l''endettement'!F24</f>
        <v>363.7035079726648</v>
      </c>
    </row>
    <row r="7" spans="1:5" x14ac:dyDescent="0.25">
      <c r="A7" s="169" t="s">
        <v>33</v>
      </c>
      <c r="B7" s="4">
        <f>'5.4 Tableau de l''endettement'!G20</f>
        <v>24113627.370000001</v>
      </c>
      <c r="C7" s="4">
        <f>'5.4 Tableau de l''endettement'!G21</f>
        <v>6468.2476850858375</v>
      </c>
      <c r="D7" s="4">
        <f>'5.4 Tableau de l''endettement'!G23</f>
        <v>9596524.3299999982</v>
      </c>
      <c r="E7" s="4">
        <f>'5.4 Tableau de l''endettement'!G24</f>
        <v>2574.1749812231756</v>
      </c>
    </row>
    <row r="8" spans="1:5" x14ac:dyDescent="0.25">
      <c r="A8" s="169" t="s">
        <v>10</v>
      </c>
      <c r="B8" s="4">
        <f>'5.4 Tableau de l''endettement'!H20</f>
        <v>23596343.5</v>
      </c>
      <c r="C8" s="4">
        <f>'5.4 Tableau de l''endettement'!H21</f>
        <v>7054.2133034379667</v>
      </c>
      <c r="D8" s="4">
        <f>'5.4 Tableau de l''endettement'!H23</f>
        <v>16136631.520000003</v>
      </c>
      <c r="E8" s="4">
        <f>'5.4 Tableau de l''endettement'!H24</f>
        <v>4824.1050881913316</v>
      </c>
    </row>
    <row r="9" spans="1:5" x14ac:dyDescent="0.25">
      <c r="A9" s="169" t="s">
        <v>15</v>
      </c>
      <c r="B9" s="4">
        <f>'5.4 Tableau de l''endettement'!I20</f>
        <v>10534501.98</v>
      </c>
      <c r="C9" s="4">
        <f>'5.4 Tableau de l''endettement'!I21</f>
        <v>3972.2858144796382</v>
      </c>
      <c r="D9" s="4">
        <f>'5.4 Tableau de l''endettement'!I23</f>
        <v>613443.49000000022</v>
      </c>
      <c r="E9" s="4">
        <f>'5.4 Tableau de l''endettement'!I24</f>
        <v>231.31353318250385</v>
      </c>
    </row>
    <row r="10" spans="1:5" x14ac:dyDescent="0.25">
      <c r="A10" s="169" t="s">
        <v>28</v>
      </c>
      <c r="B10" s="4">
        <f>'5.4 Tableau de l''endettement'!J20</f>
        <v>142369124.54000002</v>
      </c>
      <c r="C10" s="4">
        <f>'5.4 Tableau de l''endettement'!J21</f>
        <v>11408.696573443387</v>
      </c>
      <c r="D10" s="4">
        <f>'5.4 Tableau de l''endettement'!J23</f>
        <v>95429892.970000029</v>
      </c>
      <c r="E10" s="4">
        <f>'5.4 Tableau de l''endettement'!J24</f>
        <v>7647.2387987819557</v>
      </c>
    </row>
    <row r="11" spans="1:5" x14ac:dyDescent="0.25">
      <c r="A11" s="169" t="s">
        <v>42</v>
      </c>
      <c r="B11" s="4">
        <f>'5.4 Tableau de l''endettement'!K20</f>
        <v>6715713.5199999996</v>
      </c>
      <c r="C11" s="4">
        <f>'5.4 Tableau de l''endettement'!K21</f>
        <v>4941.658219278881</v>
      </c>
      <c r="D11" s="4">
        <f>'5.4 Tableau de l''endettement'!K23</f>
        <v>3276821.4900000007</v>
      </c>
      <c r="E11" s="4">
        <f>'5.4 Tableau de l''endettement'!K24</f>
        <v>2411.2005077262697</v>
      </c>
    </row>
    <row r="12" spans="1:5" x14ac:dyDescent="0.25">
      <c r="A12" s="169" t="s">
        <v>23</v>
      </c>
      <c r="B12" s="4">
        <f>'5.4 Tableau de l''endettement'!L20</f>
        <v>858438.48</v>
      </c>
      <c r="C12" s="4">
        <f>'5.4 Tableau de l''endettement'!L21</f>
        <v>7337.0810256410259</v>
      </c>
      <c r="D12" s="4">
        <f>'5.4 Tableau de l''endettement'!L23</f>
        <v>657021.74</v>
      </c>
      <c r="E12" s="4">
        <f>'5.4 Tableau de l''endettement'!L24</f>
        <v>5615.5704273504271</v>
      </c>
    </row>
    <row r="13" spans="1:5" x14ac:dyDescent="0.25">
      <c r="A13" s="169" t="s">
        <v>22</v>
      </c>
      <c r="B13" s="4">
        <f>'5.4 Tableau de l''endettement'!M20</f>
        <v>44141873.289999999</v>
      </c>
      <c r="C13" s="4">
        <f>'5.4 Tableau de l''endettement'!M21</f>
        <v>6079.31046550062</v>
      </c>
      <c r="D13" s="4">
        <f>'5.4 Tableau de l''endettement'!M23</f>
        <v>27130951.869999997</v>
      </c>
      <c r="E13" s="4">
        <f>'5.4 Tableau de l''endettement'!M24</f>
        <v>3736.531038424459</v>
      </c>
    </row>
    <row r="14" spans="1:5" x14ac:dyDescent="0.25">
      <c r="A14" s="169" t="s">
        <v>13</v>
      </c>
      <c r="B14" s="4">
        <f>'5.4 Tableau de l''endettement'!N20</f>
        <v>3093787.24</v>
      </c>
      <c r="C14" s="4">
        <f>'5.4 Tableau de l''endettement'!N21</f>
        <v>5750.5339033457258</v>
      </c>
      <c r="D14" s="4">
        <f>'5.4 Tableau de l''endettement'!N23</f>
        <v>1159598.6799999997</v>
      </c>
      <c r="E14" s="4">
        <f>'5.4 Tableau de l''endettement'!N24</f>
        <v>2155.3878810408914</v>
      </c>
    </row>
    <row r="15" spans="1:5" x14ac:dyDescent="0.25">
      <c r="A15" s="169" t="s">
        <v>17</v>
      </c>
      <c r="B15" s="4">
        <f>'5.4 Tableau de l''endettement'!O20</f>
        <v>497395.93</v>
      </c>
      <c r="C15" s="4">
        <f>'5.4 Tableau de l''endettement'!O21</f>
        <v>4481.0444144144139</v>
      </c>
      <c r="D15" s="4">
        <f>'5.4 Tableau de l''endettement'!O23</f>
        <v>41216.310000000056</v>
      </c>
      <c r="E15" s="4">
        <f>'5.4 Tableau de l''endettement'!O24</f>
        <v>371.31810810810862</v>
      </c>
    </row>
    <row r="16" spans="1:5" x14ac:dyDescent="0.25">
      <c r="A16" s="169" t="s">
        <v>43</v>
      </c>
      <c r="B16" s="4">
        <f>'5.4 Tableau de l''endettement'!P20</f>
        <v>3083781.92</v>
      </c>
      <c r="C16" s="4">
        <f>'5.4 Tableau de l''endettement'!P21</f>
        <v>7324.8976722090256</v>
      </c>
      <c r="D16" s="4">
        <f>'5.4 Tableau de l''endettement'!P23</f>
        <v>1753942.15</v>
      </c>
      <c r="E16" s="4">
        <f>'5.4 Tableau de l''endettement'!P24</f>
        <v>4166.1333729216149</v>
      </c>
    </row>
    <row r="17" spans="1:5" x14ac:dyDescent="0.25">
      <c r="A17" s="169" t="s">
        <v>40</v>
      </c>
      <c r="B17" s="4">
        <f>'5.4 Tableau de l''endettement'!Q20</f>
        <v>4101271.2100000004</v>
      </c>
      <c r="C17" s="4">
        <f>'5.4 Tableau de l''endettement'!Q21</f>
        <v>11853.385000000002</v>
      </c>
      <c r="D17" s="4">
        <f>'5.4 Tableau de l''endettement'!Q23</f>
        <v>1749151.4600000004</v>
      </c>
      <c r="E17" s="4">
        <f>'5.4 Tableau de l''endettement'!Q24</f>
        <v>5055.3510404624294</v>
      </c>
    </row>
    <row r="18" spans="1:5" x14ac:dyDescent="0.25">
      <c r="A18" s="169" t="s">
        <v>31</v>
      </c>
      <c r="B18" s="4">
        <f>'5.4 Tableau de l''endettement'!R20</f>
        <v>5096463.18</v>
      </c>
      <c r="C18" s="4">
        <f>'5.4 Tableau de l''endettement'!R21</f>
        <v>7178.1171549295768</v>
      </c>
      <c r="D18" s="4">
        <f>'5.4 Tableau de l''endettement'!R23</f>
        <v>-208385.76999999955</v>
      </c>
      <c r="E18" s="4">
        <f>'5.4 Tableau de l''endettement'!R24</f>
        <v>-293.50108450704164</v>
      </c>
    </row>
    <row r="19" spans="1:5" x14ac:dyDescent="0.25">
      <c r="A19" s="169" t="s">
        <v>12</v>
      </c>
      <c r="B19" s="4">
        <f>'5.4 Tableau de l''endettement'!S20</f>
        <v>937461.24</v>
      </c>
      <c r="C19" s="4">
        <f>'5.4 Tableau de l''endettement'!S21</f>
        <v>3484.9860223048327</v>
      </c>
      <c r="D19" s="4">
        <f>'5.4 Tableau de l''endettement'!S23</f>
        <v>295523.71999999974</v>
      </c>
      <c r="E19" s="4">
        <f>'5.4 Tableau de l''endettement'!S24</f>
        <v>1098.6011895910772</v>
      </c>
    </row>
    <row r="20" spans="1:5" x14ac:dyDescent="0.25">
      <c r="A20" s="169" t="s">
        <v>59</v>
      </c>
      <c r="B20" s="4">
        <f>'5.4 Tableau de l''endettement'!T20</f>
        <v>3792930.42</v>
      </c>
      <c r="C20" s="4">
        <f>'5.4 Tableau de l''endettement'!T21</f>
        <v>8620.2964090909081</v>
      </c>
      <c r="D20" s="4">
        <f>'5.4 Tableau de l''endettement'!T23</f>
        <v>1952635.5100000002</v>
      </c>
      <c r="E20" s="4">
        <f>'5.4 Tableau de l''endettement'!T24</f>
        <v>4437.8079772727278</v>
      </c>
    </row>
    <row r="21" spans="1:5" x14ac:dyDescent="0.25">
      <c r="A21" s="169" t="s">
        <v>27</v>
      </c>
      <c r="B21" s="4">
        <f>'5.4 Tableau de l''endettement'!U20</f>
        <v>16447939.57</v>
      </c>
      <c r="C21" s="4">
        <f>'5.4 Tableau de l''endettement'!U21</f>
        <v>5093.818386497368</v>
      </c>
      <c r="D21" s="4">
        <f>'5.4 Tableau de l''endettement'!U23</f>
        <v>10826918.77</v>
      </c>
      <c r="E21" s="4">
        <f>'5.4 Tableau de l''endettement'!U24</f>
        <v>3353.0253236296066</v>
      </c>
    </row>
    <row r="22" spans="1:5" x14ac:dyDescent="0.25">
      <c r="A22" s="169" t="s">
        <v>30</v>
      </c>
      <c r="B22" s="4">
        <f>'5.4 Tableau de l''endettement'!V20</f>
        <v>602341.19999999995</v>
      </c>
      <c r="C22" s="4">
        <f>'5.4 Tableau de l''endettement'!V21</f>
        <v>1943.0361290322578</v>
      </c>
      <c r="D22" s="4">
        <f>'5.4 Tableau de l''endettement'!V23</f>
        <v>-1258764.1999999997</v>
      </c>
      <c r="E22" s="4">
        <f>'5.4 Tableau de l''endettement'!V24</f>
        <v>-4060.5296774193539</v>
      </c>
    </row>
    <row r="23" spans="1:5" x14ac:dyDescent="0.25">
      <c r="A23" s="169" t="s">
        <v>20</v>
      </c>
      <c r="B23" s="4">
        <f>'5.4 Tableau de l''endettement'!W20</f>
        <v>10692583.640000001</v>
      </c>
      <c r="C23" s="4">
        <f>'5.4 Tableau de l''endettement'!W21</f>
        <v>8419.3571968503948</v>
      </c>
      <c r="D23" s="4">
        <f>'5.4 Tableau de l''endettement'!W23</f>
        <v>6440242.9599999981</v>
      </c>
      <c r="E23" s="4">
        <f>'5.4 Tableau de l''endettement'!W24</f>
        <v>5071.0574488188959</v>
      </c>
    </row>
    <row r="24" spans="1:5" x14ac:dyDescent="0.25">
      <c r="A24" s="169" t="s">
        <v>45</v>
      </c>
      <c r="B24" s="4">
        <f>'5.4 Tableau de l''endettement'!X20</f>
        <v>8479268.8499999996</v>
      </c>
      <c r="C24" s="4">
        <f>'5.4 Tableau de l''endettement'!X21</f>
        <v>5630.3246015936256</v>
      </c>
      <c r="D24" s="4">
        <f>'5.4 Tableau de l''endettement'!X23</f>
        <v>-10380295.779999997</v>
      </c>
      <c r="E24" s="4">
        <f>'5.4 Tableau de l''endettement'!X24</f>
        <v>-6892.6266799468776</v>
      </c>
    </row>
    <row r="25" spans="1:5" x14ac:dyDescent="0.25">
      <c r="A25" s="169" t="s">
        <v>71</v>
      </c>
      <c r="B25" s="4">
        <f>'5.4 Tableau de l''endettement'!Y20</f>
        <v>835119.4</v>
      </c>
      <c r="C25" s="4">
        <f>'5.4 Tableau de l''endettement'!Y21</f>
        <v>8699.1604166666675</v>
      </c>
      <c r="D25" s="4">
        <f>'5.4 Tableau de l''endettement'!Y23</f>
        <v>74018.899999999907</v>
      </c>
      <c r="E25" s="4">
        <f>'5.4 Tableau de l''endettement'!Y24</f>
        <v>771.03020833333233</v>
      </c>
    </row>
    <row r="26" spans="1:5" x14ac:dyDescent="0.25">
      <c r="A26" s="169" t="s">
        <v>39</v>
      </c>
      <c r="B26" s="4">
        <f>'5.4 Tableau de l''endettement'!Z20</f>
        <v>1218430.55</v>
      </c>
      <c r="C26" s="4">
        <f>'5.4 Tableau de l''endettement'!Z21</f>
        <v>8232.6388513513521</v>
      </c>
      <c r="D26" s="4">
        <f>'5.4 Tableau de l''endettement'!Z23</f>
        <v>-323523.36999999988</v>
      </c>
      <c r="E26" s="4">
        <f>'5.4 Tableau de l''endettement'!Z24</f>
        <v>-2185.9687162162154</v>
      </c>
    </row>
    <row r="27" spans="1:5" x14ac:dyDescent="0.25">
      <c r="A27" s="169" t="s">
        <v>19</v>
      </c>
      <c r="B27" s="4">
        <f>'5.4 Tableau de l''endettement'!AA20</f>
        <v>4296735.43</v>
      </c>
      <c r="C27" s="4">
        <f>'5.4 Tableau de l''endettement'!AA21</f>
        <v>8294.8560424710413</v>
      </c>
      <c r="D27" s="4">
        <f>'5.4 Tableau de l''endettement'!AA23</f>
        <v>1349453.5100000002</v>
      </c>
      <c r="E27" s="4">
        <f>'5.4 Tableau de l''endettement'!AA24</f>
        <v>2605.1226061776065</v>
      </c>
    </row>
    <row r="28" spans="1:5" x14ac:dyDescent="0.25">
      <c r="A28" s="169" t="s">
        <v>41</v>
      </c>
      <c r="B28" s="4">
        <f>'5.4 Tableau de l''endettement'!AB20</f>
        <v>7161605.1599999992</v>
      </c>
      <c r="C28" s="4">
        <f>'5.4 Tableau de l''endettement'!AB21</f>
        <v>10216.269843081311</v>
      </c>
      <c r="D28" s="4">
        <f>'5.4 Tableau de l''endettement'!AB23</f>
        <v>4615930.29</v>
      </c>
      <c r="E28" s="4">
        <f>'5.4 Tableau de l''endettement'!AB24</f>
        <v>6584.7793009985735</v>
      </c>
    </row>
    <row r="29" spans="1:5" x14ac:dyDescent="0.25">
      <c r="A29" s="169" t="s">
        <v>36</v>
      </c>
      <c r="B29" s="4">
        <f>'5.4 Tableau de l''endettement'!AC20</f>
        <v>3750609.31</v>
      </c>
      <c r="C29" s="4">
        <f>'5.4 Tableau de l''endettement'!AC21</f>
        <v>6650.0165070921985</v>
      </c>
      <c r="D29" s="4">
        <f>'5.4 Tableau de l''endettement'!AC23</f>
        <v>1426544.4699999997</v>
      </c>
      <c r="E29" s="4">
        <f>'5.4 Tableau de l''endettement'!AC24</f>
        <v>2529.3341666666661</v>
      </c>
    </row>
    <row r="30" spans="1:5" x14ac:dyDescent="0.25">
      <c r="A30" s="169" t="s">
        <v>7</v>
      </c>
      <c r="B30" s="4">
        <f>'5.4 Tableau de l''endettement'!AD20</f>
        <v>1159077.93</v>
      </c>
      <c r="C30" s="4">
        <f>'5.4 Tableau de l''endettement'!AD21</f>
        <v>2207.7674857142856</v>
      </c>
      <c r="D30" s="4">
        <f>'5.4 Tableau de l''endettement'!AD23</f>
        <v>-2814009.3600000003</v>
      </c>
      <c r="E30" s="4">
        <f>'5.4 Tableau de l''endettement'!AD24</f>
        <v>-5360.0178285714292</v>
      </c>
    </row>
    <row r="31" spans="1:5" x14ac:dyDescent="0.25">
      <c r="A31" s="169" t="s">
        <v>55</v>
      </c>
      <c r="B31" s="4">
        <f>'5.4 Tableau de l''endettement'!AE20</f>
        <v>6404302.0600000005</v>
      </c>
      <c r="C31" s="4">
        <f>'5.4 Tableau de l''endettement'!AE21</f>
        <v>3354.7941644840234</v>
      </c>
      <c r="D31" s="4">
        <f>'5.4 Tableau de l''endettement'!AE23</f>
        <v>-1433431.5900000008</v>
      </c>
      <c r="E31" s="4">
        <f>'5.4 Tableau de l''endettement'!AE24</f>
        <v>-750.88087480356251</v>
      </c>
    </row>
    <row r="32" spans="1:5" x14ac:dyDescent="0.25">
      <c r="A32" s="169" t="s">
        <v>21</v>
      </c>
      <c r="B32" s="4">
        <f>'5.4 Tableau de l''endettement'!AF20</f>
        <v>16877793.98</v>
      </c>
      <c r="C32" s="4">
        <f>'5.4 Tableau de l''endettement'!AF21</f>
        <v>6541.7806124031013</v>
      </c>
      <c r="D32" s="4">
        <f>'5.4 Tableau de l''endettement'!AF23</f>
        <v>8313209.2300000023</v>
      </c>
      <c r="E32" s="4">
        <f>'5.4 Tableau de l''endettement'!AF24</f>
        <v>3222.1741201550399</v>
      </c>
    </row>
    <row r="33" spans="1:5" x14ac:dyDescent="0.25">
      <c r="A33" s="169" t="s">
        <v>6</v>
      </c>
      <c r="B33" s="4">
        <f>'5.4 Tableau de l''endettement'!AG20</f>
        <v>1682030.3399999999</v>
      </c>
      <c r="C33" s="4">
        <f>'5.4 Tableau de l''endettement'!AG21</f>
        <v>7576.7132432432427</v>
      </c>
      <c r="D33" s="4">
        <f>'5.4 Tableau de l''endettement'!AG23</f>
        <v>-88268.129999999655</v>
      </c>
      <c r="E33" s="4">
        <f>'5.4 Tableau de l''endettement'!AG24</f>
        <v>-397.60418918918765</v>
      </c>
    </row>
    <row r="34" spans="1:5" x14ac:dyDescent="0.25">
      <c r="A34" s="169" t="s">
        <v>34</v>
      </c>
      <c r="B34" s="4">
        <f>'5.4 Tableau de l''endettement'!AH20</f>
        <v>1032153.5</v>
      </c>
      <c r="C34" s="4">
        <f>'5.4 Tableau de l''endettement'!AH21</f>
        <v>8001.1899224806202</v>
      </c>
      <c r="D34" s="4">
        <f>'5.4 Tableau de l''endettement'!AH23</f>
        <v>-1005628.19</v>
      </c>
      <c r="E34" s="4">
        <f>'5.4 Tableau de l''endettement'!AH24</f>
        <v>-7795.5673643410846</v>
      </c>
    </row>
    <row r="35" spans="1:5" x14ac:dyDescent="0.25">
      <c r="A35" s="169" t="s">
        <v>52</v>
      </c>
      <c r="B35" s="4">
        <f>'5.4 Tableau de l''endettement'!AI20</f>
        <v>18004708.100000001</v>
      </c>
      <c r="C35" s="4">
        <f>'5.4 Tableau de l''endettement'!AI21</f>
        <v>9521.2628767847709</v>
      </c>
      <c r="D35" s="4">
        <f>'5.4 Tableau de l''endettement'!AI23</f>
        <v>12776514.859999999</v>
      </c>
      <c r="E35" s="4">
        <f>'5.4 Tableau de l''endettement'!AI24</f>
        <v>6756.4859122157586</v>
      </c>
    </row>
    <row r="36" spans="1:5" x14ac:dyDescent="0.25">
      <c r="A36" s="169" t="s">
        <v>14</v>
      </c>
      <c r="B36" s="4">
        <f>'5.4 Tableau de l''endettement'!AJ20</f>
        <v>9560475.8900000006</v>
      </c>
      <c r="C36" s="4">
        <f>'5.4 Tableau de l''endettement'!AJ21</f>
        <v>8490.6535435168753</v>
      </c>
      <c r="D36" s="4">
        <f>'5.4 Tableau de l''endettement'!AJ23</f>
        <v>4295688.8199999994</v>
      </c>
      <c r="E36" s="4">
        <f>'5.4 Tableau de l''endettement'!AJ24</f>
        <v>3814.9989520426284</v>
      </c>
    </row>
    <row r="37" spans="1:5" x14ac:dyDescent="0.25">
      <c r="A37" s="169" t="s">
        <v>32</v>
      </c>
      <c r="B37" s="4">
        <f>'5.4 Tableau de l''endettement'!AK20</f>
        <v>11290231.99</v>
      </c>
      <c r="C37" s="4">
        <f>'5.4 Tableau de l''endettement'!AK21</f>
        <v>9216.5159102040816</v>
      </c>
      <c r="D37" s="4">
        <f>'5.4 Tableau de l''endettement'!AK23</f>
        <v>6419097.7300000004</v>
      </c>
      <c r="E37" s="4">
        <f>'5.4 Tableau de l''endettement'!AK24</f>
        <v>5240.079779591837</v>
      </c>
    </row>
    <row r="38" spans="1:5" x14ac:dyDescent="0.25">
      <c r="A38" s="169" t="s">
        <v>29</v>
      </c>
      <c r="B38" s="4">
        <f>'5.4 Tableau de l''endettement'!AL20</f>
        <v>1609835.59</v>
      </c>
      <c r="C38" s="4">
        <f>'5.4 Tableau de l''endettement'!AL21</f>
        <v>13759.278547008547</v>
      </c>
      <c r="D38" s="4">
        <f>'5.4 Tableau de l''endettement'!AL23</f>
        <v>-68973.139999999898</v>
      </c>
      <c r="E38" s="4">
        <f>'5.4 Tableau de l''endettement'!AL24</f>
        <v>-589.51401709401625</v>
      </c>
    </row>
    <row r="39" spans="1:5" x14ac:dyDescent="0.25">
      <c r="A39" s="169" t="s">
        <v>26</v>
      </c>
      <c r="B39" s="4">
        <f>'5.4 Tableau de l''endettement'!AM20</f>
        <v>9467167.8599999994</v>
      </c>
      <c r="C39" s="4">
        <f>'5.4 Tableau de l''endettement'!AM21</f>
        <v>7989.1711898734175</v>
      </c>
      <c r="D39" s="4">
        <f>'5.4 Tableau de l''endettement'!AM23</f>
        <v>-4253300.6399999987</v>
      </c>
      <c r="E39" s="4">
        <f>'5.4 Tableau de l''endettement'!AM24</f>
        <v>-3589.2832405063282</v>
      </c>
    </row>
    <row r="40" spans="1:5" x14ac:dyDescent="0.25">
      <c r="A40" s="169" t="s">
        <v>48</v>
      </c>
      <c r="B40" s="4">
        <f>'5.4 Tableau de l''endettement'!AN20</f>
        <v>5060879.72</v>
      </c>
      <c r="C40" s="4">
        <f>'5.4 Tableau de l''endettement'!AN21</f>
        <v>7882.9902180685358</v>
      </c>
      <c r="D40" s="4">
        <f>'5.4 Tableau de l''endettement'!AN23</f>
        <v>1394899.9899999998</v>
      </c>
      <c r="E40" s="4">
        <f>'5.4 Tableau de l''endettement'!AN24</f>
        <v>2172.7414174454825</v>
      </c>
    </row>
    <row r="41" spans="1:5" x14ac:dyDescent="0.25">
      <c r="A41" s="169" t="s">
        <v>44</v>
      </c>
      <c r="B41" s="4">
        <f>'5.4 Tableau de l''endettement'!AO20</f>
        <v>4084166.64</v>
      </c>
      <c r="C41" s="4">
        <f>'5.4 Tableau de l''endettement'!AO21</f>
        <v>6452.08</v>
      </c>
      <c r="D41" s="4">
        <f>'5.4 Tableau de l''endettement'!AO23</f>
        <v>1260354.7200000002</v>
      </c>
      <c r="E41" s="4">
        <f>'5.4 Tableau de l''endettement'!AO24</f>
        <v>1991.0817061611378</v>
      </c>
    </row>
    <row r="42" spans="1:5" x14ac:dyDescent="0.25">
      <c r="A42" s="169" t="s">
        <v>37</v>
      </c>
      <c r="B42" s="4">
        <f>'5.4 Tableau de l''endettement'!AP20</f>
        <v>11258543.550000001</v>
      </c>
      <c r="C42" s="4">
        <f>'5.4 Tableau de l''endettement'!AP21</f>
        <v>8768.3360981308415</v>
      </c>
      <c r="D42" s="4">
        <f>'5.4 Tableau de l''endettement'!AP23</f>
        <v>-309867.80999999866</v>
      </c>
      <c r="E42" s="4">
        <f>'5.4 Tableau de l''endettement'!AP24</f>
        <v>-241.3300700934569</v>
      </c>
    </row>
    <row r="43" spans="1:5" x14ac:dyDescent="0.25">
      <c r="A43" s="169" t="s">
        <v>51</v>
      </c>
      <c r="B43" s="4">
        <f>'5.4 Tableau de l''endettement'!AQ20</f>
        <v>5676255.4499999993</v>
      </c>
      <c r="C43" s="4">
        <f>'5.4 Tableau de l''endettement'!AQ21</f>
        <v>7765.055335157318</v>
      </c>
      <c r="D43" s="4">
        <f>'5.4 Tableau de l''endettement'!AQ23</f>
        <v>3086864.3399999994</v>
      </c>
      <c r="E43" s="4">
        <f>'5.4 Tableau de l''endettement'!AQ24</f>
        <v>4222.796634746921</v>
      </c>
    </row>
    <row r="44" spans="1:5" x14ac:dyDescent="0.25">
      <c r="A44" s="169" t="s">
        <v>8</v>
      </c>
      <c r="B44" s="4">
        <f>'5.4 Tableau de l''endettement'!AR20</f>
        <v>8931872.6600000001</v>
      </c>
      <c r="C44" s="4">
        <f>'5.4 Tableau de l''endettement'!AR21</f>
        <v>8791.2132480314958</v>
      </c>
      <c r="D44" s="4">
        <f>'5.4 Tableau de l''endettement'!AR23</f>
        <v>5096750.43</v>
      </c>
      <c r="E44" s="4">
        <f>'5.4 Tableau de l''endettement'!AR24</f>
        <v>5016.4866437007868</v>
      </c>
    </row>
    <row r="45" spans="1:5" x14ac:dyDescent="0.25">
      <c r="A45" s="169" t="s">
        <v>24</v>
      </c>
      <c r="B45" s="4">
        <f>'5.4 Tableau de l''endettement'!AS20</f>
        <v>1867774.15</v>
      </c>
      <c r="C45" s="4">
        <f>'5.4 Tableau de l''endettement'!AS21</f>
        <v>6143.9939144736836</v>
      </c>
      <c r="D45" s="4">
        <f>'5.4 Tableau de l''endettement'!AS23</f>
        <v>-1089984.3500000006</v>
      </c>
      <c r="E45" s="4">
        <f>'5.4 Tableau de l''endettement'!AS24</f>
        <v>-3585.4748355263177</v>
      </c>
    </row>
    <row r="46" spans="1:5" x14ac:dyDescent="0.25">
      <c r="A46" s="169" t="s">
        <v>9</v>
      </c>
      <c r="B46" s="4">
        <f>'5.4 Tableau de l''endettement'!AT20</f>
        <v>13098682.91</v>
      </c>
      <c r="C46" s="4">
        <f>'5.4 Tableau de l''endettement'!AT21</f>
        <v>5430.631388888889</v>
      </c>
      <c r="D46" s="4">
        <f>'5.4 Tableau de l''endettement'!AT23</f>
        <v>7718740.75</v>
      </c>
      <c r="E46" s="4">
        <f>'5.4 Tableau de l''endettement'!AT24</f>
        <v>3200.1412728026535</v>
      </c>
    </row>
    <row r="47" spans="1:5" x14ac:dyDescent="0.25">
      <c r="A47" s="169" t="s">
        <v>62</v>
      </c>
      <c r="B47" s="4">
        <f>'5.4 Tableau de l''endettement'!AU20</f>
        <v>5987581.8100000005</v>
      </c>
      <c r="C47" s="4">
        <f>'5.4 Tableau de l''endettement'!AU21</f>
        <v>8146.3698095238105</v>
      </c>
      <c r="D47" s="4">
        <f>'5.4 Tableau de l''endettement'!AU23</f>
        <v>2805265.74</v>
      </c>
      <c r="E47" s="4">
        <f>'5.4 Tableau de l''endettement'!AU24</f>
        <v>3816.6880816326534</v>
      </c>
    </row>
    <row r="48" spans="1:5" x14ac:dyDescent="0.25">
      <c r="A48" s="169" t="s">
        <v>46</v>
      </c>
      <c r="B48" s="4">
        <f>'5.4 Tableau de l''endettement'!AV20</f>
        <v>704845.53</v>
      </c>
      <c r="C48" s="4">
        <f>'5.4 Tableau de l''endettement'!AV21</f>
        <v>3809.9758378378378</v>
      </c>
      <c r="D48" s="4">
        <f>'5.4 Tableau de l''endettement'!AV23</f>
        <v>189759.61</v>
      </c>
      <c r="E48" s="4">
        <f>'5.4 Tableau de l''endettement'!AV24</f>
        <v>1025.7276216216214</v>
      </c>
    </row>
    <row r="49" spans="1:5" x14ac:dyDescent="0.25">
      <c r="A49" s="169" t="s">
        <v>35</v>
      </c>
      <c r="B49" s="4">
        <f>'5.4 Tableau de l''endettement'!AW20</f>
        <v>2002898.05</v>
      </c>
      <c r="C49" s="4">
        <f>'5.4 Tableau de l''endettement'!AW21</f>
        <v>5890.876617647059</v>
      </c>
      <c r="D49" s="4">
        <f>'5.4 Tableau de l''endettement'!AW23</f>
        <v>-637335.59000000032</v>
      </c>
      <c r="E49" s="4">
        <f>'5.4 Tableau de l''endettement'!AW24</f>
        <v>-1874.5164411764715</v>
      </c>
    </row>
    <row r="50" spans="1:5" x14ac:dyDescent="0.25">
      <c r="A50" s="169" t="s">
        <v>49</v>
      </c>
      <c r="B50" s="4">
        <f>'5.4 Tableau de l''endettement'!AX20</f>
        <v>19789094.379999999</v>
      </c>
      <c r="C50" s="4">
        <f>'5.4 Tableau de l''endettement'!AX21</f>
        <v>11661.222380671774</v>
      </c>
      <c r="D50" s="4">
        <f>'5.4 Tableau de l''endettement'!AX23</f>
        <v>15312974.43</v>
      </c>
      <c r="E50" s="4">
        <f>'5.4 Tableau de l''endettement'!AX24</f>
        <v>9023.5559398939295</v>
      </c>
    </row>
    <row r="51" spans="1:5" x14ac:dyDescent="0.25">
      <c r="A51" s="169" t="s">
        <v>47</v>
      </c>
      <c r="B51" s="4">
        <f>'5.4 Tableau de l''endettement'!AY20</f>
        <v>2070284.17</v>
      </c>
      <c r="C51" s="4">
        <f>'5.4 Tableau de l''endettement'!AY21</f>
        <v>5308.4209487179487</v>
      </c>
      <c r="D51" s="4">
        <f>'5.4 Tableau de l''endettement'!AY23</f>
        <v>-884214.48000000021</v>
      </c>
      <c r="E51" s="4">
        <f>'5.4 Tableau de l''endettement'!AY24</f>
        <v>-2267.216615384616</v>
      </c>
    </row>
    <row r="52" spans="1:5" x14ac:dyDescent="0.25">
      <c r="A52" s="169" t="s">
        <v>58</v>
      </c>
      <c r="B52" s="4">
        <f>'5.4 Tableau de l''endettement'!AZ20</f>
        <v>10358562.43</v>
      </c>
      <c r="C52" s="4">
        <f>'5.4 Tableau de l''endettement'!AZ21</f>
        <v>9653.8326467847146</v>
      </c>
      <c r="D52" s="4">
        <f>'5.4 Tableau de l''endettement'!AZ23</f>
        <v>5827342.290000001</v>
      </c>
      <c r="E52" s="4">
        <f>'5.4 Tableau de l''endettement'!AZ24</f>
        <v>5430.887502329917</v>
      </c>
    </row>
    <row r="53" spans="1:5" x14ac:dyDescent="0.25">
      <c r="A53" s="169" t="s">
        <v>50</v>
      </c>
      <c r="B53" s="4">
        <f>'5.4 Tableau de l''endettement'!BA20</f>
        <v>219892.5</v>
      </c>
      <c r="C53" s="4">
        <f>'5.4 Tableau de l''endettement'!BA21</f>
        <v>1195.0679347826087</v>
      </c>
      <c r="D53" s="4">
        <f>'5.4 Tableau de l''endettement'!BA23</f>
        <v>-576498.74</v>
      </c>
      <c r="E53" s="4">
        <f>'5.4 Tableau de l''endettement'!BA24</f>
        <v>-3133.1453260869566</v>
      </c>
    </row>
    <row r="54" spans="1:5" x14ac:dyDescent="0.25">
      <c r="A54" s="169" t="s">
        <v>16</v>
      </c>
      <c r="B54" s="4">
        <f>'5.4 Tableau de l''endettement'!BB20</f>
        <v>66904253.960000001</v>
      </c>
      <c r="C54" s="4">
        <f>'5.4 Tableau de l''endettement'!BB21</f>
        <v>10347.08536343953</v>
      </c>
      <c r="D54" s="4">
        <f>'5.4 Tableau de l''endettement'!BB23</f>
        <v>42123403.110000007</v>
      </c>
      <c r="E54" s="4">
        <f>'5.4 Tableau de l''endettement'!BB24</f>
        <v>6514.5999242189928</v>
      </c>
    </row>
    <row r="55" spans="1:5" x14ac:dyDescent="0.25">
      <c r="A55" s="169" t="s">
        <v>25</v>
      </c>
      <c r="B55" s="4">
        <f>'5.4 Tableau de l''endettement'!BC20</f>
        <v>4041025.6399999997</v>
      </c>
      <c r="C55" s="4">
        <f>'5.4 Tableau de l''endettement'!BC21</f>
        <v>7229.0261896243283</v>
      </c>
      <c r="D55" s="4">
        <f>'5.4 Tableau de l''endettement'!BC23</f>
        <v>1980846.71</v>
      </c>
      <c r="E55" s="4">
        <f>'5.4 Tableau de l''endettement'!BC24</f>
        <v>3543.5540429338103</v>
      </c>
    </row>
  </sheetData>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tint="0.59999389629810485"/>
  </sheetPr>
  <dimension ref="A1:C46"/>
  <sheetViews>
    <sheetView workbookViewId="0">
      <selection activeCell="B4" sqref="B4"/>
    </sheetView>
  </sheetViews>
  <sheetFormatPr baseColWidth="10" defaultColWidth="11.42578125" defaultRowHeight="15" x14ac:dyDescent="0.25"/>
  <cols>
    <col min="1" max="1" width="5.7109375" customWidth="1"/>
    <col min="2" max="2" width="50.28515625" customWidth="1"/>
    <col min="3" max="3" width="22.85546875" customWidth="1"/>
  </cols>
  <sheetData>
    <row r="1" spans="1:3" ht="26.25" x14ac:dyDescent="0.4">
      <c r="A1" s="32" t="s">
        <v>851</v>
      </c>
      <c r="B1" s="7"/>
    </row>
    <row r="2" spans="1:3" ht="15" customHeight="1" x14ac:dyDescent="0.4">
      <c r="A2" s="32"/>
      <c r="B2" s="7"/>
    </row>
    <row r="3" spans="1:3" ht="15" customHeight="1" thickBot="1" x14ac:dyDescent="0.3">
      <c r="A3" s="7"/>
      <c r="B3" s="7"/>
    </row>
    <row r="4" spans="1:3" ht="15" customHeight="1" thickBot="1" x14ac:dyDescent="0.45">
      <c r="A4" s="32"/>
      <c r="B4" s="146" t="s">
        <v>71</v>
      </c>
    </row>
    <row r="5" spans="1:3" ht="15" customHeight="1" x14ac:dyDescent="0.25">
      <c r="C5" s="53"/>
    </row>
    <row r="6" spans="1:3" ht="15" customHeight="1" x14ac:dyDescent="0.25">
      <c r="C6" s="149" t="s">
        <v>202</v>
      </c>
    </row>
    <row r="7" spans="1:3" x14ac:dyDescent="0.25">
      <c r="A7">
        <v>10</v>
      </c>
      <c r="B7" t="s">
        <v>240</v>
      </c>
      <c r="C7" s="4">
        <f>HLOOKUP($B$4,'5.4 Tableau de l''endettement'!$C$6:$BC$24,2,0)</f>
        <v>767484.10000000009</v>
      </c>
    </row>
    <row r="8" spans="1:3" x14ac:dyDescent="0.25">
      <c r="C8" s="4"/>
    </row>
    <row r="9" spans="1:3" x14ac:dyDescent="0.25">
      <c r="A9">
        <v>20</v>
      </c>
      <c r="B9" t="s">
        <v>252</v>
      </c>
      <c r="C9" s="4">
        <f>HLOOKUP($B$4,'5.4 Tableau de l''endettement'!$C$6:$BC$24,4,0)</f>
        <v>841503</v>
      </c>
    </row>
    <row r="10" spans="1:3" x14ac:dyDescent="0.25">
      <c r="C10" s="4"/>
    </row>
    <row r="11" spans="1:3" x14ac:dyDescent="0.25">
      <c r="A11">
        <v>200</v>
      </c>
      <c r="B11" t="s">
        <v>451</v>
      </c>
      <c r="C11" s="4">
        <f>HLOOKUP($B$4,'5.4 Tableau de l''endettement'!$C$6:$BC$24,6,0)</f>
        <v>66448.5</v>
      </c>
    </row>
    <row r="12" spans="1:3" x14ac:dyDescent="0.25">
      <c r="C12" s="4"/>
    </row>
    <row r="13" spans="1:3" x14ac:dyDescent="0.25">
      <c r="A13">
        <v>201</v>
      </c>
      <c r="B13" t="s">
        <v>254</v>
      </c>
      <c r="C13" s="4">
        <f>HLOOKUP($B$4,'5.4 Tableau de l''endettement'!$C$6:$BC$24,8,0)</f>
        <v>0</v>
      </c>
    </row>
    <row r="14" spans="1:3" x14ac:dyDescent="0.25">
      <c r="C14" s="4"/>
    </row>
    <row r="15" spans="1:3" x14ac:dyDescent="0.25">
      <c r="A15">
        <v>206</v>
      </c>
      <c r="B15" t="s">
        <v>257</v>
      </c>
      <c r="C15" s="4">
        <f>HLOOKUP($B$4,'5.4 Tableau de l''endettement'!$C$6:$BC$24,10,0)</f>
        <v>768670.9</v>
      </c>
    </row>
    <row r="16" spans="1:3" x14ac:dyDescent="0.25">
      <c r="C16" s="4"/>
    </row>
    <row r="17" spans="1:3" x14ac:dyDescent="0.25">
      <c r="A17">
        <v>2016</v>
      </c>
      <c r="B17" t="s">
        <v>269</v>
      </c>
      <c r="C17" s="4">
        <f>HLOOKUP($B$4,'5.4 Tableau de l''endettement'!$C$6:$BC$24,12,0)</f>
        <v>0</v>
      </c>
    </row>
    <row r="18" spans="1:3" x14ac:dyDescent="0.25">
      <c r="C18" s="4"/>
    </row>
    <row r="19" spans="1:3" x14ac:dyDescent="0.25">
      <c r="C19" s="4"/>
    </row>
    <row r="20" spans="1:3" x14ac:dyDescent="0.25">
      <c r="B20" s="81" t="s">
        <v>637</v>
      </c>
      <c r="C20" s="82">
        <f>HLOOKUP($B$4,'5.4 Tableau de l''endettement'!$C$6:$BC$24,15,0)</f>
        <v>835119.4</v>
      </c>
    </row>
    <row r="21" spans="1:3" x14ac:dyDescent="0.25">
      <c r="B21" s="56" t="s">
        <v>449</v>
      </c>
      <c r="C21" s="57">
        <f>HLOOKUP($B$4,'5.4 Tableau de l''endettement'!$C$6:$BC$24,16,0)</f>
        <v>8699.1604166666675</v>
      </c>
    </row>
    <row r="22" spans="1:3" x14ac:dyDescent="0.25">
      <c r="B22" s="7"/>
      <c r="C22" s="4"/>
    </row>
    <row r="23" spans="1:3" x14ac:dyDescent="0.25">
      <c r="B23" s="81" t="s">
        <v>638</v>
      </c>
      <c r="C23" s="82">
        <f>HLOOKUP($B$4,'5.4 Tableau de l''endettement'!$C$6:$BC$24,18,0)</f>
        <v>74018.899999999907</v>
      </c>
    </row>
    <row r="24" spans="1:3" x14ac:dyDescent="0.25">
      <c r="B24" s="56" t="s">
        <v>449</v>
      </c>
      <c r="C24" s="57">
        <f>HLOOKUP($B$4,'5.4 Tableau de l''endettement'!$C$6:$BC$24,19,0)</f>
        <v>771.03020833333233</v>
      </c>
    </row>
    <row r="27" spans="1:3" x14ac:dyDescent="0.25">
      <c r="A27" s="7" t="s">
        <v>636</v>
      </c>
    </row>
    <row r="29" spans="1:3" x14ac:dyDescent="0.25">
      <c r="A29">
        <v>10</v>
      </c>
      <c r="B29" t="s">
        <v>240</v>
      </c>
      <c r="C29" s="4">
        <f>HLOOKUP($B$4,'5.4 Tableau de l''endettement'!$C$6:$BC$49,24,0)</f>
        <v>767484.1</v>
      </c>
    </row>
    <row r="30" spans="1:3" x14ac:dyDescent="0.25">
      <c r="C30" s="4"/>
    </row>
    <row r="31" spans="1:3" x14ac:dyDescent="0.25">
      <c r="A31">
        <v>20</v>
      </c>
      <c r="B31" t="s">
        <v>252</v>
      </c>
      <c r="C31" s="4">
        <f>HLOOKUP($B$4,'5.4 Tableau de l''endettement'!$C$6:$BC$49,26,0)</f>
        <v>841503</v>
      </c>
    </row>
    <row r="32" spans="1:3" x14ac:dyDescent="0.25">
      <c r="C32" s="4"/>
    </row>
    <row r="33" spans="1:3" x14ac:dyDescent="0.25">
      <c r="A33">
        <v>200</v>
      </c>
      <c r="B33" t="s">
        <v>451</v>
      </c>
      <c r="C33" s="4">
        <f>HLOOKUP($B$4,'5.4 Tableau de l''endettement'!$C$6:$BC$49,28,0)</f>
        <v>66448.5</v>
      </c>
    </row>
    <row r="34" spans="1:3" x14ac:dyDescent="0.25">
      <c r="C34" s="4"/>
    </row>
    <row r="35" spans="1:3" x14ac:dyDescent="0.25">
      <c r="A35">
        <v>201</v>
      </c>
      <c r="B35" t="s">
        <v>254</v>
      </c>
      <c r="C35" s="4">
        <f>HLOOKUP($B$4,'5.4 Tableau de l''endettement'!$C$6:$BC$49,30,0)</f>
        <v>0</v>
      </c>
    </row>
    <row r="36" spans="1:3" x14ac:dyDescent="0.25">
      <c r="C36" s="4"/>
    </row>
    <row r="37" spans="1:3" x14ac:dyDescent="0.25">
      <c r="A37">
        <v>206</v>
      </c>
      <c r="B37" t="s">
        <v>257</v>
      </c>
      <c r="C37" s="4">
        <f>HLOOKUP($B$4,'5.4 Tableau de l''endettement'!$C$6:$BC$49,32,0)</f>
        <v>768670.9</v>
      </c>
    </row>
    <row r="38" spans="1:3" x14ac:dyDescent="0.25">
      <c r="C38" s="4"/>
    </row>
    <row r="39" spans="1:3" x14ac:dyDescent="0.25">
      <c r="A39">
        <v>2016</v>
      </c>
      <c r="B39" t="s">
        <v>269</v>
      </c>
      <c r="C39" s="4">
        <f>HLOOKUP($B$4,'5.4 Tableau de l''endettement'!$C$6:$BC$49,34,0)</f>
        <v>0</v>
      </c>
    </row>
    <row r="40" spans="1:3" x14ac:dyDescent="0.25">
      <c r="C40" s="4"/>
    </row>
    <row r="41" spans="1:3" x14ac:dyDescent="0.25">
      <c r="C41" s="4"/>
    </row>
    <row r="42" spans="1:3" x14ac:dyDescent="0.25">
      <c r="B42" s="81" t="s">
        <v>639</v>
      </c>
      <c r="C42" s="82">
        <f>HLOOKUP($B$4,'5.4 Tableau de l''endettement'!$C$6:$BC$49,37,0)</f>
        <v>835119.4</v>
      </c>
    </row>
    <row r="43" spans="1:3" x14ac:dyDescent="0.25">
      <c r="B43" s="56" t="s">
        <v>449</v>
      </c>
      <c r="C43" s="57">
        <f>HLOOKUP($B$4,'5.4 Tableau de l''endettement'!$C$6:$BC$49,38,0)</f>
        <v>8699.1604166666675</v>
      </c>
    </row>
    <row r="44" spans="1:3" x14ac:dyDescent="0.25">
      <c r="B44" s="7"/>
      <c r="C44" s="4"/>
    </row>
    <row r="45" spans="1:3" x14ac:dyDescent="0.25">
      <c r="B45" s="81" t="s">
        <v>640</v>
      </c>
      <c r="C45" s="82">
        <f>HLOOKUP($B$4,'5.4 Tableau de l''endettement'!$C$6:$BC$49,40,0)</f>
        <v>74018.900000000023</v>
      </c>
    </row>
    <row r="46" spans="1:3" x14ac:dyDescent="0.25">
      <c r="B46" s="56" t="s">
        <v>449</v>
      </c>
      <c r="C46" s="57">
        <f>HLOOKUP($B$4,'5.4 Tableau de l''endettement'!$C$6:$BC$49,41,0)</f>
        <v>771.03020833333358</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900-000000000000}">
          <x14:formula1>
            <xm:f>'5.4 Tableau de l''endettement'!$C$6:$BC$6</xm:f>
          </x14:formula1>
          <xm:sqref>B4</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0" tint="-0.249977111117893"/>
    <pageSetUpPr fitToPage="1"/>
  </sheetPr>
  <dimension ref="A1:E185"/>
  <sheetViews>
    <sheetView workbookViewId="0">
      <selection activeCell="A2" sqref="A2"/>
    </sheetView>
  </sheetViews>
  <sheetFormatPr baseColWidth="10" defaultColWidth="11.42578125" defaultRowHeight="15" x14ac:dyDescent="0.25"/>
  <cols>
    <col min="1" max="2" width="5.7109375" customWidth="1"/>
    <col min="3" max="3" width="9" customWidth="1"/>
    <col min="4" max="4" width="63.5703125" customWidth="1"/>
    <col min="5" max="5" width="22.7109375" customWidth="1"/>
  </cols>
  <sheetData>
    <row r="1" spans="1:5" ht="26.25" x14ac:dyDescent="0.4">
      <c r="A1" s="32" t="s">
        <v>853</v>
      </c>
      <c r="B1" s="7"/>
      <c r="C1" s="7"/>
      <c r="D1" s="7"/>
    </row>
    <row r="3" spans="1:5" ht="15.75" thickBot="1" x14ac:dyDescent="0.3"/>
    <row r="4" spans="1:5" ht="15.75" thickBot="1" x14ac:dyDescent="0.3">
      <c r="A4" t="s">
        <v>634</v>
      </c>
      <c r="D4" s="142" t="s">
        <v>25</v>
      </c>
    </row>
    <row r="7" spans="1:5" ht="21" x14ac:dyDescent="0.35">
      <c r="A7" s="84">
        <v>5</v>
      </c>
      <c r="B7" s="84"/>
      <c r="C7" s="84"/>
      <c r="D7" s="84" t="s">
        <v>193</v>
      </c>
      <c r="E7" s="152">
        <f>HLOOKUP($D$4,'6.1 Investissements'!$E$3:$BE$185,2,0)</f>
        <v>104880.05</v>
      </c>
    </row>
    <row r="8" spans="1:5" x14ac:dyDescent="0.25">
      <c r="A8" s="7"/>
      <c r="B8" s="56">
        <v>50</v>
      </c>
      <c r="C8" s="56"/>
      <c r="D8" s="56" t="s">
        <v>454</v>
      </c>
      <c r="E8" s="57">
        <f>SUM(E9:E16)</f>
        <v>69545</v>
      </c>
    </row>
    <row r="9" spans="1:5" x14ac:dyDescent="0.25">
      <c r="C9">
        <v>500</v>
      </c>
      <c r="D9" t="s">
        <v>456</v>
      </c>
      <c r="E9" s="4">
        <f>HLOOKUP($D$4,'6.1 Investissements'!$E$3:$BE$185,4,0)</f>
        <v>0</v>
      </c>
    </row>
    <row r="10" spans="1:5" x14ac:dyDescent="0.25">
      <c r="C10">
        <v>501</v>
      </c>
      <c r="D10" t="s">
        <v>457</v>
      </c>
      <c r="E10" s="4">
        <f>HLOOKUP($D$4,'6.1 Investissements'!$E$3:$BE$185,5,0)</f>
        <v>0</v>
      </c>
    </row>
    <row r="11" spans="1:5" x14ac:dyDescent="0.25">
      <c r="C11">
        <v>502</v>
      </c>
      <c r="D11" t="s">
        <v>458</v>
      </c>
      <c r="E11" s="4">
        <f>HLOOKUP($D$4,'6.1 Investissements'!$E$3:$BE$185,6,0)</f>
        <v>69545</v>
      </c>
    </row>
    <row r="12" spans="1:5" x14ac:dyDescent="0.25">
      <c r="C12">
        <v>503</v>
      </c>
      <c r="D12" t="s">
        <v>459</v>
      </c>
      <c r="E12" s="4">
        <f>HLOOKUP($D$4,'6.1 Investissements'!$E$3:$BE$185,7,0)</f>
        <v>0</v>
      </c>
    </row>
    <row r="13" spans="1:5" x14ac:dyDescent="0.25">
      <c r="C13">
        <v>504</v>
      </c>
      <c r="D13" t="s">
        <v>460</v>
      </c>
      <c r="E13" s="4">
        <f>HLOOKUP($D$4,'6.1 Investissements'!$E$3:$BE$185,8,0)</f>
        <v>0</v>
      </c>
    </row>
    <row r="14" spans="1:5" x14ac:dyDescent="0.25">
      <c r="C14">
        <v>505</v>
      </c>
      <c r="D14" t="s">
        <v>461</v>
      </c>
      <c r="E14" s="4">
        <f>HLOOKUP($D$4,'6.1 Investissements'!$E$3:$BE$185,9,0)</f>
        <v>0</v>
      </c>
    </row>
    <row r="15" spans="1:5" x14ac:dyDescent="0.25">
      <c r="C15">
        <v>506</v>
      </c>
      <c r="D15" t="s">
        <v>462</v>
      </c>
      <c r="E15" s="4">
        <f>HLOOKUP($D$4,'6.1 Investissements'!$E$3:$BE$185,10,0)</f>
        <v>0</v>
      </c>
    </row>
    <row r="16" spans="1:5" x14ac:dyDescent="0.25">
      <c r="C16">
        <v>509</v>
      </c>
      <c r="D16" t="s">
        <v>463</v>
      </c>
      <c r="E16" s="4">
        <f>HLOOKUP($D$4,'6.1 Investissements'!$E$3:$BE$185,11,0)</f>
        <v>0</v>
      </c>
    </row>
    <row r="18" spans="2:5" x14ac:dyDescent="0.25">
      <c r="B18" s="56">
        <v>51</v>
      </c>
      <c r="C18" s="56"/>
      <c r="D18" s="56" t="s">
        <v>455</v>
      </c>
      <c r="E18" s="57">
        <f>SUM(E19:E26)</f>
        <v>0</v>
      </c>
    </row>
    <row r="19" spans="2:5" x14ac:dyDescent="0.25">
      <c r="C19">
        <v>510</v>
      </c>
      <c r="D19" t="s">
        <v>456</v>
      </c>
      <c r="E19" s="4">
        <f>HLOOKUP($D$4,'6.1 Investissements'!$E$3:$BE$185,14,0)</f>
        <v>0</v>
      </c>
    </row>
    <row r="20" spans="2:5" x14ac:dyDescent="0.25">
      <c r="C20">
        <v>511</v>
      </c>
      <c r="D20" t="s">
        <v>457</v>
      </c>
      <c r="E20" s="4">
        <f>HLOOKUP($D$4,'6.1 Investissements'!$E$3:$BE$185,15,0)</f>
        <v>0</v>
      </c>
    </row>
    <row r="21" spans="2:5" x14ac:dyDescent="0.25">
      <c r="C21">
        <v>512</v>
      </c>
      <c r="D21" t="s">
        <v>458</v>
      </c>
      <c r="E21" s="4">
        <f>HLOOKUP($D$4,'6.1 Investissements'!$E$3:$BE$185,16,0)</f>
        <v>0</v>
      </c>
    </row>
    <row r="22" spans="2:5" x14ac:dyDescent="0.25">
      <c r="C22">
        <v>513</v>
      </c>
      <c r="D22" t="s">
        <v>459</v>
      </c>
      <c r="E22" s="4">
        <f>HLOOKUP($D$4,'6.1 Investissements'!$E$3:$BE$185,17,0)</f>
        <v>0</v>
      </c>
    </row>
    <row r="23" spans="2:5" x14ac:dyDescent="0.25">
      <c r="C23">
        <v>514</v>
      </c>
      <c r="D23" t="s">
        <v>460</v>
      </c>
      <c r="E23" s="4">
        <f>HLOOKUP($D$4,'6.1 Investissements'!$E$3:$BE$185,18,0)</f>
        <v>0</v>
      </c>
    </row>
    <row r="24" spans="2:5" x14ac:dyDescent="0.25">
      <c r="C24">
        <v>515</v>
      </c>
      <c r="D24" t="s">
        <v>461</v>
      </c>
      <c r="E24" s="4">
        <f>HLOOKUP($D$4,'6.1 Investissements'!$E$3:$BE$185,19,0)</f>
        <v>0</v>
      </c>
    </row>
    <row r="25" spans="2:5" x14ac:dyDescent="0.25">
      <c r="C25">
        <v>516</v>
      </c>
      <c r="D25" t="s">
        <v>462</v>
      </c>
      <c r="E25" s="4">
        <f>HLOOKUP($D$4,'6.1 Investissements'!$E$3:$BE$185,20,0)</f>
        <v>0</v>
      </c>
    </row>
    <row r="26" spans="2:5" x14ac:dyDescent="0.25">
      <c r="C26">
        <v>519</v>
      </c>
      <c r="D26" t="s">
        <v>463</v>
      </c>
      <c r="E26" s="4">
        <f>HLOOKUP($D$4,'6.1 Investissements'!$E$3:$BE$185,21,0)</f>
        <v>0</v>
      </c>
    </row>
    <row r="28" spans="2:5" x14ac:dyDescent="0.25">
      <c r="B28" s="56">
        <v>52</v>
      </c>
      <c r="C28" s="56"/>
      <c r="D28" s="56" t="s">
        <v>464</v>
      </c>
      <c r="E28" s="57">
        <f>SUM(E29:E31)</f>
        <v>35335.050000000003</v>
      </c>
    </row>
    <row r="29" spans="2:5" x14ac:dyDescent="0.25">
      <c r="C29">
        <v>520</v>
      </c>
      <c r="D29" t="s">
        <v>366</v>
      </c>
      <c r="E29" s="4">
        <f>HLOOKUP($D$4,'6.1 Investissements'!$E$3:$BE$185,24,0)</f>
        <v>0</v>
      </c>
    </row>
    <row r="30" spans="2:5" x14ac:dyDescent="0.25">
      <c r="C30">
        <v>521</v>
      </c>
      <c r="D30" t="s">
        <v>367</v>
      </c>
      <c r="E30" s="4">
        <f>HLOOKUP($D$4,'6.1 Investissements'!$E$3:$BE$185,25,0)</f>
        <v>0</v>
      </c>
    </row>
    <row r="31" spans="2:5" x14ac:dyDescent="0.25">
      <c r="C31">
        <v>529</v>
      </c>
      <c r="D31" t="s">
        <v>465</v>
      </c>
      <c r="E31" s="4">
        <f>HLOOKUP($D$4,'6.1 Investissements'!$E$3:$BE$185,26,0)</f>
        <v>35335.050000000003</v>
      </c>
    </row>
    <row r="33" spans="2:5" x14ac:dyDescent="0.25">
      <c r="B33" s="56">
        <v>54</v>
      </c>
      <c r="C33" s="56"/>
      <c r="D33" s="56" t="s">
        <v>250</v>
      </c>
      <c r="E33" s="57">
        <f>SUM(E34:E42)</f>
        <v>0</v>
      </c>
    </row>
    <row r="34" spans="2:5" x14ac:dyDescent="0.25">
      <c r="C34">
        <v>540</v>
      </c>
      <c r="D34" t="s">
        <v>466</v>
      </c>
      <c r="E34" s="4">
        <f>HLOOKUP($D$4,'6.1 Investissements'!$E$3:$BE$185,29,0)</f>
        <v>0</v>
      </c>
    </row>
    <row r="35" spans="2:5" x14ac:dyDescent="0.25">
      <c r="C35">
        <v>541</v>
      </c>
      <c r="D35" t="s">
        <v>467</v>
      </c>
      <c r="E35" s="4">
        <f>HLOOKUP($D$4,'6.1 Investissements'!$E$3:$BE$185,30,0)</f>
        <v>0</v>
      </c>
    </row>
    <row r="36" spans="2:5" x14ac:dyDescent="0.25">
      <c r="C36">
        <v>542</v>
      </c>
      <c r="D36" t="s">
        <v>468</v>
      </c>
      <c r="E36" s="4">
        <f>HLOOKUP($D$4,'6.1 Investissements'!$E$3:$BE$185,31,0)</f>
        <v>0</v>
      </c>
    </row>
    <row r="37" spans="2:5" x14ac:dyDescent="0.25">
      <c r="C37">
        <v>543</v>
      </c>
      <c r="D37" t="s">
        <v>469</v>
      </c>
      <c r="E37" s="4">
        <f>HLOOKUP($D$4,'6.1 Investissements'!$E$3:$BE$185,32,0)</f>
        <v>0</v>
      </c>
    </row>
    <row r="38" spans="2:5" x14ac:dyDescent="0.25">
      <c r="C38">
        <v>544</v>
      </c>
      <c r="D38" t="s">
        <v>470</v>
      </c>
      <c r="E38" s="4">
        <f>HLOOKUP($D$4,'6.1 Investissements'!$E$3:$BE$185,33,0)</f>
        <v>0</v>
      </c>
    </row>
    <row r="39" spans="2:5" x14ac:dyDescent="0.25">
      <c r="C39">
        <v>545</v>
      </c>
      <c r="D39" t="s">
        <v>471</v>
      </c>
      <c r="E39" s="4">
        <f>HLOOKUP($D$4,'6.1 Investissements'!$E$3:$BE$185,34,0)</f>
        <v>0</v>
      </c>
    </row>
    <row r="40" spans="2:5" x14ac:dyDescent="0.25">
      <c r="C40">
        <v>546</v>
      </c>
      <c r="D40" t="s">
        <v>472</v>
      </c>
      <c r="E40" s="4">
        <f>HLOOKUP($D$4,'6.1 Investissements'!$E$3:$BE$185,35,0)</f>
        <v>0</v>
      </c>
    </row>
    <row r="41" spans="2:5" x14ac:dyDescent="0.25">
      <c r="C41">
        <v>547</v>
      </c>
      <c r="D41" t="s">
        <v>473</v>
      </c>
      <c r="E41" s="4">
        <f>HLOOKUP($D$4,'6.1 Investissements'!$E$3:$BE$185,36,0)</f>
        <v>0</v>
      </c>
    </row>
    <row r="42" spans="2:5" x14ac:dyDescent="0.25">
      <c r="C42">
        <v>548</v>
      </c>
      <c r="D42" t="s">
        <v>474</v>
      </c>
      <c r="E42" s="4">
        <f>HLOOKUP($D$4,'6.1 Investissements'!$E$3:$BE$185,37,0)</f>
        <v>0</v>
      </c>
    </row>
    <row r="44" spans="2:5" x14ac:dyDescent="0.25">
      <c r="B44" s="56">
        <v>55</v>
      </c>
      <c r="C44" s="56"/>
      <c r="D44" s="56" t="s">
        <v>379</v>
      </c>
      <c r="E44" s="57">
        <f>SUM(E45:E53)</f>
        <v>0</v>
      </c>
    </row>
    <row r="45" spans="2:5" x14ac:dyDescent="0.25">
      <c r="C45">
        <v>550</v>
      </c>
      <c r="D45" t="s">
        <v>466</v>
      </c>
      <c r="E45" s="4">
        <f>HLOOKUP($D$4,'6.1 Investissements'!$E$3:$BE$185,40,0)</f>
        <v>0</v>
      </c>
    </row>
    <row r="46" spans="2:5" x14ac:dyDescent="0.25">
      <c r="C46">
        <v>551</v>
      </c>
      <c r="D46" t="s">
        <v>467</v>
      </c>
      <c r="E46" s="4">
        <f>HLOOKUP($D$4,'6.1 Investissements'!$E$3:$BE$185,41,0)</f>
        <v>0</v>
      </c>
    </row>
    <row r="47" spans="2:5" x14ac:dyDescent="0.25">
      <c r="C47">
        <v>552</v>
      </c>
      <c r="D47" t="s">
        <v>468</v>
      </c>
      <c r="E47" s="4">
        <f>HLOOKUP($D$4,'6.1 Investissements'!$E$3:$BE$185,42,0)</f>
        <v>0</v>
      </c>
    </row>
    <row r="48" spans="2:5" x14ac:dyDescent="0.25">
      <c r="C48">
        <v>553</v>
      </c>
      <c r="D48" t="s">
        <v>469</v>
      </c>
      <c r="E48" s="4">
        <f>HLOOKUP($D$4,'6.1 Investissements'!$E$3:$BE$185,43,0)</f>
        <v>0</v>
      </c>
    </row>
    <row r="49" spans="2:5" x14ac:dyDescent="0.25">
      <c r="C49">
        <v>554</v>
      </c>
      <c r="D49" t="s">
        <v>470</v>
      </c>
      <c r="E49" s="4">
        <f>HLOOKUP($D$4,'6.1 Investissements'!$E$3:$BE$185,44,0)</f>
        <v>0</v>
      </c>
    </row>
    <row r="50" spans="2:5" x14ac:dyDescent="0.25">
      <c r="C50">
        <v>555</v>
      </c>
      <c r="D50" t="s">
        <v>471</v>
      </c>
      <c r="E50" s="4">
        <f>HLOOKUP($D$4,'6.1 Investissements'!$E$3:$BE$185,45,0)</f>
        <v>0</v>
      </c>
    </row>
    <row r="51" spans="2:5" x14ac:dyDescent="0.25">
      <c r="C51">
        <v>556</v>
      </c>
      <c r="D51" t="s">
        <v>472</v>
      </c>
      <c r="E51" s="4">
        <f>HLOOKUP($D$4,'6.1 Investissements'!$E$3:$BE$185,46,0)</f>
        <v>0</v>
      </c>
    </row>
    <row r="52" spans="2:5" x14ac:dyDescent="0.25">
      <c r="C52">
        <v>557</v>
      </c>
      <c r="D52" t="s">
        <v>473</v>
      </c>
      <c r="E52" s="4">
        <f>HLOOKUP($D$4,'6.1 Investissements'!$E$3:$BE$185,47,0)</f>
        <v>0</v>
      </c>
    </row>
    <row r="53" spans="2:5" x14ac:dyDescent="0.25">
      <c r="C53">
        <v>558</v>
      </c>
      <c r="D53" t="s">
        <v>474</v>
      </c>
      <c r="E53" s="4">
        <f>HLOOKUP($D$4,'6.1 Investissements'!$E$3:$BE$185,48,0)</f>
        <v>0</v>
      </c>
    </row>
    <row r="55" spans="2:5" x14ac:dyDescent="0.25">
      <c r="B55" s="56">
        <v>56</v>
      </c>
      <c r="C55" s="56"/>
      <c r="D55" s="56" t="s">
        <v>475</v>
      </c>
      <c r="E55" s="57">
        <f>SUM(E56:E64)</f>
        <v>0</v>
      </c>
    </row>
    <row r="56" spans="2:5" x14ac:dyDescent="0.25">
      <c r="C56">
        <v>560</v>
      </c>
      <c r="D56" t="s">
        <v>466</v>
      </c>
      <c r="E56" s="4">
        <f>HLOOKUP($D$4,'6.1 Investissements'!$E$3:$BE$185,51,0)</f>
        <v>0</v>
      </c>
    </row>
    <row r="57" spans="2:5" x14ac:dyDescent="0.25">
      <c r="C57">
        <v>561</v>
      </c>
      <c r="D57" t="s">
        <v>467</v>
      </c>
      <c r="E57" s="4">
        <f>HLOOKUP($D$4,'6.1 Investissements'!$E$3:$BE$185,52,0)</f>
        <v>0</v>
      </c>
    </row>
    <row r="58" spans="2:5" x14ac:dyDescent="0.25">
      <c r="C58">
        <v>562</v>
      </c>
      <c r="D58" t="s">
        <v>468</v>
      </c>
      <c r="E58" s="4">
        <f>HLOOKUP($D$4,'6.1 Investissements'!$E$3:$BE$185,53,0)</f>
        <v>0</v>
      </c>
    </row>
    <row r="59" spans="2:5" x14ac:dyDescent="0.25">
      <c r="C59">
        <v>563</v>
      </c>
      <c r="D59" t="s">
        <v>469</v>
      </c>
      <c r="E59" s="4">
        <f>HLOOKUP($D$4,'6.1 Investissements'!$E$3:$BE$185,54,0)</f>
        <v>0</v>
      </c>
    </row>
    <row r="60" spans="2:5" x14ac:dyDescent="0.25">
      <c r="C60">
        <v>564</v>
      </c>
      <c r="D60" t="s">
        <v>470</v>
      </c>
      <c r="E60" s="4">
        <f>HLOOKUP($D$4,'6.1 Investissements'!$E$3:$BE$185,55,0)</f>
        <v>0</v>
      </c>
    </row>
    <row r="61" spans="2:5" x14ac:dyDescent="0.25">
      <c r="C61">
        <v>565</v>
      </c>
      <c r="D61" t="s">
        <v>471</v>
      </c>
      <c r="E61" s="4">
        <f>HLOOKUP($D$4,'6.1 Investissements'!$E$3:$BE$185,56,0)</f>
        <v>0</v>
      </c>
    </row>
    <row r="62" spans="2:5" x14ac:dyDescent="0.25">
      <c r="C62">
        <v>566</v>
      </c>
      <c r="D62" t="s">
        <v>472</v>
      </c>
      <c r="E62" s="4">
        <f>HLOOKUP($D$4,'6.1 Investissements'!$E$3:$BE$185,57,0)</f>
        <v>0</v>
      </c>
    </row>
    <row r="63" spans="2:5" x14ac:dyDescent="0.25">
      <c r="C63">
        <v>567</v>
      </c>
      <c r="D63" t="s">
        <v>473</v>
      </c>
      <c r="E63" s="4">
        <f>HLOOKUP($D$4,'6.1 Investissements'!$E$3:$BE$185,58,0)</f>
        <v>0</v>
      </c>
    </row>
    <row r="64" spans="2:5" x14ac:dyDescent="0.25">
      <c r="C64">
        <v>568</v>
      </c>
      <c r="D64" t="s">
        <v>474</v>
      </c>
      <c r="E64" s="4">
        <f>HLOOKUP($D$4,'6.1 Investissements'!$E$3:$BE$185,59,0)</f>
        <v>0</v>
      </c>
    </row>
    <row r="66" spans="2:5" x14ac:dyDescent="0.25">
      <c r="B66" s="56">
        <v>57</v>
      </c>
      <c r="C66" s="56"/>
      <c r="D66" s="56" t="s">
        <v>476</v>
      </c>
      <c r="E66" s="57">
        <f>SUM(E67:E75)</f>
        <v>0</v>
      </c>
    </row>
    <row r="67" spans="2:5" x14ac:dyDescent="0.25">
      <c r="C67">
        <v>570</v>
      </c>
      <c r="D67" t="s">
        <v>466</v>
      </c>
      <c r="E67" s="4">
        <f>HLOOKUP($D$4,'6.1 Investissements'!$E$3:$BE$185,62,0)</f>
        <v>0</v>
      </c>
    </row>
    <row r="68" spans="2:5" x14ac:dyDescent="0.25">
      <c r="C68">
        <v>571</v>
      </c>
      <c r="D68" t="s">
        <v>467</v>
      </c>
      <c r="E68" s="4">
        <f>HLOOKUP($D$4,'6.1 Investissements'!$E$3:$BE$185,63,0)</f>
        <v>0</v>
      </c>
    </row>
    <row r="69" spans="2:5" x14ac:dyDescent="0.25">
      <c r="C69">
        <v>572</v>
      </c>
      <c r="D69" t="s">
        <v>468</v>
      </c>
      <c r="E69" s="4">
        <f>HLOOKUP($D$4,'6.1 Investissements'!$E$3:$BE$185,64,0)</f>
        <v>0</v>
      </c>
    </row>
    <row r="70" spans="2:5" x14ac:dyDescent="0.25">
      <c r="C70">
        <v>573</v>
      </c>
      <c r="D70" t="s">
        <v>469</v>
      </c>
      <c r="E70" s="4">
        <f>HLOOKUP($D$4,'6.1 Investissements'!$E$3:$BE$185,65,0)</f>
        <v>0</v>
      </c>
    </row>
    <row r="71" spans="2:5" x14ac:dyDescent="0.25">
      <c r="C71">
        <v>574</v>
      </c>
      <c r="D71" t="s">
        <v>470</v>
      </c>
      <c r="E71" s="4">
        <f>HLOOKUP($D$4,'6.1 Investissements'!$E$3:$BE$185,66,0)</f>
        <v>0</v>
      </c>
    </row>
    <row r="72" spans="2:5" x14ac:dyDescent="0.25">
      <c r="C72">
        <v>575</v>
      </c>
      <c r="D72" t="s">
        <v>471</v>
      </c>
      <c r="E72" s="4">
        <f>HLOOKUP($D$4,'6.1 Investissements'!$E$3:$BE$185,67,0)</f>
        <v>0</v>
      </c>
    </row>
    <row r="73" spans="2:5" x14ac:dyDescent="0.25">
      <c r="C73">
        <v>576</v>
      </c>
      <c r="D73" t="s">
        <v>472</v>
      </c>
      <c r="E73" s="4">
        <f>HLOOKUP($D$4,'6.1 Investissements'!$E$3:$BE$185,68,0)</f>
        <v>0</v>
      </c>
    </row>
    <row r="74" spans="2:5" x14ac:dyDescent="0.25">
      <c r="C74">
        <v>577</v>
      </c>
      <c r="D74" t="s">
        <v>473</v>
      </c>
      <c r="E74" s="4">
        <f>HLOOKUP($D$4,'6.1 Investissements'!$E$3:$BE$185,69,0)</f>
        <v>0</v>
      </c>
    </row>
    <row r="75" spans="2:5" x14ac:dyDescent="0.25">
      <c r="C75">
        <v>578</v>
      </c>
      <c r="D75" t="s">
        <v>474</v>
      </c>
      <c r="E75" s="4">
        <f>HLOOKUP($D$4,'6.1 Investissements'!$E$3:$BE$185,70,0)</f>
        <v>0</v>
      </c>
    </row>
    <row r="77" spans="2:5" x14ac:dyDescent="0.25">
      <c r="B77" s="56">
        <v>58</v>
      </c>
      <c r="C77" s="56"/>
      <c r="D77" s="56" t="s">
        <v>477</v>
      </c>
      <c r="E77" s="57">
        <f>SUM(E78:E83)</f>
        <v>0</v>
      </c>
    </row>
    <row r="78" spans="2:5" x14ac:dyDescent="0.25">
      <c r="C78">
        <v>580</v>
      </c>
      <c r="D78" t="s">
        <v>454</v>
      </c>
      <c r="E78" s="4">
        <f>HLOOKUP($D$4,'6.1 Investissements'!$E$3:$BE$185,73,0)</f>
        <v>0</v>
      </c>
    </row>
    <row r="79" spans="2:5" x14ac:dyDescent="0.25">
      <c r="C79">
        <v>582</v>
      </c>
      <c r="D79" t="s">
        <v>464</v>
      </c>
      <c r="E79" s="4">
        <f>HLOOKUP($D$4,'6.1 Investissements'!$E$3:$BE$185,74,0)</f>
        <v>0</v>
      </c>
    </row>
    <row r="80" spans="2:5" x14ac:dyDescent="0.25">
      <c r="C80">
        <v>584</v>
      </c>
      <c r="D80" t="s">
        <v>250</v>
      </c>
      <c r="E80" s="4">
        <f>HLOOKUP($D$4,'6.1 Investissements'!$E$3:$BE$185,75,0)</f>
        <v>0</v>
      </c>
    </row>
    <row r="81" spans="1:5" x14ac:dyDescent="0.25">
      <c r="C81">
        <v>585</v>
      </c>
      <c r="D81" t="s">
        <v>379</v>
      </c>
      <c r="E81" s="4">
        <f>HLOOKUP($D$4,'6.1 Investissements'!$E$3:$BE$185,76,0)</f>
        <v>0</v>
      </c>
    </row>
    <row r="82" spans="1:5" x14ac:dyDescent="0.25">
      <c r="C82">
        <v>586</v>
      </c>
      <c r="D82" t="s">
        <v>478</v>
      </c>
      <c r="E82" s="4">
        <f>HLOOKUP($D$4,'6.1 Investissements'!$E$3:$BE$185,77,0)</f>
        <v>0</v>
      </c>
    </row>
    <row r="83" spans="1:5" x14ac:dyDescent="0.25">
      <c r="C83">
        <v>589</v>
      </c>
      <c r="D83" t="s">
        <v>479</v>
      </c>
      <c r="E83" s="4">
        <f>HLOOKUP($D$4,'6.1 Investissements'!$E$3:$BE$185,78,0)</f>
        <v>0</v>
      </c>
    </row>
    <row r="85" spans="1:5" x14ac:dyDescent="0.25">
      <c r="B85" s="56">
        <v>59</v>
      </c>
      <c r="C85" s="56"/>
      <c r="D85" s="56" t="s">
        <v>480</v>
      </c>
      <c r="E85" s="57">
        <f>SUM(E86)</f>
        <v>0</v>
      </c>
    </row>
    <row r="86" spans="1:5" x14ac:dyDescent="0.25">
      <c r="C86">
        <v>590</v>
      </c>
      <c r="D86" t="s">
        <v>480</v>
      </c>
      <c r="E86" s="4">
        <f>HLOOKUP($D$4,'6.1 Investissements'!$E$3:$BE$185,81,0)</f>
        <v>0</v>
      </c>
    </row>
    <row r="90" spans="1:5" ht="21" x14ac:dyDescent="0.35">
      <c r="A90" s="86">
        <v>6</v>
      </c>
      <c r="B90" s="86"/>
      <c r="C90" s="86"/>
      <c r="D90" s="86" t="s">
        <v>481</v>
      </c>
      <c r="E90" s="153">
        <f>HLOOKUP($D$4,'6.1 Investissements'!$E$3:$BE$185,85,0)</f>
        <v>0</v>
      </c>
    </row>
    <row r="91" spans="1:5" x14ac:dyDescent="0.25">
      <c r="A91" s="7"/>
      <c r="B91" s="87">
        <v>60</v>
      </c>
      <c r="C91" s="87"/>
      <c r="D91" s="87" t="s">
        <v>482</v>
      </c>
      <c r="E91" s="85">
        <f>SUM(E92:E99)</f>
        <v>0</v>
      </c>
    </row>
    <row r="92" spans="1:5" x14ac:dyDescent="0.25">
      <c r="C92">
        <v>600</v>
      </c>
      <c r="D92" t="s">
        <v>456</v>
      </c>
      <c r="E92" s="4">
        <f>HLOOKUP($D$4,'6.1 Investissements'!$E$3:$BE$185,87,0)</f>
        <v>0</v>
      </c>
    </row>
    <row r="93" spans="1:5" x14ac:dyDescent="0.25">
      <c r="C93">
        <v>601</v>
      </c>
      <c r="D93" t="s">
        <v>457</v>
      </c>
      <c r="E93" s="4">
        <f>HLOOKUP($D$4,'6.1 Investissements'!$E$3:$BE$185,88,0)</f>
        <v>0</v>
      </c>
    </row>
    <row r="94" spans="1:5" x14ac:dyDescent="0.25">
      <c r="C94">
        <v>602</v>
      </c>
      <c r="D94" t="s">
        <v>458</v>
      </c>
      <c r="E94" s="4">
        <f>HLOOKUP($D$4,'6.1 Investissements'!$E$3:$BE$185,89,0)</f>
        <v>0</v>
      </c>
    </row>
    <row r="95" spans="1:5" x14ac:dyDescent="0.25">
      <c r="C95">
        <v>603</v>
      </c>
      <c r="D95" t="s">
        <v>459</v>
      </c>
      <c r="E95" s="4">
        <f>HLOOKUP($D$4,'6.1 Investissements'!$E$3:$BE$185,90,0)</f>
        <v>0</v>
      </c>
    </row>
    <row r="96" spans="1:5" x14ac:dyDescent="0.25">
      <c r="C96">
        <v>604</v>
      </c>
      <c r="D96" t="s">
        <v>460</v>
      </c>
      <c r="E96" s="4">
        <f>HLOOKUP($D$4,'6.1 Investissements'!$E$3:$BE$185,91,0)</f>
        <v>0</v>
      </c>
    </row>
    <row r="97" spans="2:5" x14ac:dyDescent="0.25">
      <c r="C97">
        <v>605</v>
      </c>
      <c r="D97" t="s">
        <v>461</v>
      </c>
      <c r="E97" s="4">
        <f>HLOOKUP($D$4,'6.1 Investissements'!$E$3:$BE$185,92,0)</f>
        <v>0</v>
      </c>
    </row>
    <row r="98" spans="2:5" x14ac:dyDescent="0.25">
      <c r="C98">
        <v>606</v>
      </c>
      <c r="D98" t="s">
        <v>462</v>
      </c>
      <c r="E98" s="4">
        <f>HLOOKUP($D$4,'6.1 Investissements'!$E$3:$BE$185,93,0)</f>
        <v>0</v>
      </c>
    </row>
    <row r="99" spans="2:5" x14ac:dyDescent="0.25">
      <c r="C99">
        <v>609</v>
      </c>
      <c r="D99" t="s">
        <v>463</v>
      </c>
      <c r="E99" s="4">
        <f>HLOOKUP($D$4,'6.1 Investissements'!$E$3:$BE$185,94,0)</f>
        <v>0</v>
      </c>
    </row>
    <row r="101" spans="2:5" x14ac:dyDescent="0.25">
      <c r="B101" s="87">
        <v>61</v>
      </c>
      <c r="C101" s="87"/>
      <c r="D101" s="87" t="s">
        <v>483</v>
      </c>
      <c r="E101" s="85">
        <f>SUM(E102:E109)</f>
        <v>0</v>
      </c>
    </row>
    <row r="102" spans="2:5" x14ac:dyDescent="0.25">
      <c r="C102">
        <v>610</v>
      </c>
      <c r="D102" t="s">
        <v>456</v>
      </c>
      <c r="E102" s="4">
        <f>HLOOKUP($D$4,'6.1 Investissements'!$E$3:$BE$185,97,0)</f>
        <v>0</v>
      </c>
    </row>
    <row r="103" spans="2:5" x14ac:dyDescent="0.25">
      <c r="C103">
        <v>611</v>
      </c>
      <c r="D103" t="s">
        <v>457</v>
      </c>
      <c r="E103" s="4">
        <f>HLOOKUP($D$4,'6.1 Investissements'!$E$3:$BE$185,98,0)</f>
        <v>0</v>
      </c>
    </row>
    <row r="104" spans="2:5" x14ac:dyDescent="0.25">
      <c r="C104">
        <v>612</v>
      </c>
      <c r="D104" t="s">
        <v>458</v>
      </c>
      <c r="E104" s="4">
        <f>HLOOKUP($D$4,'6.1 Investissements'!$E$3:$BE$185,99,0)</f>
        <v>0</v>
      </c>
    </row>
    <row r="105" spans="2:5" x14ac:dyDescent="0.25">
      <c r="C105">
        <v>613</v>
      </c>
      <c r="D105" t="s">
        <v>459</v>
      </c>
      <c r="E105" s="4">
        <f>HLOOKUP($D$4,'6.1 Investissements'!$E$3:$BE$185,100,0)</f>
        <v>0</v>
      </c>
    </row>
    <row r="106" spans="2:5" x14ac:dyDescent="0.25">
      <c r="C106">
        <v>614</v>
      </c>
      <c r="D106" t="s">
        <v>460</v>
      </c>
      <c r="E106" s="4">
        <f>HLOOKUP($D$4,'6.1 Investissements'!$E$3:$BE$185,101,0)</f>
        <v>0</v>
      </c>
    </row>
    <row r="107" spans="2:5" x14ac:dyDescent="0.25">
      <c r="C107">
        <v>615</v>
      </c>
      <c r="D107" t="s">
        <v>461</v>
      </c>
      <c r="E107" s="4">
        <f>HLOOKUP($D$4,'6.1 Investissements'!$E$3:$BE$185,102,0)</f>
        <v>0</v>
      </c>
    </row>
    <row r="108" spans="2:5" x14ac:dyDescent="0.25">
      <c r="C108">
        <v>616</v>
      </c>
      <c r="D108" t="s">
        <v>462</v>
      </c>
      <c r="E108" s="4">
        <f>HLOOKUP($D$4,'6.1 Investissements'!$E$3:$BE$185,103,0)</f>
        <v>0</v>
      </c>
    </row>
    <row r="109" spans="2:5" x14ac:dyDescent="0.25">
      <c r="C109">
        <v>619</v>
      </c>
      <c r="D109" t="s">
        <v>463</v>
      </c>
      <c r="E109" s="4">
        <f>HLOOKUP($D$4,'6.1 Investissements'!$E$3:$BE$185,104,0)</f>
        <v>0</v>
      </c>
    </row>
    <row r="111" spans="2:5" x14ac:dyDescent="0.25">
      <c r="B111" s="87">
        <v>62</v>
      </c>
      <c r="C111" s="87"/>
      <c r="D111" s="87" t="s">
        <v>484</v>
      </c>
      <c r="E111" s="85">
        <f>SUM(E112:E114)</f>
        <v>0</v>
      </c>
    </row>
    <row r="112" spans="2:5" x14ac:dyDescent="0.25">
      <c r="C112">
        <v>620</v>
      </c>
      <c r="D112" t="s">
        <v>366</v>
      </c>
      <c r="E112" s="4">
        <f>HLOOKUP($D$4,'6.1 Investissements'!$E$3:$BE$185,107,0)</f>
        <v>0</v>
      </c>
    </row>
    <row r="113" spans="2:5" x14ac:dyDescent="0.25">
      <c r="C113">
        <v>621</v>
      </c>
      <c r="D113" t="s">
        <v>367</v>
      </c>
      <c r="E113" s="4">
        <f>HLOOKUP($D$4,'6.1 Investissements'!$E$3:$BE$185,108,0)</f>
        <v>0</v>
      </c>
    </row>
    <row r="114" spans="2:5" x14ac:dyDescent="0.25">
      <c r="C114">
        <v>629</v>
      </c>
      <c r="D114" t="s">
        <v>465</v>
      </c>
      <c r="E114" s="4">
        <f>HLOOKUP($D$4,'6.1 Investissements'!$E$3:$BE$185,109,0)</f>
        <v>0</v>
      </c>
    </row>
    <row r="116" spans="2:5" x14ac:dyDescent="0.25">
      <c r="B116" s="87">
        <v>63</v>
      </c>
      <c r="C116" s="87"/>
      <c r="D116" s="87" t="s">
        <v>485</v>
      </c>
      <c r="E116" s="85">
        <f>SUM(E117:E125)</f>
        <v>0</v>
      </c>
    </row>
    <row r="117" spans="2:5" x14ac:dyDescent="0.25">
      <c r="C117">
        <v>630</v>
      </c>
      <c r="D117" t="s">
        <v>466</v>
      </c>
      <c r="E117" s="4">
        <f>HLOOKUP($D$4,'6.1 Investissements'!$E$3:$BE$185,112,0)</f>
        <v>0</v>
      </c>
    </row>
    <row r="118" spans="2:5" x14ac:dyDescent="0.25">
      <c r="C118">
        <v>631</v>
      </c>
      <c r="D118" t="s">
        <v>467</v>
      </c>
      <c r="E118" s="4">
        <f>HLOOKUP($D$4,'6.1 Investissements'!$E$3:$BE$185,113,0)</f>
        <v>0</v>
      </c>
    </row>
    <row r="119" spans="2:5" x14ac:dyDescent="0.25">
      <c r="C119">
        <v>632</v>
      </c>
      <c r="D119" t="s">
        <v>468</v>
      </c>
      <c r="E119" s="4">
        <f>HLOOKUP($D$4,'6.1 Investissements'!$E$3:$BE$185,114,0)</f>
        <v>0</v>
      </c>
    </row>
    <row r="120" spans="2:5" x14ac:dyDescent="0.25">
      <c r="C120">
        <v>633</v>
      </c>
      <c r="D120" t="s">
        <v>469</v>
      </c>
      <c r="E120" s="4">
        <f>HLOOKUP($D$4,'6.1 Investissements'!$E$3:$BE$185,115,0)</f>
        <v>0</v>
      </c>
    </row>
    <row r="121" spans="2:5" x14ac:dyDescent="0.25">
      <c r="C121">
        <v>634</v>
      </c>
      <c r="D121" t="s">
        <v>470</v>
      </c>
      <c r="E121" s="4">
        <f>HLOOKUP($D$4,'6.1 Investissements'!$E$3:$BE$185,116,0)</f>
        <v>0</v>
      </c>
    </row>
    <row r="122" spans="2:5" x14ac:dyDescent="0.25">
      <c r="C122">
        <v>635</v>
      </c>
      <c r="D122" t="s">
        <v>471</v>
      </c>
      <c r="E122" s="4">
        <f>HLOOKUP($D$4,'6.1 Investissements'!$E$3:$BE$185,117,0)</f>
        <v>0</v>
      </c>
    </row>
    <row r="123" spans="2:5" x14ac:dyDescent="0.25">
      <c r="C123">
        <v>636</v>
      </c>
      <c r="D123" t="s">
        <v>472</v>
      </c>
      <c r="E123" s="4">
        <f>HLOOKUP($D$4,'6.1 Investissements'!$E$3:$BE$185,118,0)</f>
        <v>0</v>
      </c>
    </row>
    <row r="124" spans="2:5" x14ac:dyDescent="0.25">
      <c r="C124">
        <v>637</v>
      </c>
      <c r="D124" t="s">
        <v>473</v>
      </c>
      <c r="E124" s="4">
        <f>HLOOKUP($D$4,'6.1 Investissements'!$E$3:$BE$185,119,0)</f>
        <v>0</v>
      </c>
    </row>
    <row r="125" spans="2:5" x14ac:dyDescent="0.25">
      <c r="C125">
        <v>638</v>
      </c>
      <c r="D125" t="s">
        <v>474</v>
      </c>
      <c r="E125" s="4">
        <f>HLOOKUP($D$4,'6.1 Investissements'!$E$3:$BE$185,120,0)</f>
        <v>0</v>
      </c>
    </row>
    <row r="127" spans="2:5" x14ac:dyDescent="0.25">
      <c r="B127" s="87">
        <v>64</v>
      </c>
      <c r="C127" s="87"/>
      <c r="D127" s="87" t="s">
        <v>486</v>
      </c>
      <c r="E127" s="85">
        <f>SUM(E128:E136)</f>
        <v>0</v>
      </c>
    </row>
    <row r="128" spans="2:5" x14ac:dyDescent="0.25">
      <c r="C128">
        <v>640</v>
      </c>
      <c r="D128" t="s">
        <v>466</v>
      </c>
      <c r="E128" s="4">
        <f>HLOOKUP($D$4,'6.1 Investissements'!$E$3:$BE$185,123,0)</f>
        <v>0</v>
      </c>
    </row>
    <row r="129" spans="2:5" x14ac:dyDescent="0.25">
      <c r="C129">
        <v>641</v>
      </c>
      <c r="D129" t="s">
        <v>467</v>
      </c>
      <c r="E129" s="4">
        <f>HLOOKUP($D$4,'6.1 Investissements'!$E$3:$BE$185,124,0)</f>
        <v>0</v>
      </c>
    </row>
    <row r="130" spans="2:5" x14ac:dyDescent="0.25">
      <c r="C130">
        <v>642</v>
      </c>
      <c r="D130" t="s">
        <v>468</v>
      </c>
      <c r="E130" s="4">
        <f>HLOOKUP($D$4,'6.1 Investissements'!$E$3:$BE$185,125,0)</f>
        <v>0</v>
      </c>
    </row>
    <row r="131" spans="2:5" x14ac:dyDescent="0.25">
      <c r="C131">
        <v>643</v>
      </c>
      <c r="D131" t="s">
        <v>469</v>
      </c>
      <c r="E131" s="4">
        <f>HLOOKUP($D$4,'6.1 Investissements'!$E$3:$BE$185,126,0)</f>
        <v>0</v>
      </c>
    </row>
    <row r="132" spans="2:5" x14ac:dyDescent="0.25">
      <c r="C132">
        <v>644</v>
      </c>
      <c r="D132" t="s">
        <v>470</v>
      </c>
      <c r="E132" s="4">
        <f>HLOOKUP($D$4,'6.1 Investissements'!$E$3:$BE$185,127,0)</f>
        <v>0</v>
      </c>
    </row>
    <row r="133" spans="2:5" x14ac:dyDescent="0.25">
      <c r="C133">
        <v>645</v>
      </c>
      <c r="D133" t="s">
        <v>471</v>
      </c>
      <c r="E133" s="4">
        <f>HLOOKUP($D$4,'6.1 Investissements'!$E$3:$BE$185,128,0)</f>
        <v>0</v>
      </c>
    </row>
    <row r="134" spans="2:5" x14ac:dyDescent="0.25">
      <c r="C134">
        <v>646</v>
      </c>
      <c r="D134" t="s">
        <v>472</v>
      </c>
      <c r="E134" s="4">
        <f>HLOOKUP($D$4,'6.1 Investissements'!$E$3:$BE$185,129,0)</f>
        <v>0</v>
      </c>
    </row>
    <row r="135" spans="2:5" x14ac:dyDescent="0.25">
      <c r="C135">
        <v>647</v>
      </c>
      <c r="D135" t="s">
        <v>473</v>
      </c>
      <c r="E135" s="4">
        <f>HLOOKUP($D$4,'6.1 Investissements'!$E$3:$BE$185,130,0)</f>
        <v>0</v>
      </c>
    </row>
    <row r="136" spans="2:5" x14ac:dyDescent="0.25">
      <c r="C136">
        <v>648</v>
      </c>
      <c r="D136" t="s">
        <v>474</v>
      </c>
      <c r="E136" s="4">
        <f>HLOOKUP($D$4,'6.1 Investissements'!$E$3:$BE$185,131,0)</f>
        <v>0</v>
      </c>
    </row>
    <row r="138" spans="2:5" x14ac:dyDescent="0.25">
      <c r="B138" s="87">
        <v>65</v>
      </c>
      <c r="C138" s="87"/>
      <c r="D138" s="87" t="s">
        <v>487</v>
      </c>
      <c r="E138" s="85">
        <f>SUM(E139:E147)</f>
        <v>0</v>
      </c>
    </row>
    <row r="139" spans="2:5" x14ac:dyDescent="0.25">
      <c r="C139">
        <v>650</v>
      </c>
      <c r="D139" t="s">
        <v>466</v>
      </c>
      <c r="E139" s="4">
        <f>HLOOKUP($D$4,'6.1 Investissements'!$E$3:$BE$185,134,0)</f>
        <v>0</v>
      </c>
    </row>
    <row r="140" spans="2:5" x14ac:dyDescent="0.25">
      <c r="C140">
        <v>651</v>
      </c>
      <c r="D140" t="s">
        <v>467</v>
      </c>
      <c r="E140" s="4">
        <f>HLOOKUP($D$4,'6.1 Investissements'!$E$3:$BE$185,135,0)</f>
        <v>0</v>
      </c>
    </row>
    <row r="141" spans="2:5" x14ac:dyDescent="0.25">
      <c r="C141">
        <v>652</v>
      </c>
      <c r="D141" t="s">
        <v>468</v>
      </c>
      <c r="E141" s="4">
        <f>HLOOKUP($D$4,'6.1 Investissements'!$E$3:$BE$185,136,0)</f>
        <v>0</v>
      </c>
    </row>
    <row r="142" spans="2:5" x14ac:dyDescent="0.25">
      <c r="C142">
        <v>653</v>
      </c>
      <c r="D142" t="s">
        <v>469</v>
      </c>
      <c r="E142" s="4">
        <f>HLOOKUP($D$4,'6.1 Investissements'!$E$3:$BE$185,137,0)</f>
        <v>0</v>
      </c>
    </row>
    <row r="143" spans="2:5" x14ac:dyDescent="0.25">
      <c r="C143">
        <v>654</v>
      </c>
      <c r="D143" t="s">
        <v>470</v>
      </c>
      <c r="E143" s="4">
        <f>HLOOKUP($D$4,'6.1 Investissements'!$E$3:$BE$185,138,0)</f>
        <v>0</v>
      </c>
    </row>
    <row r="144" spans="2:5" x14ac:dyDescent="0.25">
      <c r="C144">
        <v>655</v>
      </c>
      <c r="D144" t="s">
        <v>471</v>
      </c>
      <c r="E144" s="4">
        <f>HLOOKUP($D$4,'6.1 Investissements'!$E$3:$BE$185,139,0)</f>
        <v>0</v>
      </c>
    </row>
    <row r="145" spans="2:5" x14ac:dyDescent="0.25">
      <c r="C145">
        <v>656</v>
      </c>
      <c r="D145" t="s">
        <v>472</v>
      </c>
      <c r="E145" s="4">
        <f>HLOOKUP($D$4,'6.1 Investissements'!$E$3:$BE$185,140,0)</f>
        <v>0</v>
      </c>
    </row>
    <row r="146" spans="2:5" x14ac:dyDescent="0.25">
      <c r="C146">
        <v>657</v>
      </c>
      <c r="D146" t="s">
        <v>473</v>
      </c>
      <c r="E146" s="4">
        <f>HLOOKUP($D$4,'6.1 Investissements'!$E$3:$BE$185,141,0)</f>
        <v>0</v>
      </c>
    </row>
    <row r="147" spans="2:5" x14ac:dyDescent="0.25">
      <c r="C147">
        <v>658</v>
      </c>
      <c r="D147" t="s">
        <v>474</v>
      </c>
      <c r="E147" s="4">
        <f>HLOOKUP($D$4,'6.1 Investissements'!$E$3:$BE$185,142,0)</f>
        <v>0</v>
      </c>
    </row>
    <row r="149" spans="2:5" x14ac:dyDescent="0.25">
      <c r="B149" s="87">
        <v>66</v>
      </c>
      <c r="C149" s="87"/>
      <c r="D149" s="87" t="s">
        <v>488</v>
      </c>
      <c r="E149" s="85">
        <f>SUM(E150:E158)</f>
        <v>0</v>
      </c>
    </row>
    <row r="150" spans="2:5" x14ac:dyDescent="0.25">
      <c r="C150">
        <v>660</v>
      </c>
      <c r="D150" t="s">
        <v>466</v>
      </c>
      <c r="E150" s="4">
        <f>HLOOKUP($D$4,'6.1 Investissements'!$E$3:$BE$185,145,0)</f>
        <v>0</v>
      </c>
    </row>
    <row r="151" spans="2:5" x14ac:dyDescent="0.25">
      <c r="C151">
        <v>661</v>
      </c>
      <c r="D151" t="s">
        <v>467</v>
      </c>
      <c r="E151" s="4">
        <f>HLOOKUP($D$4,'6.1 Investissements'!$E$3:$BE$185,146,0)</f>
        <v>0</v>
      </c>
    </row>
    <row r="152" spans="2:5" x14ac:dyDescent="0.25">
      <c r="C152">
        <v>662</v>
      </c>
      <c r="D152" t="s">
        <v>468</v>
      </c>
      <c r="E152" s="4">
        <f>HLOOKUP($D$4,'6.1 Investissements'!$E$3:$BE$185,147,0)</f>
        <v>0</v>
      </c>
    </row>
    <row r="153" spans="2:5" x14ac:dyDescent="0.25">
      <c r="C153">
        <v>663</v>
      </c>
      <c r="D153" t="s">
        <v>469</v>
      </c>
      <c r="E153" s="4">
        <f>HLOOKUP($D$4,'6.1 Investissements'!$E$3:$BE$185,148,0)</f>
        <v>0</v>
      </c>
    </row>
    <row r="154" spans="2:5" x14ac:dyDescent="0.25">
      <c r="C154">
        <v>664</v>
      </c>
      <c r="D154" t="s">
        <v>470</v>
      </c>
      <c r="E154" s="4">
        <f>HLOOKUP($D$4,'6.1 Investissements'!$E$3:$BE$185,149,0)</f>
        <v>0</v>
      </c>
    </row>
    <row r="155" spans="2:5" x14ac:dyDescent="0.25">
      <c r="C155">
        <v>665</v>
      </c>
      <c r="D155" t="s">
        <v>471</v>
      </c>
      <c r="E155" s="4">
        <f>HLOOKUP($D$4,'6.1 Investissements'!$E$3:$BE$185,150,0)</f>
        <v>0</v>
      </c>
    </row>
    <row r="156" spans="2:5" x14ac:dyDescent="0.25">
      <c r="C156">
        <v>666</v>
      </c>
      <c r="D156" t="s">
        <v>472</v>
      </c>
      <c r="E156" s="4">
        <f>HLOOKUP($D$4,'6.1 Investissements'!$E$3:$BE$185,151,0)</f>
        <v>0</v>
      </c>
    </row>
    <row r="157" spans="2:5" x14ac:dyDescent="0.25">
      <c r="C157">
        <v>667</v>
      </c>
      <c r="D157" t="s">
        <v>473</v>
      </c>
      <c r="E157" s="4">
        <f>HLOOKUP($D$4,'6.1 Investissements'!$E$3:$BE$185,152,0)</f>
        <v>0</v>
      </c>
    </row>
    <row r="158" spans="2:5" x14ac:dyDescent="0.25">
      <c r="C158">
        <v>668</v>
      </c>
      <c r="D158" t="s">
        <v>474</v>
      </c>
      <c r="E158" s="4">
        <f>HLOOKUP($D$4,'6.1 Investissements'!$E$3:$BE$185,153,0)</f>
        <v>0</v>
      </c>
    </row>
    <row r="160" spans="2:5" x14ac:dyDescent="0.25">
      <c r="B160" s="87">
        <v>67</v>
      </c>
      <c r="C160" s="87"/>
      <c r="D160" s="87" t="s">
        <v>476</v>
      </c>
      <c r="E160" s="85">
        <f>SUM(E161:E169)</f>
        <v>0</v>
      </c>
    </row>
    <row r="161" spans="2:5" x14ac:dyDescent="0.25">
      <c r="C161">
        <v>670</v>
      </c>
      <c r="D161" t="s">
        <v>466</v>
      </c>
      <c r="E161" s="4">
        <f>HLOOKUP($D$4,'6.1 Investissements'!$E$3:$BE$185,156,0)</f>
        <v>0</v>
      </c>
    </row>
    <row r="162" spans="2:5" x14ac:dyDescent="0.25">
      <c r="C162">
        <v>671</v>
      </c>
      <c r="D162" t="s">
        <v>467</v>
      </c>
      <c r="E162" s="4">
        <f>HLOOKUP($D$4,'6.1 Investissements'!$E$3:$BE$185,157,0)</f>
        <v>0</v>
      </c>
    </row>
    <row r="163" spans="2:5" x14ac:dyDescent="0.25">
      <c r="C163">
        <v>672</v>
      </c>
      <c r="D163" t="s">
        <v>468</v>
      </c>
      <c r="E163" s="4">
        <f>HLOOKUP($D$4,'6.1 Investissements'!$E$3:$BE$185,158,0)</f>
        <v>0</v>
      </c>
    </row>
    <row r="164" spans="2:5" x14ac:dyDescent="0.25">
      <c r="C164">
        <v>673</v>
      </c>
      <c r="D164" t="s">
        <v>469</v>
      </c>
      <c r="E164" s="4">
        <f>HLOOKUP($D$4,'6.1 Investissements'!$E$3:$BE$185,159,0)</f>
        <v>0</v>
      </c>
    </row>
    <row r="165" spans="2:5" x14ac:dyDescent="0.25">
      <c r="C165">
        <v>674</v>
      </c>
      <c r="D165" t="s">
        <v>470</v>
      </c>
      <c r="E165" s="4">
        <f>HLOOKUP($D$4,'6.1 Investissements'!$E$3:$BE$185,160,0)</f>
        <v>0</v>
      </c>
    </row>
    <row r="166" spans="2:5" x14ac:dyDescent="0.25">
      <c r="C166">
        <v>675</v>
      </c>
      <c r="D166" t="s">
        <v>471</v>
      </c>
      <c r="E166" s="4">
        <f>HLOOKUP($D$4,'6.1 Investissements'!$E$3:$BE$185,161,0)</f>
        <v>0</v>
      </c>
    </row>
    <row r="167" spans="2:5" x14ac:dyDescent="0.25">
      <c r="C167">
        <v>676</v>
      </c>
      <c r="D167" t="s">
        <v>472</v>
      </c>
      <c r="E167" s="4">
        <f>HLOOKUP($D$4,'6.1 Investissements'!$E$3:$BE$185,162,0)</f>
        <v>0</v>
      </c>
    </row>
    <row r="168" spans="2:5" x14ac:dyDescent="0.25">
      <c r="C168">
        <v>677</v>
      </c>
      <c r="D168" t="s">
        <v>473</v>
      </c>
      <c r="E168" s="4">
        <f>HLOOKUP($D$4,'6.1 Investissements'!$E$3:$BE$185,163,0)</f>
        <v>0</v>
      </c>
    </row>
    <row r="169" spans="2:5" x14ac:dyDescent="0.25">
      <c r="C169">
        <v>678</v>
      </c>
      <c r="D169" t="s">
        <v>474</v>
      </c>
      <c r="E169" s="4">
        <f>HLOOKUP($D$4,'6.1 Investissements'!$E$3:$BE$185,164,0)</f>
        <v>0</v>
      </c>
    </row>
    <row r="171" spans="2:5" x14ac:dyDescent="0.25">
      <c r="B171" s="87">
        <v>68</v>
      </c>
      <c r="C171" s="87"/>
      <c r="D171" s="87" t="s">
        <v>489</v>
      </c>
      <c r="E171" s="154">
        <f>SUM(E172:E178)</f>
        <v>0</v>
      </c>
    </row>
    <row r="172" spans="2:5" x14ac:dyDescent="0.25">
      <c r="C172">
        <v>680</v>
      </c>
      <c r="D172" t="s">
        <v>454</v>
      </c>
      <c r="E172" s="4">
        <f>HLOOKUP($D$4,'6.1 Investissements'!$E$3:$BE$185,167,0)</f>
        <v>0</v>
      </c>
    </row>
    <row r="173" spans="2:5" x14ac:dyDescent="0.25">
      <c r="C173">
        <v>682</v>
      </c>
      <c r="D173" t="s">
        <v>464</v>
      </c>
      <c r="E173" s="4">
        <f>HLOOKUP($D$4,'6.1 Investissements'!$E$3:$BE$185,168,0)</f>
        <v>0</v>
      </c>
    </row>
    <row r="174" spans="2:5" x14ac:dyDescent="0.25">
      <c r="C174">
        <v>683</v>
      </c>
      <c r="D174" t="s">
        <v>490</v>
      </c>
      <c r="E174" s="4">
        <f>HLOOKUP($D$4,'6.1 Investissements'!$E$3:$BE$185,169,0)</f>
        <v>0</v>
      </c>
    </row>
    <row r="175" spans="2:5" x14ac:dyDescent="0.25">
      <c r="C175">
        <v>684</v>
      </c>
      <c r="D175" t="s">
        <v>250</v>
      </c>
      <c r="E175" s="4">
        <f>HLOOKUP($D$4,'6.1 Investissements'!$E$3:$BE$185,170,0)</f>
        <v>0</v>
      </c>
    </row>
    <row r="176" spans="2:5" x14ac:dyDescent="0.25">
      <c r="C176">
        <v>685</v>
      </c>
      <c r="D176" t="s">
        <v>379</v>
      </c>
      <c r="E176" s="4">
        <f>HLOOKUP($D$4,'6.1 Investissements'!$E$3:$BE$185,171,0)</f>
        <v>0</v>
      </c>
    </row>
    <row r="177" spans="2:5" x14ac:dyDescent="0.25">
      <c r="C177">
        <v>686</v>
      </c>
      <c r="D177" t="s">
        <v>491</v>
      </c>
      <c r="E177" s="4">
        <f>HLOOKUP($D$4,'6.1 Investissements'!$E$3:$BE$185,172,0)</f>
        <v>0</v>
      </c>
    </row>
    <row r="178" spans="2:5" x14ac:dyDescent="0.25">
      <c r="C178">
        <v>689</v>
      </c>
      <c r="D178" t="s">
        <v>492</v>
      </c>
      <c r="E178" s="4">
        <f>HLOOKUP($D$4,'6.1 Investissements'!$E$3:$BE$185,173,0)</f>
        <v>0</v>
      </c>
    </row>
    <row r="180" spans="2:5" x14ac:dyDescent="0.25">
      <c r="B180" s="87">
        <v>69</v>
      </c>
      <c r="C180" s="87"/>
      <c r="D180" s="87" t="s">
        <v>493</v>
      </c>
      <c r="E180" s="85">
        <f>SUM(E181)</f>
        <v>104880.05</v>
      </c>
    </row>
    <row r="181" spans="2:5" x14ac:dyDescent="0.25">
      <c r="C181">
        <v>690</v>
      </c>
      <c r="D181" t="s">
        <v>493</v>
      </c>
      <c r="E181" s="4">
        <f>HLOOKUP($D$4,'6.1 Investissements'!$E$3:$BE$185,176,0)</f>
        <v>104880.05</v>
      </c>
    </row>
    <row r="185" spans="2:5" ht="18.75" x14ac:dyDescent="0.3">
      <c r="D185" s="155" t="s">
        <v>221</v>
      </c>
      <c r="E185" s="156">
        <f>HLOOKUP($D$4,'6.1 Investissements'!$E$3:$BE$185,180,0)</f>
        <v>104880.05</v>
      </c>
    </row>
  </sheetData>
  <pageMargins left="0.7" right="0.7" top="0.75" bottom="0.75" header="0.3" footer="0.3"/>
  <pageSetup paperSize="9" scale="2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B00-000000000000}">
          <x14:formula1>
            <xm:f>'6.1 Investissements'!$E$3:$BE$3</xm:f>
          </x14:formula1>
          <xm:sqref>D4</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5" tint="0.59999389629810485"/>
  </sheetPr>
  <dimension ref="A8:H102"/>
  <sheetViews>
    <sheetView workbookViewId="0">
      <selection activeCell="A27" sqref="A27:XFD27"/>
    </sheetView>
  </sheetViews>
  <sheetFormatPr baseColWidth="10" defaultColWidth="11.42578125" defaultRowHeight="15" x14ac:dyDescent="0.25"/>
  <cols>
    <col min="1" max="2" width="11.42578125" customWidth="1"/>
    <col min="3" max="3" width="14.85546875" customWidth="1"/>
    <col min="4" max="4" width="11.42578125" customWidth="1"/>
  </cols>
  <sheetData>
    <row r="8" spans="1:8" ht="18.75" x14ac:dyDescent="0.3">
      <c r="A8" s="157" t="s">
        <v>494</v>
      </c>
      <c r="B8" s="157"/>
      <c r="C8" s="157"/>
      <c r="D8" s="157"/>
      <c r="E8" s="157"/>
      <c r="F8" s="157"/>
      <c r="G8" s="157"/>
      <c r="H8" s="157"/>
    </row>
    <row r="10" spans="1:8" x14ac:dyDescent="0.25">
      <c r="A10" s="151" t="s">
        <v>644</v>
      </c>
    </row>
    <row r="12" spans="1:8" x14ac:dyDescent="0.25">
      <c r="A12" s="7" t="s">
        <v>495</v>
      </c>
    </row>
    <row r="14" spans="1:8" ht="90" customHeight="1" x14ac:dyDescent="0.25">
      <c r="A14" s="178" t="s">
        <v>645</v>
      </c>
      <c r="B14" s="179"/>
      <c r="C14" s="179"/>
      <c r="D14" s="179"/>
      <c r="E14" s="179"/>
      <c r="F14" s="179"/>
      <c r="G14" s="179"/>
      <c r="H14" s="180"/>
    </row>
    <row r="16" spans="1:8" x14ac:dyDescent="0.25">
      <c r="A16" s="3"/>
      <c r="B16" s="3" t="s">
        <v>646</v>
      </c>
      <c r="C16" s="3" t="s">
        <v>647</v>
      </c>
      <c r="D16" t="s">
        <v>648</v>
      </c>
    </row>
    <row r="17" spans="1:8" x14ac:dyDescent="0.25">
      <c r="C17" s="3" t="s">
        <v>649</v>
      </c>
      <c r="D17" t="s">
        <v>650</v>
      </c>
    </row>
    <row r="18" spans="1:8" x14ac:dyDescent="0.25">
      <c r="C18" s="3" t="s">
        <v>651</v>
      </c>
      <c r="D18" t="s">
        <v>652</v>
      </c>
    </row>
    <row r="19" spans="1:8" x14ac:dyDescent="0.25">
      <c r="C19" s="3" t="s">
        <v>653</v>
      </c>
      <c r="D19" t="s">
        <v>654</v>
      </c>
    </row>
    <row r="20" spans="1:8" x14ac:dyDescent="0.25">
      <c r="C20" s="3" t="s">
        <v>655</v>
      </c>
      <c r="D20" t="s">
        <v>656</v>
      </c>
    </row>
    <row r="22" spans="1:8" x14ac:dyDescent="0.25">
      <c r="A22" s="7" t="s">
        <v>506</v>
      </c>
    </row>
    <row r="24" spans="1:8" ht="90" customHeight="1" x14ac:dyDescent="0.25">
      <c r="A24" s="178" t="s">
        <v>657</v>
      </c>
      <c r="B24" s="179"/>
      <c r="C24" s="179"/>
      <c r="D24" s="179"/>
      <c r="E24" s="179"/>
      <c r="F24" s="179"/>
      <c r="G24" s="179"/>
      <c r="H24" s="180"/>
    </row>
    <row r="26" spans="1:8" x14ac:dyDescent="0.25">
      <c r="A26" s="3"/>
      <c r="B26" s="3" t="s">
        <v>658</v>
      </c>
      <c r="C26" s="3" t="s">
        <v>659</v>
      </c>
      <c r="D26" t="s">
        <v>660</v>
      </c>
    </row>
    <row r="27" spans="1:8" x14ac:dyDescent="0.25">
      <c r="C27" s="3" t="s">
        <v>661</v>
      </c>
      <c r="D27" t="s">
        <v>662</v>
      </c>
    </row>
    <row r="28" spans="1:8" x14ac:dyDescent="0.25">
      <c r="C28" s="3" t="s">
        <v>663</v>
      </c>
      <c r="D28" t="s">
        <v>664</v>
      </c>
    </row>
    <row r="30" spans="1:8" x14ac:dyDescent="0.25">
      <c r="A30" s="7" t="s">
        <v>569</v>
      </c>
    </row>
    <row r="32" spans="1:8" ht="90" customHeight="1" x14ac:dyDescent="0.25">
      <c r="A32" s="178" t="s">
        <v>665</v>
      </c>
      <c r="B32" s="179"/>
      <c r="C32" s="179"/>
      <c r="D32" s="179"/>
      <c r="E32" s="179"/>
      <c r="F32" s="179"/>
      <c r="G32" s="179"/>
      <c r="H32" s="180"/>
    </row>
    <row r="34" spans="1:8" x14ac:dyDescent="0.25">
      <c r="A34" s="3"/>
      <c r="B34" s="3" t="s">
        <v>658</v>
      </c>
      <c r="C34" s="3" t="s">
        <v>666</v>
      </c>
      <c r="D34" t="s">
        <v>667</v>
      </c>
    </row>
    <row r="35" spans="1:8" x14ac:dyDescent="0.25">
      <c r="C35" s="158" t="s">
        <v>668</v>
      </c>
      <c r="D35" t="s">
        <v>669</v>
      </c>
    </row>
    <row r="36" spans="1:8" x14ac:dyDescent="0.25">
      <c r="C36" s="3" t="s">
        <v>670</v>
      </c>
      <c r="D36" t="s">
        <v>671</v>
      </c>
    </row>
    <row r="37" spans="1:8" x14ac:dyDescent="0.25">
      <c r="C37" s="3" t="s">
        <v>672</v>
      </c>
      <c r="D37" t="s">
        <v>673</v>
      </c>
    </row>
    <row r="38" spans="1:8" x14ac:dyDescent="0.25">
      <c r="C38" s="3" t="s">
        <v>674</v>
      </c>
      <c r="D38" t="s">
        <v>675</v>
      </c>
    </row>
    <row r="40" spans="1:8" x14ac:dyDescent="0.25">
      <c r="A40" s="7" t="s">
        <v>570</v>
      </c>
    </row>
    <row r="42" spans="1:8" ht="90" customHeight="1" x14ac:dyDescent="0.25">
      <c r="A42" s="178" t="s">
        <v>676</v>
      </c>
      <c r="B42" s="179"/>
      <c r="C42" s="179"/>
      <c r="D42" s="179"/>
      <c r="E42" s="179"/>
      <c r="F42" s="179"/>
      <c r="G42" s="179"/>
      <c r="H42" s="180"/>
    </row>
    <row r="44" spans="1:8" x14ac:dyDescent="0.25">
      <c r="A44" s="3"/>
      <c r="B44" s="3" t="s">
        <v>658</v>
      </c>
    </row>
    <row r="45" spans="1:8" x14ac:dyDescent="0.25">
      <c r="C45" s="3" t="s">
        <v>677</v>
      </c>
      <c r="D45" t="s">
        <v>678</v>
      </c>
    </row>
    <row r="46" spans="1:8" x14ac:dyDescent="0.25">
      <c r="C46" s="3" t="s">
        <v>679</v>
      </c>
      <c r="D46" t="s">
        <v>680</v>
      </c>
    </row>
    <row r="47" spans="1:8" x14ac:dyDescent="0.25">
      <c r="C47" s="3" t="s">
        <v>681</v>
      </c>
      <c r="D47" t="s">
        <v>682</v>
      </c>
    </row>
    <row r="48" spans="1:8" x14ac:dyDescent="0.25">
      <c r="C48" s="3" t="s">
        <v>683</v>
      </c>
      <c r="D48" t="s">
        <v>684</v>
      </c>
    </row>
    <row r="49" spans="1:8" x14ac:dyDescent="0.25">
      <c r="C49" s="3" t="s">
        <v>685</v>
      </c>
      <c r="D49" t="s">
        <v>686</v>
      </c>
    </row>
    <row r="51" spans="1:8" x14ac:dyDescent="0.25">
      <c r="A51" s="7" t="s">
        <v>528</v>
      </c>
    </row>
    <row r="53" spans="1:8" ht="90" customHeight="1" x14ac:dyDescent="0.25">
      <c r="A53" s="178" t="s">
        <v>687</v>
      </c>
      <c r="B53" s="179"/>
      <c r="C53" s="179"/>
      <c r="D53" s="179"/>
      <c r="E53" s="179"/>
      <c r="F53" s="179"/>
      <c r="G53" s="179"/>
      <c r="H53" s="180"/>
    </row>
    <row r="55" spans="1:8" x14ac:dyDescent="0.25">
      <c r="A55" s="3"/>
      <c r="B55" s="3" t="s">
        <v>658</v>
      </c>
      <c r="C55" s="3" t="s">
        <v>688</v>
      </c>
      <c r="D55" t="s">
        <v>689</v>
      </c>
    </row>
    <row r="56" spans="1:8" x14ac:dyDescent="0.25">
      <c r="C56" s="3" t="s">
        <v>690</v>
      </c>
      <c r="D56" t="s">
        <v>691</v>
      </c>
    </row>
    <row r="57" spans="1:8" x14ac:dyDescent="0.25">
      <c r="C57" s="3" t="s">
        <v>692</v>
      </c>
      <c r="D57" t="s">
        <v>693</v>
      </c>
    </row>
    <row r="58" spans="1:8" x14ac:dyDescent="0.25">
      <c r="C58" s="3" t="s">
        <v>694</v>
      </c>
      <c r="D58" t="s">
        <v>695</v>
      </c>
    </row>
    <row r="60" spans="1:8" x14ac:dyDescent="0.25">
      <c r="A60" s="7" t="s">
        <v>571</v>
      </c>
    </row>
    <row r="62" spans="1:8" ht="90" customHeight="1" x14ac:dyDescent="0.25">
      <c r="A62" s="178" t="s">
        <v>696</v>
      </c>
      <c r="B62" s="179"/>
      <c r="C62" s="179"/>
      <c r="D62" s="179"/>
      <c r="E62" s="179"/>
      <c r="F62" s="179"/>
      <c r="G62" s="179"/>
      <c r="H62" s="180"/>
    </row>
    <row r="64" spans="1:8" x14ac:dyDescent="0.25">
      <c r="A64" s="3"/>
      <c r="B64" s="3" t="s">
        <v>658</v>
      </c>
      <c r="C64" s="159" t="s">
        <v>697</v>
      </c>
      <c r="D64" t="s">
        <v>698</v>
      </c>
    </row>
    <row r="65" spans="1:8" x14ac:dyDescent="0.25">
      <c r="C65" s="3" t="s">
        <v>699</v>
      </c>
      <c r="D65" t="s">
        <v>700</v>
      </c>
    </row>
    <row r="66" spans="1:8" x14ac:dyDescent="0.25">
      <c r="C66" s="3" t="s">
        <v>701</v>
      </c>
      <c r="D66" t="s">
        <v>702</v>
      </c>
    </row>
    <row r="67" spans="1:8" x14ac:dyDescent="0.25">
      <c r="C67" s="3" t="s">
        <v>703</v>
      </c>
      <c r="D67" t="s">
        <v>704</v>
      </c>
    </row>
    <row r="69" spans="1:8" x14ac:dyDescent="0.25">
      <c r="A69" s="7" t="s">
        <v>542</v>
      </c>
    </row>
    <row r="71" spans="1:8" ht="90" customHeight="1" x14ac:dyDescent="0.25">
      <c r="A71" s="178" t="s">
        <v>705</v>
      </c>
      <c r="B71" s="179"/>
      <c r="C71" s="179"/>
      <c r="D71" s="179"/>
      <c r="E71" s="179"/>
      <c r="F71" s="179"/>
      <c r="G71" s="179"/>
      <c r="H71" s="180"/>
    </row>
    <row r="73" spans="1:8" x14ac:dyDescent="0.25">
      <c r="A73" s="3"/>
      <c r="B73" s="3" t="s">
        <v>658</v>
      </c>
      <c r="C73" s="3" t="s">
        <v>706</v>
      </c>
      <c r="D73" t="s">
        <v>707</v>
      </c>
    </row>
    <row r="74" spans="1:8" x14ac:dyDescent="0.25">
      <c r="C74" s="3" t="s">
        <v>708</v>
      </c>
      <c r="D74" t="s">
        <v>709</v>
      </c>
    </row>
    <row r="75" spans="1:8" x14ac:dyDescent="0.25">
      <c r="C75" s="3" t="s">
        <v>710</v>
      </c>
      <c r="D75" t="s">
        <v>711</v>
      </c>
    </row>
    <row r="76" spans="1:8" x14ac:dyDescent="0.25">
      <c r="C76" s="3" t="s">
        <v>712</v>
      </c>
      <c r="D76" t="s">
        <v>713</v>
      </c>
    </row>
    <row r="77" spans="1:8" x14ac:dyDescent="0.25">
      <c r="C77" s="3" t="s">
        <v>714</v>
      </c>
      <c r="D77" t="s">
        <v>715</v>
      </c>
    </row>
    <row r="79" spans="1:8" x14ac:dyDescent="0.25">
      <c r="A79" s="7" t="s">
        <v>716</v>
      </c>
    </row>
    <row r="81" spans="1:8" ht="90" customHeight="1" x14ac:dyDescent="0.25">
      <c r="A81" s="178" t="s">
        <v>717</v>
      </c>
      <c r="B81" s="179"/>
      <c r="C81" s="179"/>
      <c r="D81" s="179"/>
      <c r="E81" s="179"/>
      <c r="F81" s="179"/>
      <c r="G81" s="179"/>
      <c r="H81" s="180"/>
    </row>
    <row r="83" spans="1:8" x14ac:dyDescent="0.25">
      <c r="A83" s="3"/>
      <c r="B83" s="3" t="s">
        <v>658</v>
      </c>
      <c r="C83" s="3" t="s">
        <v>718</v>
      </c>
      <c r="D83" t="s">
        <v>719</v>
      </c>
    </row>
    <row r="84" spans="1:8" x14ac:dyDescent="0.25">
      <c r="C84" s="3" t="s">
        <v>720</v>
      </c>
      <c r="D84" t="s">
        <v>721</v>
      </c>
    </row>
    <row r="85" spans="1:8" x14ac:dyDescent="0.25">
      <c r="C85" s="3" t="s">
        <v>722</v>
      </c>
      <c r="D85" t="s">
        <v>723</v>
      </c>
    </row>
    <row r="87" spans="1:8" x14ac:dyDescent="0.25">
      <c r="A87" s="7" t="s">
        <v>550</v>
      </c>
    </row>
    <row r="89" spans="1:8" ht="90" customHeight="1" x14ac:dyDescent="0.25">
      <c r="A89" s="178" t="s">
        <v>724</v>
      </c>
      <c r="B89" s="179"/>
      <c r="C89" s="179"/>
      <c r="D89" s="179"/>
      <c r="E89" s="179"/>
      <c r="F89" s="179"/>
      <c r="G89" s="179"/>
      <c r="H89" s="180"/>
    </row>
    <row r="91" spans="1:8" x14ac:dyDescent="0.25">
      <c r="A91" s="3"/>
      <c r="B91" s="3" t="s">
        <v>658</v>
      </c>
      <c r="C91" s="3" t="s">
        <v>725</v>
      </c>
      <c r="D91" t="s">
        <v>723</v>
      </c>
    </row>
    <row r="92" spans="1:8" x14ac:dyDescent="0.25">
      <c r="C92" s="3" t="s">
        <v>726</v>
      </c>
      <c r="D92" t="s">
        <v>721</v>
      </c>
    </row>
    <row r="93" spans="1:8" x14ac:dyDescent="0.25">
      <c r="C93" s="3" t="s">
        <v>727</v>
      </c>
      <c r="D93" t="s">
        <v>728</v>
      </c>
    </row>
    <row r="94" spans="1:8" x14ac:dyDescent="0.25">
      <c r="C94" s="3" t="s">
        <v>729</v>
      </c>
      <c r="D94" t="s">
        <v>730</v>
      </c>
    </row>
    <row r="96" spans="1:8" x14ac:dyDescent="0.25">
      <c r="A96" s="7" t="s">
        <v>731</v>
      </c>
    </row>
    <row r="98" spans="1:8" ht="90" customHeight="1" x14ac:dyDescent="0.25">
      <c r="A98" s="178" t="s">
        <v>732</v>
      </c>
      <c r="B98" s="179"/>
      <c r="C98" s="179"/>
      <c r="D98" s="179"/>
      <c r="E98" s="179"/>
      <c r="F98" s="179"/>
      <c r="G98" s="179"/>
      <c r="H98" s="180"/>
    </row>
    <row r="100" spans="1:8" x14ac:dyDescent="0.25">
      <c r="A100" s="3"/>
      <c r="B100" s="3" t="s">
        <v>658</v>
      </c>
      <c r="C100" s="3" t="s">
        <v>733</v>
      </c>
      <c r="D100" t="s">
        <v>734</v>
      </c>
    </row>
    <row r="101" spans="1:8" x14ac:dyDescent="0.25">
      <c r="C101" s="3" t="s">
        <v>735</v>
      </c>
      <c r="D101" t="s">
        <v>682</v>
      </c>
    </row>
    <row r="102" spans="1:8" x14ac:dyDescent="0.25">
      <c r="C102" s="3" t="s">
        <v>736</v>
      </c>
      <c r="D102" t="s">
        <v>723</v>
      </c>
    </row>
  </sheetData>
  <mergeCells count="10">
    <mergeCell ref="A71:H71"/>
    <mergeCell ref="A81:H81"/>
    <mergeCell ref="A89:H89"/>
    <mergeCell ref="A98:H98"/>
    <mergeCell ref="A14:H14"/>
    <mergeCell ref="A24:H24"/>
    <mergeCell ref="A32:H32"/>
    <mergeCell ref="A42:H42"/>
    <mergeCell ref="A53:H53"/>
    <mergeCell ref="A62:H6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0" tint="-0.249977111117893"/>
  </sheetPr>
  <dimension ref="A1:BI184"/>
  <sheetViews>
    <sheetView workbookViewId="0">
      <pane xSplit="4" ySplit="3" topLeftCell="BF4" activePane="bottomRight" state="frozen"/>
      <selection pane="topRight" activeCell="E1" sqref="E1"/>
      <selection pane="bottomLeft" activeCell="A4" sqref="A4"/>
      <selection pane="bottomRight" activeCell="BM175" sqref="BM175"/>
    </sheetView>
  </sheetViews>
  <sheetFormatPr baseColWidth="10" defaultColWidth="11.42578125" defaultRowHeight="15" x14ac:dyDescent="0.25"/>
  <cols>
    <col min="1" max="2" width="5.7109375" customWidth="1"/>
    <col min="3" max="3" width="9" customWidth="1"/>
    <col min="4" max="4" width="63.5703125" customWidth="1"/>
    <col min="5" max="58" width="16.28515625" customWidth="1"/>
    <col min="59" max="61" width="17.85546875" customWidth="1"/>
  </cols>
  <sheetData>
    <row r="1" spans="1:61" ht="26.25" x14ac:dyDescent="0.4">
      <c r="A1" s="32" t="s">
        <v>852</v>
      </c>
      <c r="B1" s="7"/>
      <c r="C1" s="7"/>
      <c r="D1" s="7"/>
    </row>
    <row r="2" spans="1:61" x14ac:dyDescent="0.25">
      <c r="A2" t="s">
        <v>796</v>
      </c>
      <c r="E2" s="45">
        <f>'Base de données pop.'!C2</f>
        <v>947</v>
      </c>
      <c r="F2" s="45">
        <f>'Base de données pop.'!C3</f>
        <v>265</v>
      </c>
      <c r="G2" s="45">
        <f>'Base de données pop.'!C4</f>
        <v>469</v>
      </c>
      <c r="H2" s="45">
        <f>'Base de données pop.'!C5</f>
        <v>439</v>
      </c>
      <c r="I2" s="45">
        <f>'Base de données pop.'!C6</f>
        <v>3728</v>
      </c>
      <c r="J2" s="45">
        <f>'Base de données pop.'!C7</f>
        <v>3345</v>
      </c>
      <c r="K2" s="45">
        <f>'Base de données pop.'!C8</f>
        <v>2652</v>
      </c>
      <c r="L2" s="45">
        <f>'Base de données pop.'!C9</f>
        <v>12479</v>
      </c>
      <c r="M2" s="45">
        <f>'Base de données pop.'!C10</f>
        <v>1359</v>
      </c>
      <c r="N2" s="45">
        <f>'Base de données pop.'!C11</f>
        <v>117</v>
      </c>
      <c r="O2" s="45">
        <f>'Base de données pop.'!C12</f>
        <v>7261</v>
      </c>
      <c r="P2" s="45">
        <f>'Base de données pop.'!C13</f>
        <v>538</v>
      </c>
      <c r="Q2" s="45">
        <f>'Base de données pop.'!C14</f>
        <v>111</v>
      </c>
      <c r="R2" s="45">
        <f>'Base de données pop.'!C15</f>
        <v>421</v>
      </c>
      <c r="S2" s="45">
        <f>'Base de données pop.'!C16</f>
        <v>346</v>
      </c>
      <c r="T2" s="45">
        <f>'Base de données pop.'!C17</f>
        <v>710</v>
      </c>
      <c r="U2" s="45">
        <f>'Base de données pop.'!C18</f>
        <v>269</v>
      </c>
      <c r="V2" s="45">
        <f>'Base de données pop.'!C19</f>
        <v>440</v>
      </c>
      <c r="W2" s="45">
        <f>'Base de données pop.'!C20</f>
        <v>3229</v>
      </c>
      <c r="X2" s="45">
        <f>'Base de données pop.'!C21</f>
        <v>310</v>
      </c>
      <c r="Y2" s="45">
        <f>'Base de données pop.'!C22</f>
        <v>1270</v>
      </c>
      <c r="Z2" s="45">
        <f>'Base de données pop.'!C23</f>
        <v>1506</v>
      </c>
      <c r="AA2" s="45">
        <f>'Base de données pop.'!C24</f>
        <v>96</v>
      </c>
      <c r="AB2" s="45">
        <f>'Base de données pop.'!C25</f>
        <v>148</v>
      </c>
      <c r="AC2" s="45">
        <f>'Base de données pop.'!C26</f>
        <v>518</v>
      </c>
      <c r="AD2" s="45">
        <f>'Base de données pop.'!C27</f>
        <v>701</v>
      </c>
      <c r="AE2" s="45">
        <f>'Base de données pop.'!C28</f>
        <v>564</v>
      </c>
      <c r="AF2" s="45">
        <f>'Base de données pop.'!C29</f>
        <v>525</v>
      </c>
      <c r="AG2" s="45">
        <f>'Base de données pop.'!C30</f>
        <v>1909</v>
      </c>
      <c r="AH2" s="45">
        <f>'Base de données pop.'!C31</f>
        <v>2580</v>
      </c>
      <c r="AI2" s="45">
        <f>'Base de données pop.'!C32</f>
        <v>222</v>
      </c>
      <c r="AJ2" s="45">
        <f>'Base de données pop.'!C33</f>
        <v>129</v>
      </c>
      <c r="AK2" s="45">
        <f>'Base de données pop.'!C34</f>
        <v>1891</v>
      </c>
      <c r="AL2" s="45">
        <f>'Base de données pop.'!C35</f>
        <v>1126</v>
      </c>
      <c r="AM2" s="45">
        <f>'Base de données pop.'!C36</f>
        <v>1225</v>
      </c>
      <c r="AN2" s="45">
        <f>'Base de données pop.'!C37</f>
        <v>117</v>
      </c>
      <c r="AO2" s="45">
        <f>'Base de données pop.'!C38</f>
        <v>1185</v>
      </c>
      <c r="AP2" s="45">
        <f>'Base de données pop.'!C39</f>
        <v>642</v>
      </c>
      <c r="AQ2" s="45">
        <f>'Base de données pop.'!C40</f>
        <v>633</v>
      </c>
      <c r="AR2" s="45">
        <f>'Base de données pop.'!C41</f>
        <v>1284</v>
      </c>
      <c r="AS2" s="45">
        <f>'Base de données pop.'!C42</f>
        <v>731</v>
      </c>
      <c r="AT2" s="45">
        <f>'Base de données pop.'!C43</f>
        <v>1016</v>
      </c>
      <c r="AU2" s="45">
        <f>'Base de données pop.'!C44</f>
        <v>304</v>
      </c>
      <c r="AV2" s="45">
        <f>'Base de données pop.'!C45</f>
        <v>2412</v>
      </c>
      <c r="AW2" s="45">
        <f>'Base de données pop.'!C46</f>
        <v>735</v>
      </c>
      <c r="AX2" s="45">
        <f>'Base de données pop.'!C47</f>
        <v>185</v>
      </c>
      <c r="AY2" s="45">
        <f>'Base de données pop.'!C48</f>
        <v>340</v>
      </c>
      <c r="AZ2" s="45">
        <f>'Base de données pop.'!C49</f>
        <v>1697</v>
      </c>
      <c r="BA2" s="45">
        <f>'Base de données pop.'!C50</f>
        <v>390</v>
      </c>
      <c r="BB2" s="45">
        <f>'Base de données pop.'!C51</f>
        <v>1073</v>
      </c>
      <c r="BC2" s="45">
        <f>'Base de données pop.'!C52</f>
        <v>184</v>
      </c>
      <c r="BD2" s="45">
        <f>'Base de données pop.'!C53</f>
        <v>6466</v>
      </c>
      <c r="BE2" s="45">
        <f>'Base de données pop.'!C54</f>
        <v>559</v>
      </c>
      <c r="BF2" s="45">
        <f>SUM(E2:BE2)</f>
        <v>73798</v>
      </c>
      <c r="BG2" s="45">
        <f>SUM(E2:W2)</f>
        <v>39125</v>
      </c>
      <c r="BH2" s="45">
        <f>SUM(X2:AJ2)</f>
        <v>10478</v>
      </c>
      <c r="BI2" s="45">
        <f>SUM(AK2:BE2)</f>
        <v>24195</v>
      </c>
    </row>
    <row r="3" spans="1:61" x14ac:dyDescent="0.25">
      <c r="E3" s="33" t="s">
        <v>56</v>
      </c>
      <c r="F3" s="33" t="s">
        <v>18</v>
      </c>
      <c r="G3" s="33" t="s">
        <v>57</v>
      </c>
      <c r="H3" s="33" t="s">
        <v>53</v>
      </c>
      <c r="I3" s="33" t="s">
        <v>33</v>
      </c>
      <c r="J3" s="33" t="s">
        <v>10</v>
      </c>
      <c r="K3" s="33" t="s">
        <v>15</v>
      </c>
      <c r="L3" s="33" t="s">
        <v>28</v>
      </c>
      <c r="M3" s="33" t="s">
        <v>42</v>
      </c>
      <c r="N3" s="33" t="s">
        <v>23</v>
      </c>
      <c r="O3" s="33" t="s">
        <v>22</v>
      </c>
      <c r="P3" s="33" t="s">
        <v>13</v>
      </c>
      <c r="Q3" s="33" t="s">
        <v>17</v>
      </c>
      <c r="R3" s="33" t="s">
        <v>43</v>
      </c>
      <c r="S3" s="33" t="s">
        <v>40</v>
      </c>
      <c r="T3" s="33" t="s">
        <v>31</v>
      </c>
      <c r="U3" s="33" t="s">
        <v>12</v>
      </c>
      <c r="V3" s="33" t="s">
        <v>59</v>
      </c>
      <c r="W3" s="33" t="s">
        <v>27</v>
      </c>
      <c r="X3" s="34" t="s">
        <v>30</v>
      </c>
      <c r="Y3" s="34" t="s">
        <v>20</v>
      </c>
      <c r="Z3" s="34" t="s">
        <v>45</v>
      </c>
      <c r="AA3" s="34" t="s">
        <v>71</v>
      </c>
      <c r="AB3" s="34" t="s">
        <v>39</v>
      </c>
      <c r="AC3" s="34" t="s">
        <v>19</v>
      </c>
      <c r="AD3" s="34" t="s">
        <v>41</v>
      </c>
      <c r="AE3" s="34" t="s">
        <v>36</v>
      </c>
      <c r="AF3" s="34" t="s">
        <v>7</v>
      </c>
      <c r="AG3" s="34" t="s">
        <v>55</v>
      </c>
      <c r="AH3" s="34" t="s">
        <v>21</v>
      </c>
      <c r="AI3" s="34" t="s">
        <v>6</v>
      </c>
      <c r="AJ3" s="34" t="s">
        <v>34</v>
      </c>
      <c r="AK3" s="35" t="s">
        <v>52</v>
      </c>
      <c r="AL3" s="35" t="s">
        <v>14</v>
      </c>
      <c r="AM3" s="35" t="s">
        <v>32</v>
      </c>
      <c r="AN3" s="35" t="s">
        <v>29</v>
      </c>
      <c r="AO3" s="35" t="s">
        <v>26</v>
      </c>
      <c r="AP3" s="35" t="s">
        <v>48</v>
      </c>
      <c r="AQ3" s="35" t="s">
        <v>44</v>
      </c>
      <c r="AR3" s="35" t="s">
        <v>37</v>
      </c>
      <c r="AS3" s="35" t="s">
        <v>51</v>
      </c>
      <c r="AT3" s="35" t="s">
        <v>8</v>
      </c>
      <c r="AU3" s="35" t="s">
        <v>24</v>
      </c>
      <c r="AV3" s="35" t="s">
        <v>9</v>
      </c>
      <c r="AW3" s="35" t="s">
        <v>62</v>
      </c>
      <c r="AX3" s="35" t="s">
        <v>46</v>
      </c>
      <c r="AY3" s="35" t="s">
        <v>35</v>
      </c>
      <c r="AZ3" s="35" t="s">
        <v>49</v>
      </c>
      <c r="BA3" s="35" t="s">
        <v>47</v>
      </c>
      <c r="BB3" s="35" t="s">
        <v>58</v>
      </c>
      <c r="BC3" s="35" t="s">
        <v>50</v>
      </c>
      <c r="BD3" s="35" t="s">
        <v>16</v>
      </c>
      <c r="BE3" s="35" t="s">
        <v>25</v>
      </c>
      <c r="BF3" s="36" t="s">
        <v>65</v>
      </c>
      <c r="BG3" s="37" t="s">
        <v>28</v>
      </c>
      <c r="BH3" s="34" t="s">
        <v>64</v>
      </c>
      <c r="BI3" s="35" t="s">
        <v>16</v>
      </c>
    </row>
    <row r="4" spans="1:61" ht="21" x14ac:dyDescent="0.35">
      <c r="A4" s="84">
        <v>5</v>
      </c>
      <c r="B4" s="84"/>
      <c r="C4" s="84"/>
      <c r="D4" s="84" t="s">
        <v>193</v>
      </c>
      <c r="E4" s="82">
        <f>E5+E15+E25+E30+E41+E52+E63+E74</f>
        <v>1817467.6099999999</v>
      </c>
      <c r="F4" s="82">
        <f t="shared" ref="F4:BI4" si="0">F5+F15+F25+F30+F41+F52+F63+F74</f>
        <v>350105.49</v>
      </c>
      <c r="G4" s="82">
        <f t="shared" si="0"/>
        <v>303230.01</v>
      </c>
      <c r="H4" s="82">
        <f t="shared" si="0"/>
        <v>122282.8</v>
      </c>
      <c r="I4" s="82">
        <f t="shared" si="0"/>
        <v>574124.02</v>
      </c>
      <c r="J4" s="82">
        <f t="shared" si="0"/>
        <v>1843296.24</v>
      </c>
      <c r="K4" s="82">
        <f t="shared" si="0"/>
        <v>1006228.3399999999</v>
      </c>
      <c r="L4" s="82">
        <f t="shared" si="0"/>
        <v>13702597.810000001</v>
      </c>
      <c r="M4" s="82">
        <f t="shared" si="0"/>
        <v>966348.19000000006</v>
      </c>
      <c r="N4" s="82">
        <f t="shared" si="0"/>
        <v>41267.75</v>
      </c>
      <c r="O4" s="82">
        <f t="shared" si="0"/>
        <v>3552900.4999999995</v>
      </c>
      <c r="P4" s="82">
        <f t="shared" si="0"/>
        <v>135435.99</v>
      </c>
      <c r="Q4" s="82">
        <f t="shared" si="0"/>
        <v>2137</v>
      </c>
      <c r="R4" s="82">
        <f t="shared" si="0"/>
        <v>35597.1</v>
      </c>
      <c r="S4" s="82">
        <f t="shared" si="0"/>
        <v>12586.05</v>
      </c>
      <c r="T4" s="82">
        <f t="shared" si="0"/>
        <v>246921.63</v>
      </c>
      <c r="U4" s="82">
        <f t="shared" si="0"/>
        <v>475208.25</v>
      </c>
      <c r="V4" s="82">
        <f t="shared" si="0"/>
        <v>67939.38</v>
      </c>
      <c r="W4" s="82">
        <f t="shared" si="0"/>
        <v>3657738.5100000002</v>
      </c>
      <c r="X4" s="82">
        <f t="shared" si="0"/>
        <v>120441.40000000001</v>
      </c>
      <c r="Y4" s="82">
        <f t="shared" si="0"/>
        <v>1082163</v>
      </c>
      <c r="Z4" s="82">
        <f t="shared" si="0"/>
        <v>492370.71</v>
      </c>
      <c r="AA4" s="82">
        <f t="shared" si="0"/>
        <v>195636.95</v>
      </c>
      <c r="AB4" s="82">
        <f t="shared" si="0"/>
        <v>651324.14999999991</v>
      </c>
      <c r="AC4" s="82">
        <f t="shared" si="0"/>
        <v>758577.75</v>
      </c>
      <c r="AD4" s="82">
        <f t="shared" si="0"/>
        <v>239816.52</v>
      </c>
      <c r="AE4" s="82">
        <f t="shared" si="0"/>
        <v>560601.35</v>
      </c>
      <c r="AF4" s="82">
        <f t="shared" si="0"/>
        <v>592880.19999999995</v>
      </c>
      <c r="AG4" s="82">
        <f t="shared" si="0"/>
        <v>1120256.05</v>
      </c>
      <c r="AH4" s="82">
        <f t="shared" si="0"/>
        <v>573288.05000000005</v>
      </c>
      <c r="AI4" s="82">
        <f t="shared" si="0"/>
        <v>208776.05</v>
      </c>
      <c r="AJ4" s="82">
        <f t="shared" si="0"/>
        <v>238373.44999999998</v>
      </c>
      <c r="AK4" s="82">
        <f t="shared" si="0"/>
        <v>2587328.1</v>
      </c>
      <c r="AL4" s="82">
        <f t="shared" si="0"/>
        <v>607952.1</v>
      </c>
      <c r="AM4" s="82">
        <f t="shared" si="0"/>
        <v>359831.66</v>
      </c>
      <c r="AN4" s="82">
        <f t="shared" si="0"/>
        <v>15191.1</v>
      </c>
      <c r="AO4" s="82">
        <f t="shared" si="0"/>
        <v>1300821.51</v>
      </c>
      <c r="AP4" s="82">
        <f t="shared" si="0"/>
        <v>407340.9</v>
      </c>
      <c r="AQ4" s="82">
        <f t="shared" si="0"/>
        <v>529521.70000000007</v>
      </c>
      <c r="AR4" s="82">
        <f t="shared" si="0"/>
        <v>2561966.6999999997</v>
      </c>
      <c r="AS4" s="82">
        <f t="shared" si="0"/>
        <v>190136.45</v>
      </c>
      <c r="AT4" s="82">
        <f t="shared" si="0"/>
        <v>1378844.35</v>
      </c>
      <c r="AU4" s="82">
        <f t="shared" si="0"/>
        <v>69113</v>
      </c>
      <c r="AV4" s="82">
        <f t="shared" si="0"/>
        <v>611861.4</v>
      </c>
      <c r="AW4" s="82">
        <f t="shared" si="0"/>
        <v>342404.75</v>
      </c>
      <c r="AX4" s="82">
        <f t="shared" si="0"/>
        <v>0</v>
      </c>
      <c r="AY4" s="82">
        <f t="shared" si="0"/>
        <v>24663.3</v>
      </c>
      <c r="AZ4" s="82">
        <f t="shared" si="0"/>
        <v>17061.55</v>
      </c>
      <c r="BA4" s="82">
        <f t="shared" si="0"/>
        <v>722496.3</v>
      </c>
      <c r="BB4" s="82">
        <f t="shared" si="0"/>
        <v>1057290.32</v>
      </c>
      <c r="BC4" s="82">
        <f t="shared" si="0"/>
        <v>72697.2</v>
      </c>
      <c r="BD4" s="82">
        <f t="shared" si="0"/>
        <v>6553486.2199999997</v>
      </c>
      <c r="BE4" s="82">
        <f t="shared" si="0"/>
        <v>104880.05</v>
      </c>
      <c r="BF4" s="82">
        <f t="shared" si="0"/>
        <v>55262806.959999993</v>
      </c>
      <c r="BG4" s="82">
        <f t="shared" si="0"/>
        <v>28913412.669999994</v>
      </c>
      <c r="BH4" s="82">
        <f t="shared" si="0"/>
        <v>6834505.6299999999</v>
      </c>
      <c r="BI4" s="82">
        <f t="shared" si="0"/>
        <v>19514888.66</v>
      </c>
    </row>
    <row r="5" spans="1:61" x14ac:dyDescent="0.25">
      <c r="A5" s="7"/>
      <c r="B5" s="56">
        <v>50</v>
      </c>
      <c r="C5" s="56"/>
      <c r="D5" s="56" t="s">
        <v>454</v>
      </c>
      <c r="E5" s="57">
        <f>E6+E7+E8+E9+E10+E11+E12+E13</f>
        <v>1817467.6099999999</v>
      </c>
      <c r="F5" s="57">
        <f t="shared" ref="F5:BE5" si="1">F6+F7+F8+F9+F10+F11+F12+F13</f>
        <v>350105.49</v>
      </c>
      <c r="G5" s="57">
        <f t="shared" si="1"/>
        <v>303230.01</v>
      </c>
      <c r="H5" s="57">
        <f t="shared" si="1"/>
        <v>122282.8</v>
      </c>
      <c r="I5" s="57">
        <f t="shared" si="1"/>
        <v>523886.27</v>
      </c>
      <c r="J5" s="57">
        <f t="shared" si="1"/>
        <v>1764134.0399999998</v>
      </c>
      <c r="K5" s="57">
        <f t="shared" si="1"/>
        <v>926720.83999999985</v>
      </c>
      <c r="L5" s="57">
        <f t="shared" si="1"/>
        <v>13702597.810000001</v>
      </c>
      <c r="M5" s="57">
        <f t="shared" si="1"/>
        <v>962595.39</v>
      </c>
      <c r="N5" s="57">
        <f t="shared" si="1"/>
        <v>0</v>
      </c>
      <c r="O5" s="57">
        <f t="shared" si="1"/>
        <v>3289406.3499999996</v>
      </c>
      <c r="P5" s="57">
        <f t="shared" si="1"/>
        <v>135435.99</v>
      </c>
      <c r="Q5" s="57">
        <f t="shared" si="1"/>
        <v>0</v>
      </c>
      <c r="R5" s="57">
        <f t="shared" si="1"/>
        <v>35597.1</v>
      </c>
      <c r="S5" s="57">
        <f t="shared" si="1"/>
        <v>12586.05</v>
      </c>
      <c r="T5" s="57">
        <f t="shared" si="1"/>
        <v>246921.63</v>
      </c>
      <c r="U5" s="57">
        <f t="shared" si="1"/>
        <v>433486.45</v>
      </c>
      <c r="V5" s="57">
        <f t="shared" si="1"/>
        <v>61288.93</v>
      </c>
      <c r="W5" s="57">
        <f t="shared" si="1"/>
        <v>3591149.0100000002</v>
      </c>
      <c r="X5" s="57">
        <f t="shared" si="1"/>
        <v>110173.6</v>
      </c>
      <c r="Y5" s="57">
        <f t="shared" si="1"/>
        <v>700583.85</v>
      </c>
      <c r="Z5" s="57">
        <f t="shared" si="1"/>
        <v>492370.71</v>
      </c>
      <c r="AA5" s="57">
        <f t="shared" si="1"/>
        <v>195636.95</v>
      </c>
      <c r="AB5" s="57">
        <f t="shared" si="1"/>
        <v>651324.14999999991</v>
      </c>
      <c r="AC5" s="57">
        <f t="shared" si="1"/>
        <v>655088.05000000005</v>
      </c>
      <c r="AD5" s="57">
        <f t="shared" si="1"/>
        <v>236241.59999999998</v>
      </c>
      <c r="AE5" s="57">
        <f t="shared" si="1"/>
        <v>553632.6</v>
      </c>
      <c r="AF5" s="57">
        <f t="shared" si="1"/>
        <v>463595.75</v>
      </c>
      <c r="AG5" s="57">
        <f t="shared" si="1"/>
        <v>1028650</v>
      </c>
      <c r="AH5" s="57">
        <f t="shared" si="1"/>
        <v>532252.20000000007</v>
      </c>
      <c r="AI5" s="57">
        <f t="shared" si="1"/>
        <v>208776.05</v>
      </c>
      <c r="AJ5" s="57">
        <f t="shared" si="1"/>
        <v>238373.44999999998</v>
      </c>
      <c r="AK5" s="57">
        <f t="shared" si="1"/>
        <v>267315.20000000001</v>
      </c>
      <c r="AL5" s="57">
        <f t="shared" si="1"/>
        <v>360518.75</v>
      </c>
      <c r="AM5" s="57">
        <f t="shared" si="1"/>
        <v>228948.36</v>
      </c>
      <c r="AN5" s="57">
        <f t="shared" si="1"/>
        <v>15191.1</v>
      </c>
      <c r="AO5" s="57">
        <f t="shared" si="1"/>
        <v>1300821.51</v>
      </c>
      <c r="AP5" s="57">
        <f t="shared" si="1"/>
        <v>344680.45</v>
      </c>
      <c r="AQ5" s="57">
        <f t="shared" si="1"/>
        <v>525020.05000000005</v>
      </c>
      <c r="AR5" s="57">
        <f t="shared" si="1"/>
        <v>2443415.65</v>
      </c>
      <c r="AS5" s="57">
        <f t="shared" si="1"/>
        <v>0</v>
      </c>
      <c r="AT5" s="57">
        <f t="shared" si="1"/>
        <v>1360894.3</v>
      </c>
      <c r="AU5" s="57">
        <f t="shared" si="1"/>
        <v>46053.75</v>
      </c>
      <c r="AV5" s="57">
        <f t="shared" si="1"/>
        <v>539588.75</v>
      </c>
      <c r="AW5" s="57">
        <f t="shared" si="1"/>
        <v>298541.55</v>
      </c>
      <c r="AX5" s="57">
        <f t="shared" si="1"/>
        <v>0</v>
      </c>
      <c r="AY5" s="57">
        <f t="shared" si="1"/>
        <v>0</v>
      </c>
      <c r="AZ5" s="57">
        <f t="shared" si="1"/>
        <v>0</v>
      </c>
      <c r="BA5" s="57">
        <f t="shared" si="1"/>
        <v>722496.3</v>
      </c>
      <c r="BB5" s="57">
        <f t="shared" si="1"/>
        <v>983533.87000000011</v>
      </c>
      <c r="BC5" s="57">
        <f t="shared" si="1"/>
        <v>72697.2</v>
      </c>
      <c r="BD5" s="57">
        <f t="shared" si="1"/>
        <v>5116400.7699999996</v>
      </c>
      <c r="BE5" s="57">
        <f t="shared" si="1"/>
        <v>69545</v>
      </c>
      <c r="BF5" s="57">
        <f t="shared" ref="BF5:BI5" si="2">BF6+BF7+BF8+BF9+BF10+BF11+BF12+BF13</f>
        <v>49041253.289999999</v>
      </c>
      <c r="BG5" s="57">
        <f t="shared" si="2"/>
        <v>28278891.769999996</v>
      </c>
      <c r="BH5" s="57">
        <f t="shared" si="2"/>
        <v>6066698.96</v>
      </c>
      <c r="BI5" s="57">
        <f t="shared" si="2"/>
        <v>14695662.560000001</v>
      </c>
    </row>
    <row r="6" spans="1:61" x14ac:dyDescent="0.25">
      <c r="C6">
        <v>500</v>
      </c>
      <c r="D6" t="s">
        <v>456</v>
      </c>
      <c r="E6" s="4">
        <v>0</v>
      </c>
      <c r="F6" s="4">
        <v>0</v>
      </c>
      <c r="G6" s="4">
        <v>0</v>
      </c>
      <c r="H6" s="4">
        <v>13599.99</v>
      </c>
      <c r="I6" s="4">
        <v>0</v>
      </c>
      <c r="J6" s="4">
        <v>5540.25</v>
      </c>
      <c r="K6" s="4">
        <v>53357.3</v>
      </c>
      <c r="L6" s="4">
        <v>13702597.810000001</v>
      </c>
      <c r="M6" s="4">
        <v>1104.95</v>
      </c>
      <c r="N6" s="4">
        <v>0</v>
      </c>
      <c r="O6" s="4">
        <v>4575</v>
      </c>
      <c r="P6" s="4">
        <v>374.16</v>
      </c>
      <c r="Q6" s="4">
        <v>0</v>
      </c>
      <c r="R6" s="4">
        <v>0</v>
      </c>
      <c r="S6" s="4">
        <v>15861.5</v>
      </c>
      <c r="T6" s="4">
        <v>0</v>
      </c>
      <c r="U6" s="4">
        <v>0</v>
      </c>
      <c r="V6" s="4">
        <v>0</v>
      </c>
      <c r="W6" s="4">
        <v>114944.1</v>
      </c>
      <c r="X6" s="4">
        <v>0</v>
      </c>
      <c r="Y6" s="4">
        <v>0</v>
      </c>
      <c r="Z6" s="4">
        <v>0</v>
      </c>
      <c r="AA6" s="4">
        <v>0</v>
      </c>
      <c r="AB6" s="4">
        <v>0</v>
      </c>
      <c r="AC6" s="4">
        <v>541882.69999999995</v>
      </c>
      <c r="AD6" s="4">
        <v>0</v>
      </c>
      <c r="AE6" s="4">
        <v>0</v>
      </c>
      <c r="AF6" s="4">
        <v>0</v>
      </c>
      <c r="AG6" s="4">
        <v>0</v>
      </c>
      <c r="AH6" s="4">
        <v>0</v>
      </c>
      <c r="AI6" s="4">
        <v>0</v>
      </c>
      <c r="AJ6" s="4">
        <v>0</v>
      </c>
      <c r="AK6" s="4">
        <v>35150</v>
      </c>
      <c r="AL6" s="4">
        <v>0</v>
      </c>
      <c r="AM6" s="4">
        <v>2268.6999999999998</v>
      </c>
      <c r="AN6" s="4">
        <v>0</v>
      </c>
      <c r="AO6" s="4">
        <v>0</v>
      </c>
      <c r="AP6" s="4">
        <v>0</v>
      </c>
      <c r="AQ6" s="4">
        <v>0</v>
      </c>
      <c r="AR6" s="4">
        <v>0</v>
      </c>
      <c r="AS6" s="4">
        <v>0</v>
      </c>
      <c r="AT6" s="4">
        <v>115228.65</v>
      </c>
      <c r="AU6" s="4">
        <v>0</v>
      </c>
      <c r="AV6" s="4">
        <v>37032.75</v>
      </c>
      <c r="AW6" s="4">
        <v>0</v>
      </c>
      <c r="AX6" s="4">
        <v>0</v>
      </c>
      <c r="AY6" s="4">
        <v>0</v>
      </c>
      <c r="AZ6" s="4">
        <v>0</v>
      </c>
      <c r="BA6" s="4">
        <v>111291.9</v>
      </c>
      <c r="BB6" s="4">
        <v>65235.4</v>
      </c>
      <c r="BC6" s="4">
        <v>0</v>
      </c>
      <c r="BD6" s="4">
        <v>273296.34999999998</v>
      </c>
      <c r="BE6" s="4">
        <v>0</v>
      </c>
      <c r="BF6" s="4">
        <f>SUM(E6:BE6)</f>
        <v>15093341.509999998</v>
      </c>
      <c r="BG6" s="4">
        <f>SUM(E6:W6)</f>
        <v>13911955.059999999</v>
      </c>
      <c r="BH6" s="4">
        <f>SUM(X6:AJ6)</f>
        <v>541882.69999999995</v>
      </c>
      <c r="BI6" s="4">
        <f>SUM(AK6:BE6)</f>
        <v>639503.75</v>
      </c>
    </row>
    <row r="7" spans="1:61" x14ac:dyDescent="0.25">
      <c r="C7">
        <v>501</v>
      </c>
      <c r="D7" t="s">
        <v>457</v>
      </c>
      <c r="E7" s="4">
        <v>488789.85</v>
      </c>
      <c r="F7" s="4">
        <v>344755.49</v>
      </c>
      <c r="G7" s="4">
        <v>0</v>
      </c>
      <c r="H7" s="4">
        <v>783.18</v>
      </c>
      <c r="I7" s="4">
        <v>48298.35</v>
      </c>
      <c r="J7" s="4">
        <v>912099.1</v>
      </c>
      <c r="K7" s="4">
        <v>27840.55</v>
      </c>
      <c r="L7" s="4">
        <v>0</v>
      </c>
      <c r="M7" s="4">
        <v>116805.85</v>
      </c>
      <c r="N7" s="4">
        <v>0</v>
      </c>
      <c r="O7" s="4">
        <v>316709.25</v>
      </c>
      <c r="P7" s="4">
        <v>11069.5</v>
      </c>
      <c r="Q7" s="4">
        <v>0</v>
      </c>
      <c r="R7" s="4">
        <v>0</v>
      </c>
      <c r="S7" s="4">
        <v>0</v>
      </c>
      <c r="T7" s="4">
        <v>78672.78</v>
      </c>
      <c r="U7" s="4">
        <v>368223.25</v>
      </c>
      <c r="V7" s="4">
        <v>0</v>
      </c>
      <c r="W7" s="4">
        <v>452293.3</v>
      </c>
      <c r="X7" s="4">
        <v>42083.8</v>
      </c>
      <c r="Y7" s="4">
        <v>457750.5</v>
      </c>
      <c r="Z7" s="4">
        <v>449610.71</v>
      </c>
      <c r="AA7" s="4">
        <v>128148.15</v>
      </c>
      <c r="AB7" s="4">
        <v>630524.44999999995</v>
      </c>
      <c r="AC7" s="4">
        <v>28123.05</v>
      </c>
      <c r="AD7" s="4">
        <v>21942.799999999999</v>
      </c>
      <c r="AE7" s="4">
        <v>123124.45</v>
      </c>
      <c r="AF7" s="4">
        <v>415045.4</v>
      </c>
      <c r="AG7" s="4">
        <v>678844.6</v>
      </c>
      <c r="AH7" s="4">
        <v>344721.3</v>
      </c>
      <c r="AI7" s="4">
        <v>0</v>
      </c>
      <c r="AJ7" s="4">
        <v>228249.65</v>
      </c>
      <c r="AK7" s="4">
        <v>0</v>
      </c>
      <c r="AL7" s="4">
        <v>1225.6500000000001</v>
      </c>
      <c r="AM7" s="4">
        <v>97942.25</v>
      </c>
      <c r="AN7" s="4">
        <v>15191.1</v>
      </c>
      <c r="AO7" s="4">
        <v>920718.55</v>
      </c>
      <c r="AP7" s="4">
        <v>265010.55</v>
      </c>
      <c r="AQ7" s="4">
        <v>366279.1</v>
      </c>
      <c r="AR7" s="4">
        <v>1981420.8</v>
      </c>
      <c r="AS7" s="4">
        <v>0</v>
      </c>
      <c r="AT7" s="4">
        <v>765115.9</v>
      </c>
      <c r="AU7" s="4">
        <v>0</v>
      </c>
      <c r="AV7" s="4">
        <v>402684.65</v>
      </c>
      <c r="AW7" s="4">
        <v>165312.45000000001</v>
      </c>
      <c r="AX7" s="4">
        <v>0</v>
      </c>
      <c r="AY7" s="4">
        <v>0</v>
      </c>
      <c r="AZ7" s="4">
        <v>0</v>
      </c>
      <c r="BA7" s="4">
        <v>107584.5</v>
      </c>
      <c r="BB7" s="4">
        <v>0</v>
      </c>
      <c r="BC7" s="4">
        <v>31348.6</v>
      </c>
      <c r="BD7" s="4">
        <v>765569.72</v>
      </c>
      <c r="BE7" s="4">
        <v>0</v>
      </c>
      <c r="BF7" s="4">
        <f t="shared" ref="BF7:BF13" si="3">SUM(E7:BE7)</f>
        <v>12599913.129999999</v>
      </c>
      <c r="BG7" s="4">
        <f t="shared" ref="BG7:BG13" si="4">SUM(E7:W7)</f>
        <v>3166340.4499999997</v>
      </c>
      <c r="BH7" s="4">
        <f t="shared" ref="BH7:BH13" si="5">SUM(X7:AJ7)</f>
        <v>3548168.86</v>
      </c>
      <c r="BI7" s="4">
        <f t="shared" ref="BI7:BI13" si="6">SUM(AK7:BE7)</f>
        <v>5885403.8200000003</v>
      </c>
    </row>
    <row r="8" spans="1:61" x14ac:dyDescent="0.25">
      <c r="C8">
        <v>502</v>
      </c>
      <c r="D8" t="s">
        <v>458</v>
      </c>
      <c r="E8" s="4">
        <v>0</v>
      </c>
      <c r="F8" s="4">
        <v>0</v>
      </c>
      <c r="G8" s="4">
        <v>223388.26</v>
      </c>
      <c r="H8" s="4">
        <v>6067.31</v>
      </c>
      <c r="I8" s="4">
        <v>113757.7</v>
      </c>
      <c r="J8" s="4">
        <v>165926.6</v>
      </c>
      <c r="K8" s="4">
        <v>187634.24</v>
      </c>
      <c r="L8" s="4">
        <v>0</v>
      </c>
      <c r="M8" s="4">
        <v>72251.490000000005</v>
      </c>
      <c r="N8" s="4">
        <v>0</v>
      </c>
      <c r="O8" s="4">
        <v>46558.7</v>
      </c>
      <c r="P8" s="4">
        <v>123992.33</v>
      </c>
      <c r="Q8" s="4">
        <v>0</v>
      </c>
      <c r="R8" s="4">
        <v>0</v>
      </c>
      <c r="S8" s="4">
        <v>0</v>
      </c>
      <c r="T8" s="4">
        <v>0</v>
      </c>
      <c r="U8" s="4">
        <v>0</v>
      </c>
      <c r="V8" s="4">
        <v>13826.43</v>
      </c>
      <c r="W8" s="4">
        <v>1660631.59</v>
      </c>
      <c r="X8" s="4">
        <v>0</v>
      </c>
      <c r="Y8" s="4">
        <v>0</v>
      </c>
      <c r="Z8" s="4">
        <v>0</v>
      </c>
      <c r="AA8" s="4">
        <v>0</v>
      </c>
      <c r="AB8" s="4">
        <v>0</v>
      </c>
      <c r="AC8" s="4">
        <v>0</v>
      </c>
      <c r="AD8" s="4">
        <v>0</v>
      </c>
      <c r="AE8" s="4">
        <v>0</v>
      </c>
      <c r="AF8" s="4">
        <v>0</v>
      </c>
      <c r="AG8" s="4">
        <v>0</v>
      </c>
      <c r="AH8" s="4">
        <v>0</v>
      </c>
      <c r="AI8" s="4">
        <v>0</v>
      </c>
      <c r="AJ8" s="4">
        <v>0</v>
      </c>
      <c r="AK8" s="4">
        <v>41303.800000000003</v>
      </c>
      <c r="AL8" s="4">
        <v>0</v>
      </c>
      <c r="AM8" s="4">
        <v>450</v>
      </c>
      <c r="AN8" s="4">
        <v>0</v>
      </c>
      <c r="AO8" s="4">
        <v>33070.050000000003</v>
      </c>
      <c r="AP8" s="4">
        <v>0</v>
      </c>
      <c r="AQ8" s="4">
        <v>0</v>
      </c>
      <c r="AR8" s="4">
        <v>0</v>
      </c>
      <c r="AS8" s="4">
        <v>0</v>
      </c>
      <c r="AT8" s="4">
        <v>36221.15</v>
      </c>
      <c r="AU8" s="4">
        <v>11740.1</v>
      </c>
      <c r="AV8" s="4">
        <v>0</v>
      </c>
      <c r="AW8" s="4">
        <v>0</v>
      </c>
      <c r="AX8" s="4">
        <v>0</v>
      </c>
      <c r="AY8" s="4">
        <v>0</v>
      </c>
      <c r="AZ8" s="4">
        <v>0</v>
      </c>
      <c r="BA8" s="4">
        <v>0</v>
      </c>
      <c r="BB8" s="4">
        <v>0</v>
      </c>
      <c r="BC8" s="4">
        <v>0</v>
      </c>
      <c r="BD8" s="4">
        <v>1106290.6299999999</v>
      </c>
      <c r="BE8" s="4">
        <v>69545</v>
      </c>
      <c r="BF8" s="4">
        <f t="shared" si="3"/>
        <v>3912655.3799999994</v>
      </c>
      <c r="BG8" s="4">
        <f t="shared" si="4"/>
        <v>2614034.65</v>
      </c>
      <c r="BH8" s="4">
        <f t="shared" si="5"/>
        <v>0</v>
      </c>
      <c r="BI8" s="4">
        <f t="shared" si="6"/>
        <v>1298620.73</v>
      </c>
    </row>
    <row r="9" spans="1:61" x14ac:dyDescent="0.25">
      <c r="C9">
        <v>503</v>
      </c>
      <c r="D9" t="s">
        <v>459</v>
      </c>
      <c r="E9" s="4">
        <v>1328677.76</v>
      </c>
      <c r="F9" s="4">
        <v>0</v>
      </c>
      <c r="G9" s="4">
        <v>96587.199999999997</v>
      </c>
      <c r="H9" s="4">
        <v>101832.32000000001</v>
      </c>
      <c r="I9" s="4">
        <v>92921.9</v>
      </c>
      <c r="J9" s="4">
        <v>448384.1</v>
      </c>
      <c r="K9" s="4">
        <v>383514.8</v>
      </c>
      <c r="L9" s="4">
        <v>0</v>
      </c>
      <c r="M9" s="4">
        <v>715673.25</v>
      </c>
      <c r="N9" s="4">
        <v>0</v>
      </c>
      <c r="O9" s="4">
        <v>1079139</v>
      </c>
      <c r="P9" s="4">
        <v>0</v>
      </c>
      <c r="Q9" s="4">
        <v>0</v>
      </c>
      <c r="R9" s="4">
        <v>35597.1</v>
      </c>
      <c r="S9" s="4">
        <v>-3275.45</v>
      </c>
      <c r="T9" s="4">
        <v>37371.4</v>
      </c>
      <c r="U9" s="4">
        <v>65263.199999999997</v>
      </c>
      <c r="V9" s="4">
        <v>47462.5</v>
      </c>
      <c r="W9" s="4">
        <v>161647.22</v>
      </c>
      <c r="X9" s="4">
        <v>0</v>
      </c>
      <c r="Y9" s="4">
        <v>258650.2</v>
      </c>
      <c r="Z9" s="4">
        <v>0</v>
      </c>
      <c r="AA9" s="4">
        <v>67488.800000000003</v>
      </c>
      <c r="AB9" s="4">
        <v>0</v>
      </c>
      <c r="AC9" s="4">
        <v>0</v>
      </c>
      <c r="AD9" s="4">
        <v>210368.15</v>
      </c>
      <c r="AE9" s="4">
        <v>430508.15</v>
      </c>
      <c r="AF9" s="4">
        <v>48550.35</v>
      </c>
      <c r="AG9" s="4">
        <v>65036.9</v>
      </c>
      <c r="AH9" s="4">
        <v>0</v>
      </c>
      <c r="AI9" s="4">
        <v>0</v>
      </c>
      <c r="AJ9" s="4">
        <v>10123.799999999999</v>
      </c>
      <c r="AK9" s="4">
        <v>190861.4</v>
      </c>
      <c r="AL9" s="4">
        <v>0</v>
      </c>
      <c r="AM9" s="4">
        <v>125022.41</v>
      </c>
      <c r="AN9" s="4">
        <v>0</v>
      </c>
      <c r="AO9" s="4">
        <v>195403.96</v>
      </c>
      <c r="AP9" s="4">
        <v>67750.350000000006</v>
      </c>
      <c r="AQ9" s="4">
        <v>32525.4</v>
      </c>
      <c r="AR9" s="4">
        <v>406335.5</v>
      </c>
      <c r="AS9" s="4">
        <v>0</v>
      </c>
      <c r="AT9" s="4">
        <v>130790.95</v>
      </c>
      <c r="AU9" s="4">
        <v>0</v>
      </c>
      <c r="AV9" s="4">
        <v>71296.350000000006</v>
      </c>
      <c r="AW9" s="4">
        <v>115750.8</v>
      </c>
      <c r="AX9" s="4">
        <v>0</v>
      </c>
      <c r="AY9" s="4">
        <v>0</v>
      </c>
      <c r="AZ9" s="4">
        <v>0</v>
      </c>
      <c r="BA9" s="4">
        <v>503619.9</v>
      </c>
      <c r="BB9" s="4">
        <v>782662.92</v>
      </c>
      <c r="BC9" s="4">
        <v>41348.6</v>
      </c>
      <c r="BD9" s="4">
        <v>908545.95</v>
      </c>
      <c r="BE9" s="4">
        <v>0</v>
      </c>
      <c r="BF9" s="4">
        <f t="shared" si="3"/>
        <v>9253437.1400000006</v>
      </c>
      <c r="BG9" s="4">
        <f t="shared" si="4"/>
        <v>4590796.3</v>
      </c>
      <c r="BH9" s="4">
        <f t="shared" si="5"/>
        <v>1090726.3500000001</v>
      </c>
      <c r="BI9" s="4">
        <f t="shared" si="6"/>
        <v>3571914.49</v>
      </c>
    </row>
    <row r="10" spans="1:61" x14ac:dyDescent="0.25">
      <c r="C10">
        <v>504</v>
      </c>
      <c r="D10" t="s">
        <v>460</v>
      </c>
      <c r="E10" s="4">
        <v>0</v>
      </c>
      <c r="F10" s="4">
        <v>5350</v>
      </c>
      <c r="G10" s="4">
        <v>-16745.45</v>
      </c>
      <c r="H10" s="4">
        <v>0</v>
      </c>
      <c r="I10" s="4">
        <v>246435.57</v>
      </c>
      <c r="J10" s="4">
        <v>128392.84</v>
      </c>
      <c r="K10" s="4">
        <v>270261.2</v>
      </c>
      <c r="L10" s="4">
        <v>0</v>
      </c>
      <c r="M10" s="4">
        <v>0</v>
      </c>
      <c r="N10" s="4">
        <v>0</v>
      </c>
      <c r="O10" s="4">
        <v>1680042.4</v>
      </c>
      <c r="P10" s="4">
        <v>0</v>
      </c>
      <c r="Q10" s="4">
        <v>0</v>
      </c>
      <c r="R10" s="4">
        <v>0</v>
      </c>
      <c r="S10" s="4">
        <v>0</v>
      </c>
      <c r="T10" s="4">
        <v>130877.45</v>
      </c>
      <c r="U10" s="4">
        <v>0</v>
      </c>
      <c r="V10" s="4">
        <v>0</v>
      </c>
      <c r="W10" s="4">
        <v>1135891.28</v>
      </c>
      <c r="X10" s="4">
        <v>68089.8</v>
      </c>
      <c r="Y10" s="4">
        <v>-18940.349999999999</v>
      </c>
      <c r="Z10" s="4">
        <v>0</v>
      </c>
      <c r="AA10" s="4">
        <v>0</v>
      </c>
      <c r="AB10" s="4">
        <v>20799.7</v>
      </c>
      <c r="AC10" s="4">
        <v>0</v>
      </c>
      <c r="AD10" s="4">
        <v>3930.65</v>
      </c>
      <c r="AE10" s="4">
        <v>0</v>
      </c>
      <c r="AF10" s="4">
        <v>0</v>
      </c>
      <c r="AG10" s="4">
        <v>0</v>
      </c>
      <c r="AH10" s="4">
        <v>0</v>
      </c>
      <c r="AI10" s="4">
        <v>160311.04999999999</v>
      </c>
      <c r="AJ10" s="4">
        <v>0</v>
      </c>
      <c r="AK10" s="4">
        <v>0</v>
      </c>
      <c r="AL10" s="4">
        <v>292892</v>
      </c>
      <c r="AM10" s="4">
        <v>3265</v>
      </c>
      <c r="AN10" s="4">
        <v>0</v>
      </c>
      <c r="AO10" s="4">
        <v>151628.95000000001</v>
      </c>
      <c r="AP10" s="4">
        <v>0</v>
      </c>
      <c r="AQ10" s="4">
        <v>60170.2</v>
      </c>
      <c r="AR10" s="4">
        <v>0</v>
      </c>
      <c r="AS10" s="4">
        <v>0</v>
      </c>
      <c r="AT10" s="4">
        <v>72253.45</v>
      </c>
      <c r="AU10" s="4">
        <v>2455.5500000000002</v>
      </c>
      <c r="AV10" s="4">
        <v>28575</v>
      </c>
      <c r="AW10" s="4">
        <v>2975.75</v>
      </c>
      <c r="AX10" s="4">
        <v>0</v>
      </c>
      <c r="AY10" s="4">
        <v>0</v>
      </c>
      <c r="AZ10" s="4">
        <v>0</v>
      </c>
      <c r="BA10" s="4">
        <v>0</v>
      </c>
      <c r="BB10" s="4">
        <v>47135.8</v>
      </c>
      <c r="BC10" s="4">
        <v>0</v>
      </c>
      <c r="BD10" s="4">
        <v>1971972.86</v>
      </c>
      <c r="BE10" s="4">
        <v>0</v>
      </c>
      <c r="BF10" s="4">
        <f t="shared" si="3"/>
        <v>6448020.7000000002</v>
      </c>
      <c r="BG10" s="4">
        <f t="shared" si="4"/>
        <v>3580505.29</v>
      </c>
      <c r="BH10" s="4">
        <f t="shared" si="5"/>
        <v>234190.84999999998</v>
      </c>
      <c r="BI10" s="4">
        <f t="shared" si="6"/>
        <v>2633324.56</v>
      </c>
    </row>
    <row r="11" spans="1:61" x14ac:dyDescent="0.25">
      <c r="C11">
        <v>505</v>
      </c>
      <c r="D11" t="s">
        <v>461</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42760</v>
      </c>
      <c r="AA11" s="4">
        <v>0</v>
      </c>
      <c r="AB11" s="4">
        <v>0</v>
      </c>
      <c r="AC11" s="4">
        <v>0</v>
      </c>
      <c r="AD11" s="4">
        <v>0</v>
      </c>
      <c r="AE11" s="4">
        <v>0</v>
      </c>
      <c r="AF11" s="4">
        <v>0</v>
      </c>
      <c r="AG11" s="4">
        <v>23942.25</v>
      </c>
      <c r="AH11" s="4">
        <v>0</v>
      </c>
      <c r="AI11" s="4">
        <v>0</v>
      </c>
      <c r="AJ11" s="4">
        <v>0</v>
      </c>
      <c r="AK11" s="4">
        <v>0</v>
      </c>
      <c r="AL11" s="4">
        <v>0</v>
      </c>
      <c r="AM11" s="4">
        <v>0</v>
      </c>
      <c r="AN11" s="4">
        <v>0</v>
      </c>
      <c r="AO11" s="4">
        <v>0</v>
      </c>
      <c r="AP11" s="4">
        <v>9226.5</v>
      </c>
      <c r="AQ11" s="4">
        <v>0</v>
      </c>
      <c r="AR11" s="4">
        <v>0</v>
      </c>
      <c r="AS11" s="4">
        <v>0</v>
      </c>
      <c r="AT11" s="4">
        <v>0</v>
      </c>
      <c r="AU11" s="4">
        <v>0</v>
      </c>
      <c r="AV11" s="4">
        <v>0</v>
      </c>
      <c r="AW11" s="4">
        <v>0</v>
      </c>
      <c r="AX11" s="4">
        <v>0</v>
      </c>
      <c r="AY11" s="4">
        <v>0</v>
      </c>
      <c r="AZ11" s="4">
        <v>0</v>
      </c>
      <c r="BA11" s="4">
        <v>0</v>
      </c>
      <c r="BB11" s="4">
        <v>88499.75</v>
      </c>
      <c r="BC11" s="4">
        <v>0</v>
      </c>
      <c r="BD11" s="4">
        <v>0</v>
      </c>
      <c r="BE11" s="4">
        <v>0</v>
      </c>
      <c r="BF11" s="4">
        <f t="shared" si="3"/>
        <v>164428.5</v>
      </c>
      <c r="BG11" s="4">
        <f t="shared" si="4"/>
        <v>0</v>
      </c>
      <c r="BH11" s="4">
        <f t="shared" si="5"/>
        <v>66702.25</v>
      </c>
      <c r="BI11" s="4">
        <f t="shared" si="6"/>
        <v>97726.25</v>
      </c>
    </row>
    <row r="12" spans="1:61" x14ac:dyDescent="0.25">
      <c r="C12">
        <v>506</v>
      </c>
      <c r="D12" t="s">
        <v>462</v>
      </c>
      <c r="E12" s="4">
        <v>0</v>
      </c>
      <c r="F12" s="4">
        <v>0</v>
      </c>
      <c r="G12" s="4">
        <v>0</v>
      </c>
      <c r="H12" s="4">
        <v>0</v>
      </c>
      <c r="I12" s="4">
        <v>22472.75</v>
      </c>
      <c r="J12" s="4">
        <v>103791.15</v>
      </c>
      <c r="K12" s="4">
        <v>4112.75</v>
      </c>
      <c r="L12" s="4">
        <v>0</v>
      </c>
      <c r="M12" s="4">
        <v>56759.85</v>
      </c>
      <c r="N12" s="4">
        <v>0</v>
      </c>
      <c r="O12" s="4">
        <v>156539.1</v>
      </c>
      <c r="P12" s="4">
        <v>0</v>
      </c>
      <c r="Q12" s="4">
        <v>0</v>
      </c>
      <c r="R12" s="4">
        <v>0</v>
      </c>
      <c r="S12" s="4">
        <v>0</v>
      </c>
      <c r="T12" s="4">
        <v>0</v>
      </c>
      <c r="U12" s="4">
        <v>0</v>
      </c>
      <c r="V12" s="4">
        <v>0</v>
      </c>
      <c r="W12" s="4">
        <v>65741.52</v>
      </c>
      <c r="X12" s="4">
        <v>0</v>
      </c>
      <c r="Y12" s="4">
        <v>996</v>
      </c>
      <c r="Z12" s="4">
        <v>0</v>
      </c>
      <c r="AA12" s="4">
        <v>0</v>
      </c>
      <c r="AB12" s="4">
        <v>0</v>
      </c>
      <c r="AC12" s="4">
        <v>85082.3</v>
      </c>
      <c r="AD12" s="4">
        <v>0</v>
      </c>
      <c r="AE12" s="4">
        <v>0</v>
      </c>
      <c r="AF12" s="4">
        <v>0</v>
      </c>
      <c r="AG12" s="4">
        <v>260826.25</v>
      </c>
      <c r="AH12" s="4">
        <v>157225.85</v>
      </c>
      <c r="AI12" s="4">
        <v>48465</v>
      </c>
      <c r="AJ12" s="4">
        <v>0</v>
      </c>
      <c r="AK12" s="4">
        <v>0</v>
      </c>
      <c r="AL12" s="4">
        <v>66401.100000000006</v>
      </c>
      <c r="AM12" s="4">
        <v>0</v>
      </c>
      <c r="AN12" s="4">
        <v>0</v>
      </c>
      <c r="AO12" s="4">
        <v>0</v>
      </c>
      <c r="AP12" s="4">
        <v>2693.05</v>
      </c>
      <c r="AQ12" s="4">
        <v>66045.350000000006</v>
      </c>
      <c r="AR12" s="4">
        <v>55659.35</v>
      </c>
      <c r="AS12" s="4">
        <v>0</v>
      </c>
      <c r="AT12" s="4">
        <v>241284.2</v>
      </c>
      <c r="AU12" s="4">
        <v>31858.1</v>
      </c>
      <c r="AV12" s="4">
        <v>0</v>
      </c>
      <c r="AW12" s="4">
        <v>14502.55</v>
      </c>
      <c r="AX12" s="4">
        <v>0</v>
      </c>
      <c r="AY12" s="4">
        <v>0</v>
      </c>
      <c r="AZ12" s="4">
        <v>0</v>
      </c>
      <c r="BA12" s="4">
        <v>0</v>
      </c>
      <c r="BB12" s="4">
        <v>0</v>
      </c>
      <c r="BC12" s="4">
        <v>0</v>
      </c>
      <c r="BD12" s="4">
        <v>84568.41</v>
      </c>
      <c r="BE12" s="4">
        <v>0</v>
      </c>
      <c r="BF12" s="4">
        <f t="shared" si="3"/>
        <v>1525024.6300000001</v>
      </c>
      <c r="BG12" s="4">
        <f t="shared" si="4"/>
        <v>409417.12</v>
      </c>
      <c r="BH12" s="4">
        <f t="shared" si="5"/>
        <v>552595.4</v>
      </c>
      <c r="BI12" s="4">
        <f t="shared" si="6"/>
        <v>563012.11</v>
      </c>
    </row>
    <row r="13" spans="1:61" x14ac:dyDescent="0.25">
      <c r="C13">
        <v>509</v>
      </c>
      <c r="D13" t="s">
        <v>463</v>
      </c>
      <c r="E13" s="4">
        <v>0</v>
      </c>
      <c r="F13" s="4">
        <v>0</v>
      </c>
      <c r="G13" s="4">
        <v>0</v>
      </c>
      <c r="H13" s="4">
        <v>0</v>
      </c>
      <c r="I13" s="4">
        <v>0</v>
      </c>
      <c r="J13" s="4">
        <v>0</v>
      </c>
      <c r="K13" s="4">
        <v>0</v>
      </c>
      <c r="L13" s="4">
        <v>0</v>
      </c>
      <c r="M13" s="4">
        <v>0</v>
      </c>
      <c r="N13" s="4">
        <v>0</v>
      </c>
      <c r="O13" s="4">
        <v>5842.9</v>
      </c>
      <c r="P13" s="4">
        <v>0</v>
      </c>
      <c r="Q13" s="4">
        <v>0</v>
      </c>
      <c r="R13" s="4">
        <v>0</v>
      </c>
      <c r="S13" s="4">
        <v>0</v>
      </c>
      <c r="T13" s="4">
        <v>0</v>
      </c>
      <c r="U13" s="4">
        <v>0</v>
      </c>
      <c r="V13" s="4">
        <v>0</v>
      </c>
      <c r="W13" s="4">
        <v>0</v>
      </c>
      <c r="X13" s="4">
        <v>0</v>
      </c>
      <c r="Y13" s="4">
        <v>2127.5</v>
      </c>
      <c r="Z13" s="4">
        <v>0</v>
      </c>
      <c r="AA13" s="4">
        <v>0</v>
      </c>
      <c r="AB13" s="4">
        <v>0</v>
      </c>
      <c r="AC13" s="4">
        <v>0</v>
      </c>
      <c r="AD13" s="4">
        <v>0</v>
      </c>
      <c r="AE13" s="4">
        <v>0</v>
      </c>
      <c r="AF13" s="4">
        <v>0</v>
      </c>
      <c r="AG13" s="4">
        <v>0</v>
      </c>
      <c r="AH13" s="4">
        <v>30305.05</v>
      </c>
      <c r="AI13" s="4">
        <v>0</v>
      </c>
      <c r="AJ13" s="4">
        <v>0</v>
      </c>
      <c r="AK13" s="4">
        <v>0</v>
      </c>
      <c r="AL13" s="4">
        <v>0</v>
      </c>
      <c r="AM13" s="4">
        <v>0</v>
      </c>
      <c r="AN13" s="4">
        <v>0</v>
      </c>
      <c r="AO13" s="4">
        <v>0</v>
      </c>
      <c r="AP13" s="4">
        <v>0</v>
      </c>
      <c r="AQ13" s="4">
        <v>0</v>
      </c>
      <c r="AR13" s="4">
        <v>0</v>
      </c>
      <c r="AS13" s="4">
        <v>0</v>
      </c>
      <c r="AT13" s="4">
        <v>0</v>
      </c>
      <c r="AU13" s="4">
        <v>0</v>
      </c>
      <c r="AV13" s="4">
        <v>0</v>
      </c>
      <c r="AW13" s="4">
        <v>0</v>
      </c>
      <c r="AX13" s="4">
        <v>0</v>
      </c>
      <c r="AY13" s="4">
        <v>0</v>
      </c>
      <c r="AZ13" s="4">
        <v>0</v>
      </c>
      <c r="BA13" s="4">
        <v>0</v>
      </c>
      <c r="BB13" s="4">
        <v>0</v>
      </c>
      <c r="BC13" s="4">
        <v>0</v>
      </c>
      <c r="BD13" s="4">
        <v>6156.85</v>
      </c>
      <c r="BE13" s="4">
        <v>0</v>
      </c>
      <c r="BF13" s="4">
        <f t="shared" si="3"/>
        <v>44432.299999999996</v>
      </c>
      <c r="BG13" s="4">
        <f t="shared" si="4"/>
        <v>5842.9</v>
      </c>
      <c r="BH13" s="4">
        <f t="shared" si="5"/>
        <v>32432.55</v>
      </c>
      <c r="BI13" s="4">
        <f t="shared" si="6"/>
        <v>6156.85</v>
      </c>
    </row>
    <row r="14" spans="1:61" x14ac:dyDescent="0.25">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row>
    <row r="15" spans="1:61" x14ac:dyDescent="0.25">
      <c r="B15" s="56">
        <v>51</v>
      </c>
      <c r="C15" s="56"/>
      <c r="D15" s="56" t="s">
        <v>455</v>
      </c>
      <c r="E15" s="57">
        <f>E16+E17+E18+E19+E20+E21+E22+E23</f>
        <v>0</v>
      </c>
      <c r="F15" s="57">
        <f t="shared" ref="F15:BE15" si="7">F16+F17+F18+F19+F20+F21+F22+F23</f>
        <v>0</v>
      </c>
      <c r="G15" s="57">
        <f t="shared" si="7"/>
        <v>0</v>
      </c>
      <c r="H15" s="57">
        <f t="shared" si="7"/>
        <v>0</v>
      </c>
      <c r="I15" s="57">
        <f t="shared" si="7"/>
        <v>50237.75</v>
      </c>
      <c r="J15" s="57">
        <f t="shared" si="7"/>
        <v>18040.599999999999</v>
      </c>
      <c r="K15" s="57">
        <f t="shared" si="7"/>
        <v>0</v>
      </c>
      <c r="L15" s="57">
        <f t="shared" si="7"/>
        <v>0</v>
      </c>
      <c r="M15" s="57">
        <f t="shared" si="7"/>
        <v>0</v>
      </c>
      <c r="N15" s="57">
        <f t="shared" si="7"/>
        <v>41267.75</v>
      </c>
      <c r="O15" s="57">
        <f t="shared" si="7"/>
        <v>24701.05</v>
      </c>
      <c r="P15" s="57">
        <f t="shared" si="7"/>
        <v>0</v>
      </c>
      <c r="Q15" s="57">
        <f t="shared" si="7"/>
        <v>0</v>
      </c>
      <c r="R15" s="57">
        <f t="shared" si="7"/>
        <v>0</v>
      </c>
      <c r="S15" s="57">
        <f t="shared" si="7"/>
        <v>0</v>
      </c>
      <c r="T15" s="57">
        <f t="shared" si="7"/>
        <v>0</v>
      </c>
      <c r="U15" s="57">
        <f t="shared" si="7"/>
        <v>0</v>
      </c>
      <c r="V15" s="57">
        <f t="shared" si="7"/>
        <v>0</v>
      </c>
      <c r="W15" s="57">
        <f t="shared" si="7"/>
        <v>63272.35</v>
      </c>
      <c r="X15" s="57">
        <f t="shared" si="7"/>
        <v>0</v>
      </c>
      <c r="Y15" s="57">
        <f t="shared" si="7"/>
        <v>356579.15</v>
      </c>
      <c r="Z15" s="57">
        <f t="shared" si="7"/>
        <v>0</v>
      </c>
      <c r="AA15" s="57">
        <f t="shared" si="7"/>
        <v>0</v>
      </c>
      <c r="AB15" s="57">
        <f t="shared" si="7"/>
        <v>0</v>
      </c>
      <c r="AC15" s="57">
        <f t="shared" si="7"/>
        <v>0</v>
      </c>
      <c r="AD15" s="57">
        <f t="shared" si="7"/>
        <v>0</v>
      </c>
      <c r="AE15" s="57">
        <f t="shared" si="7"/>
        <v>6968.75</v>
      </c>
      <c r="AF15" s="57">
        <f t="shared" si="7"/>
        <v>129284.45</v>
      </c>
      <c r="AG15" s="57">
        <f t="shared" si="7"/>
        <v>0</v>
      </c>
      <c r="AH15" s="57">
        <f t="shared" si="7"/>
        <v>0</v>
      </c>
      <c r="AI15" s="57">
        <f t="shared" si="7"/>
        <v>0</v>
      </c>
      <c r="AJ15" s="57">
        <f t="shared" si="7"/>
        <v>0</v>
      </c>
      <c r="AK15" s="57">
        <f t="shared" si="7"/>
        <v>2320012.9</v>
      </c>
      <c r="AL15" s="57">
        <f t="shared" si="7"/>
        <v>0</v>
      </c>
      <c r="AM15" s="57">
        <f t="shared" si="7"/>
        <v>108883.75</v>
      </c>
      <c r="AN15" s="57">
        <f t="shared" si="7"/>
        <v>0</v>
      </c>
      <c r="AO15" s="57">
        <f t="shared" si="7"/>
        <v>0</v>
      </c>
      <c r="AP15" s="57">
        <f t="shared" si="7"/>
        <v>0</v>
      </c>
      <c r="AQ15" s="57">
        <f t="shared" si="7"/>
        <v>0</v>
      </c>
      <c r="AR15" s="57">
        <f t="shared" si="7"/>
        <v>0</v>
      </c>
      <c r="AS15" s="57">
        <f t="shared" si="7"/>
        <v>0</v>
      </c>
      <c r="AT15" s="57">
        <f t="shared" si="7"/>
        <v>0</v>
      </c>
      <c r="AU15" s="57">
        <f t="shared" si="7"/>
        <v>1453.95</v>
      </c>
      <c r="AV15" s="57">
        <f t="shared" si="7"/>
        <v>0</v>
      </c>
      <c r="AW15" s="57">
        <f t="shared" si="7"/>
        <v>0</v>
      </c>
      <c r="AX15" s="57">
        <f t="shared" si="7"/>
        <v>0</v>
      </c>
      <c r="AY15" s="57">
        <f t="shared" si="7"/>
        <v>0</v>
      </c>
      <c r="AZ15" s="57">
        <f t="shared" si="7"/>
        <v>0</v>
      </c>
      <c r="BA15" s="57">
        <f t="shared" si="7"/>
        <v>0</v>
      </c>
      <c r="BB15" s="57">
        <f t="shared" si="7"/>
        <v>0</v>
      </c>
      <c r="BC15" s="57">
        <f t="shared" si="7"/>
        <v>0</v>
      </c>
      <c r="BD15" s="57">
        <f t="shared" si="7"/>
        <v>51198.2</v>
      </c>
      <c r="BE15" s="57">
        <f t="shared" si="7"/>
        <v>0</v>
      </c>
      <c r="BF15" s="57">
        <f t="shared" ref="BF15" si="8">BF16+BF17+BF18+BF19+BF20+BF21+BF22+BF23</f>
        <v>3171900.65</v>
      </c>
      <c r="BG15" s="57">
        <f t="shared" ref="BG15" si="9">BG16+BG17+BG18+BG19+BG20+BG21+BG22+BG23</f>
        <v>197519.5</v>
      </c>
      <c r="BH15" s="57">
        <f t="shared" ref="BH15" si="10">BH16+BH17+BH18+BH19+BH20+BH21+BH22+BH23</f>
        <v>492832.35000000003</v>
      </c>
      <c r="BI15" s="57">
        <f t="shared" ref="BI15" si="11">BI16+BI17+BI18+BI19+BI20+BI21+BI22+BI23</f>
        <v>2481548.7999999998</v>
      </c>
    </row>
    <row r="16" spans="1:61" x14ac:dyDescent="0.25">
      <c r="C16">
        <v>510</v>
      </c>
      <c r="D16" t="s">
        <v>456</v>
      </c>
      <c r="E16" s="4">
        <v>0</v>
      </c>
      <c r="F16" s="4">
        <v>0</v>
      </c>
      <c r="G16" s="4">
        <v>0</v>
      </c>
      <c r="H16" s="4">
        <v>0</v>
      </c>
      <c r="I16" s="4">
        <v>20012.849999999999</v>
      </c>
      <c r="J16" s="4">
        <v>0</v>
      </c>
      <c r="K16" s="4">
        <v>0</v>
      </c>
      <c r="L16" s="4">
        <v>0</v>
      </c>
      <c r="M16" s="4">
        <v>0</v>
      </c>
      <c r="N16" s="4">
        <v>41267.75</v>
      </c>
      <c r="O16" s="4">
        <v>0</v>
      </c>
      <c r="P16" s="4">
        <v>0</v>
      </c>
      <c r="Q16" s="4">
        <v>0</v>
      </c>
      <c r="R16" s="4">
        <v>0</v>
      </c>
      <c r="S16" s="4">
        <v>0</v>
      </c>
      <c r="T16" s="4">
        <v>0</v>
      </c>
      <c r="U16" s="4">
        <v>0</v>
      </c>
      <c r="V16" s="4">
        <v>0</v>
      </c>
      <c r="W16" s="4">
        <v>0</v>
      </c>
      <c r="X16" s="4">
        <v>0</v>
      </c>
      <c r="Y16" s="4">
        <v>0</v>
      </c>
      <c r="Z16" s="4">
        <v>0</v>
      </c>
      <c r="AA16" s="4">
        <v>0</v>
      </c>
      <c r="AB16" s="4">
        <v>0</v>
      </c>
      <c r="AC16" s="4">
        <v>0</v>
      </c>
      <c r="AD16" s="4">
        <v>0</v>
      </c>
      <c r="AE16" s="4">
        <v>0</v>
      </c>
      <c r="AF16" s="4">
        <v>0</v>
      </c>
      <c r="AG16" s="4">
        <v>0</v>
      </c>
      <c r="AH16" s="4">
        <v>0</v>
      </c>
      <c r="AI16" s="4">
        <v>0</v>
      </c>
      <c r="AJ16" s="4">
        <v>0</v>
      </c>
      <c r="AK16" s="4">
        <v>0</v>
      </c>
      <c r="AL16" s="4">
        <v>0</v>
      </c>
      <c r="AM16" s="4">
        <v>0</v>
      </c>
      <c r="AN16" s="4">
        <v>0</v>
      </c>
      <c r="AO16" s="4">
        <v>0</v>
      </c>
      <c r="AP16" s="4">
        <v>0</v>
      </c>
      <c r="AQ16" s="4">
        <v>0</v>
      </c>
      <c r="AR16" s="4">
        <v>0</v>
      </c>
      <c r="AS16" s="4">
        <v>0</v>
      </c>
      <c r="AT16" s="4">
        <v>0</v>
      </c>
      <c r="AU16" s="4">
        <v>1453.95</v>
      </c>
      <c r="AV16" s="4">
        <v>0</v>
      </c>
      <c r="AW16" s="4">
        <v>0</v>
      </c>
      <c r="AX16" s="4">
        <v>0</v>
      </c>
      <c r="AY16" s="4">
        <v>0</v>
      </c>
      <c r="AZ16" s="4">
        <v>0</v>
      </c>
      <c r="BA16" s="4">
        <v>0</v>
      </c>
      <c r="BB16" s="4">
        <v>0</v>
      </c>
      <c r="BC16" s="4">
        <v>0</v>
      </c>
      <c r="BD16" s="4">
        <v>0</v>
      </c>
      <c r="BE16" s="4">
        <v>0</v>
      </c>
      <c r="BF16" s="4">
        <f>SUM(E16:BE16)</f>
        <v>62734.549999999996</v>
      </c>
      <c r="BG16" s="4">
        <f t="shared" ref="BG16:BG23" si="12">SUM(E16:W16)</f>
        <v>61280.6</v>
      </c>
      <c r="BH16" s="4">
        <f t="shared" ref="BH16:BH23" si="13">SUM(X16:AJ16)</f>
        <v>0</v>
      </c>
      <c r="BI16" s="4">
        <f t="shared" ref="BI16:BI23" si="14">SUM(AK16:BE16)</f>
        <v>1453.95</v>
      </c>
    </row>
    <row r="17" spans="2:61" x14ac:dyDescent="0.25">
      <c r="C17">
        <v>511</v>
      </c>
      <c r="D17" t="s">
        <v>457</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4">
        <v>0</v>
      </c>
      <c r="AB17" s="4">
        <v>0</v>
      </c>
      <c r="AC17" s="4">
        <v>0</v>
      </c>
      <c r="AD17" s="4">
        <v>0</v>
      </c>
      <c r="AE17" s="4">
        <v>0</v>
      </c>
      <c r="AF17" s="4">
        <v>0</v>
      </c>
      <c r="AG17" s="4">
        <v>0</v>
      </c>
      <c r="AH17" s="4">
        <v>0</v>
      </c>
      <c r="AI17" s="4">
        <v>0</v>
      </c>
      <c r="AJ17" s="4">
        <v>0</v>
      </c>
      <c r="AK17" s="4">
        <v>0</v>
      </c>
      <c r="AL17" s="4">
        <v>0</v>
      </c>
      <c r="AM17" s="4">
        <v>0</v>
      </c>
      <c r="AN17" s="4">
        <v>0</v>
      </c>
      <c r="AO17" s="4">
        <v>0</v>
      </c>
      <c r="AP17" s="4">
        <v>0</v>
      </c>
      <c r="AQ17" s="4">
        <v>0</v>
      </c>
      <c r="AR17" s="4">
        <v>0</v>
      </c>
      <c r="AS17" s="4">
        <v>0</v>
      </c>
      <c r="AT17" s="4">
        <v>0</v>
      </c>
      <c r="AU17" s="4">
        <v>0</v>
      </c>
      <c r="AV17" s="4">
        <v>0</v>
      </c>
      <c r="AW17" s="4">
        <v>0</v>
      </c>
      <c r="AX17" s="4">
        <v>0</v>
      </c>
      <c r="AY17" s="4">
        <v>0</v>
      </c>
      <c r="AZ17" s="4">
        <v>0</v>
      </c>
      <c r="BA17" s="4">
        <v>0</v>
      </c>
      <c r="BB17" s="4">
        <v>0</v>
      </c>
      <c r="BC17" s="4">
        <v>0</v>
      </c>
      <c r="BD17" s="4">
        <v>0</v>
      </c>
      <c r="BE17" s="4">
        <v>0</v>
      </c>
      <c r="BF17" s="4">
        <f t="shared" ref="BF17:BF23" si="15">SUM(E17:BE17)</f>
        <v>0</v>
      </c>
      <c r="BG17" s="4">
        <f t="shared" si="12"/>
        <v>0</v>
      </c>
      <c r="BH17" s="4">
        <f t="shared" si="13"/>
        <v>0</v>
      </c>
      <c r="BI17" s="4">
        <f t="shared" si="14"/>
        <v>0</v>
      </c>
    </row>
    <row r="18" spans="2:61" x14ac:dyDescent="0.25">
      <c r="C18">
        <v>512</v>
      </c>
      <c r="D18" t="s">
        <v>458</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4">
        <v>0</v>
      </c>
      <c r="AG18" s="4">
        <v>0</v>
      </c>
      <c r="AH18" s="4">
        <v>0</v>
      </c>
      <c r="AI18" s="4">
        <v>0</v>
      </c>
      <c r="AJ18" s="4">
        <v>0</v>
      </c>
      <c r="AK18" s="4">
        <v>0</v>
      </c>
      <c r="AL18" s="4">
        <v>0</v>
      </c>
      <c r="AM18" s="4">
        <v>0</v>
      </c>
      <c r="AN18" s="4">
        <v>0</v>
      </c>
      <c r="AO18" s="4">
        <v>0</v>
      </c>
      <c r="AP18" s="4">
        <v>0</v>
      </c>
      <c r="AQ18" s="4">
        <v>0</v>
      </c>
      <c r="AR18" s="4">
        <v>0</v>
      </c>
      <c r="AS18" s="4">
        <v>0</v>
      </c>
      <c r="AT18" s="4">
        <v>0</v>
      </c>
      <c r="AU18" s="4">
        <v>0</v>
      </c>
      <c r="AV18" s="4">
        <v>0</v>
      </c>
      <c r="AW18" s="4">
        <v>0</v>
      </c>
      <c r="AX18" s="4">
        <v>0</v>
      </c>
      <c r="AY18" s="4">
        <v>0</v>
      </c>
      <c r="AZ18" s="4">
        <v>0</v>
      </c>
      <c r="BA18" s="4">
        <v>0</v>
      </c>
      <c r="BB18" s="4">
        <v>0</v>
      </c>
      <c r="BC18" s="4">
        <v>0</v>
      </c>
      <c r="BD18" s="4">
        <v>0</v>
      </c>
      <c r="BE18" s="4">
        <v>0</v>
      </c>
      <c r="BF18" s="4">
        <f t="shared" si="15"/>
        <v>0</v>
      </c>
      <c r="BG18" s="4">
        <f t="shared" si="12"/>
        <v>0</v>
      </c>
      <c r="BH18" s="4">
        <f t="shared" si="13"/>
        <v>0</v>
      </c>
      <c r="BI18" s="4">
        <f t="shared" si="14"/>
        <v>0</v>
      </c>
    </row>
    <row r="19" spans="2:61" x14ac:dyDescent="0.25">
      <c r="C19">
        <v>513</v>
      </c>
      <c r="D19" t="s">
        <v>459</v>
      </c>
      <c r="E19" s="4">
        <v>0</v>
      </c>
      <c r="F19" s="4">
        <v>0</v>
      </c>
      <c r="G19" s="4">
        <v>0</v>
      </c>
      <c r="H19" s="4">
        <v>0</v>
      </c>
      <c r="I19" s="4">
        <v>30224.9</v>
      </c>
      <c r="J19" s="4">
        <v>0</v>
      </c>
      <c r="K19" s="4">
        <v>0</v>
      </c>
      <c r="L19" s="4">
        <v>0</v>
      </c>
      <c r="M19" s="4">
        <v>0</v>
      </c>
      <c r="N19" s="4">
        <v>0</v>
      </c>
      <c r="O19" s="4">
        <v>0</v>
      </c>
      <c r="P19" s="4">
        <v>0</v>
      </c>
      <c r="Q19" s="4">
        <v>0</v>
      </c>
      <c r="R19" s="4">
        <v>0</v>
      </c>
      <c r="S19" s="4">
        <v>0</v>
      </c>
      <c r="T19" s="4">
        <v>0</v>
      </c>
      <c r="U19" s="4">
        <v>0</v>
      </c>
      <c r="V19" s="4">
        <v>0</v>
      </c>
      <c r="W19" s="4">
        <v>63272.35</v>
      </c>
      <c r="X19" s="4">
        <v>0</v>
      </c>
      <c r="Y19" s="4">
        <v>356579.15</v>
      </c>
      <c r="Z19" s="4">
        <v>0</v>
      </c>
      <c r="AA19" s="4">
        <v>0</v>
      </c>
      <c r="AB19" s="4">
        <v>0</v>
      </c>
      <c r="AC19" s="4">
        <v>0</v>
      </c>
      <c r="AD19" s="4">
        <v>0</v>
      </c>
      <c r="AE19" s="4">
        <v>6968.75</v>
      </c>
      <c r="AF19" s="4">
        <v>0</v>
      </c>
      <c r="AG19" s="4">
        <v>0</v>
      </c>
      <c r="AH19" s="4">
        <v>0</v>
      </c>
      <c r="AI19" s="4">
        <v>0</v>
      </c>
      <c r="AJ19" s="4">
        <v>0</v>
      </c>
      <c r="AK19" s="4">
        <v>0</v>
      </c>
      <c r="AL19" s="4">
        <v>0</v>
      </c>
      <c r="AM19" s="4">
        <v>0</v>
      </c>
      <c r="AN19" s="4">
        <v>0</v>
      </c>
      <c r="AO19" s="4">
        <v>0</v>
      </c>
      <c r="AP19" s="4">
        <v>0</v>
      </c>
      <c r="AQ19" s="4">
        <v>0</v>
      </c>
      <c r="AR19" s="4">
        <v>0</v>
      </c>
      <c r="AS19" s="4">
        <v>0</v>
      </c>
      <c r="AT19" s="4">
        <v>0</v>
      </c>
      <c r="AU19" s="4">
        <v>0</v>
      </c>
      <c r="AV19" s="4">
        <v>0</v>
      </c>
      <c r="AW19" s="4">
        <v>0</v>
      </c>
      <c r="AX19" s="4">
        <v>0</v>
      </c>
      <c r="AY19" s="4">
        <v>0</v>
      </c>
      <c r="AZ19" s="4">
        <v>0</v>
      </c>
      <c r="BA19" s="4">
        <v>0</v>
      </c>
      <c r="BB19" s="4">
        <v>0</v>
      </c>
      <c r="BC19" s="4">
        <v>0</v>
      </c>
      <c r="BD19" s="4">
        <v>0</v>
      </c>
      <c r="BE19" s="4">
        <v>0</v>
      </c>
      <c r="BF19" s="4">
        <f t="shared" si="15"/>
        <v>457045.15</v>
      </c>
      <c r="BG19" s="4">
        <f t="shared" si="12"/>
        <v>93497.25</v>
      </c>
      <c r="BH19" s="4">
        <f t="shared" si="13"/>
        <v>363547.9</v>
      </c>
      <c r="BI19" s="4">
        <f t="shared" si="14"/>
        <v>0</v>
      </c>
    </row>
    <row r="20" spans="2:61" x14ac:dyDescent="0.25">
      <c r="C20">
        <v>514</v>
      </c>
      <c r="D20" t="s">
        <v>460</v>
      </c>
      <c r="E20" s="4">
        <v>0</v>
      </c>
      <c r="F20" s="4">
        <v>0</v>
      </c>
      <c r="G20" s="4">
        <v>0</v>
      </c>
      <c r="H20" s="4">
        <v>0</v>
      </c>
      <c r="I20" s="4">
        <v>0</v>
      </c>
      <c r="J20" s="4">
        <v>0</v>
      </c>
      <c r="K20" s="4">
        <v>0</v>
      </c>
      <c r="L20" s="4">
        <v>0</v>
      </c>
      <c r="M20" s="4">
        <v>0</v>
      </c>
      <c r="N20" s="4">
        <v>0</v>
      </c>
      <c r="O20" s="4">
        <v>0</v>
      </c>
      <c r="P20" s="4">
        <v>0</v>
      </c>
      <c r="Q20" s="4">
        <v>0</v>
      </c>
      <c r="R20" s="4">
        <v>0</v>
      </c>
      <c r="S20" s="4">
        <v>0</v>
      </c>
      <c r="T20" s="4">
        <v>0</v>
      </c>
      <c r="U20" s="4">
        <v>0</v>
      </c>
      <c r="V20" s="4">
        <v>0</v>
      </c>
      <c r="W20" s="4">
        <v>0</v>
      </c>
      <c r="X20" s="4">
        <v>0</v>
      </c>
      <c r="Y20" s="4">
        <v>0</v>
      </c>
      <c r="Z20" s="4">
        <v>0</v>
      </c>
      <c r="AA20" s="4">
        <v>0</v>
      </c>
      <c r="AB20" s="4">
        <v>0</v>
      </c>
      <c r="AC20" s="4">
        <v>0</v>
      </c>
      <c r="AD20" s="4">
        <v>0</v>
      </c>
      <c r="AE20" s="4">
        <v>0</v>
      </c>
      <c r="AF20" s="4">
        <v>129284.45</v>
      </c>
      <c r="AG20" s="4">
        <v>0</v>
      </c>
      <c r="AH20" s="4">
        <v>0</v>
      </c>
      <c r="AI20" s="4">
        <v>0</v>
      </c>
      <c r="AJ20" s="4">
        <v>0</v>
      </c>
      <c r="AK20" s="4">
        <v>2320012.9</v>
      </c>
      <c r="AL20" s="4">
        <v>0</v>
      </c>
      <c r="AM20" s="4">
        <v>0</v>
      </c>
      <c r="AN20" s="4">
        <v>0</v>
      </c>
      <c r="AO20" s="4">
        <v>0</v>
      </c>
      <c r="AP20" s="4">
        <v>0</v>
      </c>
      <c r="AQ20" s="4">
        <v>0</v>
      </c>
      <c r="AR20" s="4">
        <v>0</v>
      </c>
      <c r="AS20" s="4">
        <v>0</v>
      </c>
      <c r="AT20" s="4">
        <v>0</v>
      </c>
      <c r="AU20" s="4">
        <v>0</v>
      </c>
      <c r="AV20" s="4">
        <v>0</v>
      </c>
      <c r="AW20" s="4">
        <v>0</v>
      </c>
      <c r="AX20" s="4">
        <v>0</v>
      </c>
      <c r="AY20" s="4">
        <v>0</v>
      </c>
      <c r="AZ20" s="4">
        <v>0</v>
      </c>
      <c r="BA20" s="4">
        <v>0</v>
      </c>
      <c r="BB20" s="4">
        <v>0</v>
      </c>
      <c r="BC20" s="4">
        <v>0</v>
      </c>
      <c r="BD20" s="4">
        <v>0</v>
      </c>
      <c r="BE20" s="4">
        <v>0</v>
      </c>
      <c r="BF20" s="4">
        <f t="shared" si="15"/>
        <v>2449297.35</v>
      </c>
      <c r="BG20" s="4">
        <f t="shared" si="12"/>
        <v>0</v>
      </c>
      <c r="BH20" s="4">
        <f t="shared" si="13"/>
        <v>129284.45</v>
      </c>
      <c r="BI20" s="4">
        <f t="shared" si="14"/>
        <v>2320012.9</v>
      </c>
    </row>
    <row r="21" spans="2:61" x14ac:dyDescent="0.25">
      <c r="C21">
        <v>515</v>
      </c>
      <c r="D21" t="s">
        <v>461</v>
      </c>
      <c r="E21" s="4">
        <v>0</v>
      </c>
      <c r="F21" s="4">
        <v>0</v>
      </c>
      <c r="G21" s="4">
        <v>0</v>
      </c>
      <c r="H21" s="4">
        <v>0</v>
      </c>
      <c r="I21" s="4">
        <v>0</v>
      </c>
      <c r="J21" s="4">
        <v>0</v>
      </c>
      <c r="K21" s="4">
        <v>0</v>
      </c>
      <c r="L21" s="4">
        <v>0</v>
      </c>
      <c r="M21" s="4">
        <v>0</v>
      </c>
      <c r="N21" s="4">
        <v>0</v>
      </c>
      <c r="O21" s="4">
        <v>0</v>
      </c>
      <c r="P21" s="4">
        <v>0</v>
      </c>
      <c r="Q21" s="4">
        <v>0</v>
      </c>
      <c r="R21" s="4">
        <v>0</v>
      </c>
      <c r="S21" s="4">
        <v>0</v>
      </c>
      <c r="T21" s="4">
        <v>0</v>
      </c>
      <c r="U21" s="4">
        <v>0</v>
      </c>
      <c r="V21" s="4">
        <v>0</v>
      </c>
      <c r="W21" s="4">
        <v>0</v>
      </c>
      <c r="X21" s="4">
        <v>0</v>
      </c>
      <c r="Y21" s="4">
        <v>0</v>
      </c>
      <c r="Z21" s="4">
        <v>0</v>
      </c>
      <c r="AA21" s="4">
        <v>0</v>
      </c>
      <c r="AB21" s="4">
        <v>0</v>
      </c>
      <c r="AC21" s="4">
        <v>0</v>
      </c>
      <c r="AD21" s="4">
        <v>0</v>
      </c>
      <c r="AE21" s="4">
        <v>0</v>
      </c>
      <c r="AF21" s="4">
        <v>0</v>
      </c>
      <c r="AG21" s="4">
        <v>0</v>
      </c>
      <c r="AH21" s="4">
        <v>0</v>
      </c>
      <c r="AI21" s="4">
        <v>0</v>
      </c>
      <c r="AJ21" s="4">
        <v>0</v>
      </c>
      <c r="AK21" s="4">
        <v>0</v>
      </c>
      <c r="AL21" s="4">
        <v>0</v>
      </c>
      <c r="AM21" s="4">
        <v>47224.3</v>
      </c>
      <c r="AN21" s="4">
        <v>0</v>
      </c>
      <c r="AO21" s="4">
        <v>0</v>
      </c>
      <c r="AP21" s="4">
        <v>0</v>
      </c>
      <c r="AQ21" s="4">
        <v>0</v>
      </c>
      <c r="AR21" s="4">
        <v>0</v>
      </c>
      <c r="AS21" s="4">
        <v>0</v>
      </c>
      <c r="AT21" s="4">
        <v>0</v>
      </c>
      <c r="AU21" s="4">
        <v>0</v>
      </c>
      <c r="AV21" s="4">
        <v>0</v>
      </c>
      <c r="AW21" s="4">
        <v>0</v>
      </c>
      <c r="AX21" s="4">
        <v>0</v>
      </c>
      <c r="AY21" s="4">
        <v>0</v>
      </c>
      <c r="AZ21" s="4">
        <v>0</v>
      </c>
      <c r="BA21" s="4">
        <v>0</v>
      </c>
      <c r="BB21" s="4">
        <v>0</v>
      </c>
      <c r="BC21" s="4">
        <v>0</v>
      </c>
      <c r="BD21" s="4">
        <v>0</v>
      </c>
      <c r="BE21" s="4">
        <v>0</v>
      </c>
      <c r="BF21" s="4">
        <f t="shared" si="15"/>
        <v>47224.3</v>
      </c>
      <c r="BG21" s="4">
        <f t="shared" si="12"/>
        <v>0</v>
      </c>
      <c r="BH21" s="4">
        <f t="shared" si="13"/>
        <v>0</v>
      </c>
      <c r="BI21" s="4">
        <f t="shared" si="14"/>
        <v>47224.3</v>
      </c>
    </row>
    <row r="22" spans="2:61" x14ac:dyDescent="0.25">
      <c r="C22">
        <v>516</v>
      </c>
      <c r="D22" t="s">
        <v>462</v>
      </c>
      <c r="E22" s="4">
        <v>0</v>
      </c>
      <c r="F22" s="4">
        <v>0</v>
      </c>
      <c r="G22" s="4">
        <v>0</v>
      </c>
      <c r="H22" s="4">
        <v>0</v>
      </c>
      <c r="I22" s="4">
        <v>0</v>
      </c>
      <c r="J22" s="4">
        <v>18040.599999999999</v>
      </c>
      <c r="K22" s="4">
        <v>0</v>
      </c>
      <c r="L22" s="4">
        <v>0</v>
      </c>
      <c r="M22" s="4">
        <v>0</v>
      </c>
      <c r="N22" s="4">
        <v>0</v>
      </c>
      <c r="O22" s="4">
        <v>0</v>
      </c>
      <c r="P22" s="4">
        <v>0</v>
      </c>
      <c r="Q22" s="4">
        <v>0</v>
      </c>
      <c r="R22" s="4">
        <v>0</v>
      </c>
      <c r="S22" s="4">
        <v>0</v>
      </c>
      <c r="T22" s="4">
        <v>0</v>
      </c>
      <c r="U22" s="4">
        <v>0</v>
      </c>
      <c r="V22" s="4">
        <v>0</v>
      </c>
      <c r="W22" s="4">
        <v>0</v>
      </c>
      <c r="X22" s="4">
        <v>0</v>
      </c>
      <c r="Y22" s="4">
        <v>0</v>
      </c>
      <c r="Z22" s="4">
        <v>0</v>
      </c>
      <c r="AA22" s="4">
        <v>0</v>
      </c>
      <c r="AB22" s="4">
        <v>0</v>
      </c>
      <c r="AC22" s="4">
        <v>0</v>
      </c>
      <c r="AD22" s="4">
        <v>0</v>
      </c>
      <c r="AE22" s="4">
        <v>0</v>
      </c>
      <c r="AF22" s="4">
        <v>0</v>
      </c>
      <c r="AG22" s="4">
        <v>0</v>
      </c>
      <c r="AH22" s="4">
        <v>0</v>
      </c>
      <c r="AI22" s="4">
        <v>0</v>
      </c>
      <c r="AJ22" s="4">
        <v>0</v>
      </c>
      <c r="AK22" s="4">
        <v>0</v>
      </c>
      <c r="AL22" s="4">
        <v>0</v>
      </c>
      <c r="AM22" s="4">
        <v>61659.45</v>
      </c>
      <c r="AN22" s="4">
        <v>0</v>
      </c>
      <c r="AO22" s="4">
        <v>0</v>
      </c>
      <c r="AP22" s="4">
        <v>0</v>
      </c>
      <c r="AQ22" s="4">
        <v>0</v>
      </c>
      <c r="AR22" s="4">
        <v>0</v>
      </c>
      <c r="AS22" s="4">
        <v>0</v>
      </c>
      <c r="AT22" s="4">
        <v>0</v>
      </c>
      <c r="AU22" s="4">
        <v>0</v>
      </c>
      <c r="AV22" s="4">
        <v>0</v>
      </c>
      <c r="AW22" s="4">
        <v>0</v>
      </c>
      <c r="AX22" s="4">
        <v>0</v>
      </c>
      <c r="AY22" s="4">
        <v>0</v>
      </c>
      <c r="AZ22" s="4">
        <v>0</v>
      </c>
      <c r="BA22" s="4">
        <v>0</v>
      </c>
      <c r="BB22" s="4">
        <v>0</v>
      </c>
      <c r="BC22" s="4">
        <v>0</v>
      </c>
      <c r="BD22" s="4">
        <v>51198.2</v>
      </c>
      <c r="BE22" s="4">
        <v>0</v>
      </c>
      <c r="BF22" s="4">
        <f t="shared" si="15"/>
        <v>130898.24999999999</v>
      </c>
      <c r="BG22" s="4">
        <f t="shared" si="12"/>
        <v>18040.599999999999</v>
      </c>
      <c r="BH22" s="4">
        <f t="shared" si="13"/>
        <v>0</v>
      </c>
      <c r="BI22" s="4">
        <f t="shared" si="14"/>
        <v>112857.65</v>
      </c>
    </row>
    <row r="23" spans="2:61" x14ac:dyDescent="0.25">
      <c r="C23">
        <v>519</v>
      </c>
      <c r="D23" t="s">
        <v>463</v>
      </c>
      <c r="E23" s="4">
        <v>0</v>
      </c>
      <c r="F23" s="4">
        <v>0</v>
      </c>
      <c r="G23" s="4">
        <v>0</v>
      </c>
      <c r="H23" s="4">
        <v>0</v>
      </c>
      <c r="I23" s="4">
        <v>0</v>
      </c>
      <c r="J23" s="4">
        <v>0</v>
      </c>
      <c r="K23" s="4">
        <v>0</v>
      </c>
      <c r="L23" s="4">
        <v>0</v>
      </c>
      <c r="M23" s="4">
        <v>0</v>
      </c>
      <c r="N23" s="4">
        <v>0</v>
      </c>
      <c r="O23" s="4">
        <v>24701.05</v>
      </c>
      <c r="P23" s="4">
        <v>0</v>
      </c>
      <c r="Q23" s="4">
        <v>0</v>
      </c>
      <c r="R23" s="4">
        <v>0</v>
      </c>
      <c r="S23" s="4">
        <v>0</v>
      </c>
      <c r="T23" s="4">
        <v>0</v>
      </c>
      <c r="U23" s="4">
        <v>0</v>
      </c>
      <c r="V23" s="4">
        <v>0</v>
      </c>
      <c r="W23" s="4">
        <v>0</v>
      </c>
      <c r="X23" s="4">
        <v>0</v>
      </c>
      <c r="Y23" s="4">
        <v>0</v>
      </c>
      <c r="Z23" s="4">
        <v>0</v>
      </c>
      <c r="AA23" s="4">
        <v>0</v>
      </c>
      <c r="AB23" s="4">
        <v>0</v>
      </c>
      <c r="AC23" s="4">
        <v>0</v>
      </c>
      <c r="AD23" s="4">
        <v>0</v>
      </c>
      <c r="AE23" s="4">
        <v>0</v>
      </c>
      <c r="AF23" s="4">
        <v>0</v>
      </c>
      <c r="AG23" s="4">
        <v>0</v>
      </c>
      <c r="AH23" s="4">
        <v>0</v>
      </c>
      <c r="AI23" s="4">
        <v>0</v>
      </c>
      <c r="AJ23" s="4">
        <v>0</v>
      </c>
      <c r="AK23" s="4">
        <v>0</v>
      </c>
      <c r="AL23" s="4">
        <v>0</v>
      </c>
      <c r="AM23" s="4">
        <v>0</v>
      </c>
      <c r="AN23" s="4">
        <v>0</v>
      </c>
      <c r="AO23" s="4">
        <v>0</v>
      </c>
      <c r="AP23" s="4">
        <v>0</v>
      </c>
      <c r="AQ23" s="4">
        <v>0</v>
      </c>
      <c r="AR23" s="4">
        <v>0</v>
      </c>
      <c r="AS23" s="4">
        <v>0</v>
      </c>
      <c r="AT23" s="4">
        <v>0</v>
      </c>
      <c r="AU23" s="4">
        <v>0</v>
      </c>
      <c r="AV23" s="4">
        <v>0</v>
      </c>
      <c r="AW23" s="4">
        <v>0</v>
      </c>
      <c r="AX23" s="4">
        <v>0</v>
      </c>
      <c r="AY23" s="4">
        <v>0</v>
      </c>
      <c r="AZ23" s="4">
        <v>0</v>
      </c>
      <c r="BA23" s="4">
        <v>0</v>
      </c>
      <c r="BB23" s="4">
        <v>0</v>
      </c>
      <c r="BC23" s="4">
        <v>0</v>
      </c>
      <c r="BD23" s="4">
        <v>0</v>
      </c>
      <c r="BE23" s="4">
        <v>0</v>
      </c>
      <c r="BF23" s="4">
        <f t="shared" si="15"/>
        <v>24701.05</v>
      </c>
      <c r="BG23" s="4">
        <f t="shared" si="12"/>
        <v>24701.05</v>
      </c>
      <c r="BH23" s="4">
        <f t="shared" si="13"/>
        <v>0</v>
      </c>
      <c r="BI23" s="4">
        <f t="shared" si="14"/>
        <v>0</v>
      </c>
    </row>
    <row r="24" spans="2:61" x14ac:dyDescent="0.25">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row>
    <row r="25" spans="2:61" x14ac:dyDescent="0.25">
      <c r="B25" s="56">
        <v>52</v>
      </c>
      <c r="C25" s="56"/>
      <c r="D25" s="56" t="s">
        <v>464</v>
      </c>
      <c r="E25" s="57">
        <f>E26+E27+E28</f>
        <v>0</v>
      </c>
      <c r="F25" s="57">
        <f t="shared" ref="F25:BE25" si="16">F26+F27+F28</f>
        <v>0</v>
      </c>
      <c r="G25" s="57">
        <f t="shared" si="16"/>
        <v>0</v>
      </c>
      <c r="H25" s="57">
        <f t="shared" si="16"/>
        <v>0</v>
      </c>
      <c r="I25" s="57">
        <f t="shared" si="16"/>
        <v>0</v>
      </c>
      <c r="J25" s="57">
        <f t="shared" si="16"/>
        <v>0</v>
      </c>
      <c r="K25" s="57">
        <f t="shared" si="16"/>
        <v>0</v>
      </c>
      <c r="L25" s="57">
        <f t="shared" si="16"/>
        <v>0</v>
      </c>
      <c r="M25" s="57">
        <f t="shared" si="16"/>
        <v>3752.8</v>
      </c>
      <c r="N25" s="57">
        <f t="shared" si="16"/>
        <v>0</v>
      </c>
      <c r="O25" s="57">
        <f t="shared" si="16"/>
        <v>102103.5</v>
      </c>
      <c r="P25" s="57">
        <f t="shared" si="16"/>
        <v>0</v>
      </c>
      <c r="Q25" s="57">
        <f t="shared" si="16"/>
        <v>0</v>
      </c>
      <c r="R25" s="57">
        <f t="shared" si="16"/>
        <v>0</v>
      </c>
      <c r="S25" s="57">
        <f t="shared" si="16"/>
        <v>0</v>
      </c>
      <c r="T25" s="57">
        <f t="shared" si="16"/>
        <v>0</v>
      </c>
      <c r="U25" s="57">
        <f t="shared" si="16"/>
        <v>41721.800000000003</v>
      </c>
      <c r="V25" s="57">
        <f t="shared" si="16"/>
        <v>6650.45</v>
      </c>
      <c r="W25" s="57">
        <f t="shared" si="16"/>
        <v>3317.15</v>
      </c>
      <c r="X25" s="57">
        <f t="shared" si="16"/>
        <v>10267.799999999999</v>
      </c>
      <c r="Y25" s="57">
        <f t="shared" si="16"/>
        <v>0</v>
      </c>
      <c r="Z25" s="57">
        <f t="shared" si="16"/>
        <v>0</v>
      </c>
      <c r="AA25" s="57">
        <f t="shared" si="16"/>
        <v>0</v>
      </c>
      <c r="AB25" s="57">
        <f t="shared" si="16"/>
        <v>0</v>
      </c>
      <c r="AC25" s="57">
        <f t="shared" si="16"/>
        <v>103489.7</v>
      </c>
      <c r="AD25" s="57">
        <f t="shared" si="16"/>
        <v>0</v>
      </c>
      <c r="AE25" s="57">
        <f t="shared" si="16"/>
        <v>0</v>
      </c>
      <c r="AF25" s="57">
        <f t="shared" si="16"/>
        <v>0</v>
      </c>
      <c r="AG25" s="57">
        <f t="shared" si="16"/>
        <v>91606.05</v>
      </c>
      <c r="AH25" s="57">
        <f t="shared" si="16"/>
        <v>41035.85</v>
      </c>
      <c r="AI25" s="57">
        <f t="shared" si="16"/>
        <v>0</v>
      </c>
      <c r="AJ25" s="57">
        <f t="shared" si="16"/>
        <v>0</v>
      </c>
      <c r="AK25" s="57">
        <f t="shared" si="16"/>
        <v>0</v>
      </c>
      <c r="AL25" s="57">
        <f t="shared" si="16"/>
        <v>0</v>
      </c>
      <c r="AM25" s="57">
        <f t="shared" si="16"/>
        <v>21999.55</v>
      </c>
      <c r="AN25" s="57">
        <f t="shared" si="16"/>
        <v>0</v>
      </c>
      <c r="AO25" s="57">
        <f t="shared" si="16"/>
        <v>0</v>
      </c>
      <c r="AP25" s="57">
        <f t="shared" si="16"/>
        <v>62660.45</v>
      </c>
      <c r="AQ25" s="57">
        <f t="shared" si="16"/>
        <v>4501.6499999999996</v>
      </c>
      <c r="AR25" s="57">
        <f t="shared" si="16"/>
        <v>118551.05</v>
      </c>
      <c r="AS25" s="57">
        <f t="shared" si="16"/>
        <v>36109.800000000003</v>
      </c>
      <c r="AT25" s="57">
        <f t="shared" si="16"/>
        <v>14576.05</v>
      </c>
      <c r="AU25" s="57">
        <f t="shared" si="16"/>
        <v>21605.3</v>
      </c>
      <c r="AV25" s="57">
        <f t="shared" si="16"/>
        <v>72272.649999999994</v>
      </c>
      <c r="AW25" s="57">
        <f t="shared" si="16"/>
        <v>43863.199999999997</v>
      </c>
      <c r="AX25" s="57">
        <f t="shared" si="16"/>
        <v>0</v>
      </c>
      <c r="AY25" s="57">
        <f t="shared" si="16"/>
        <v>24663.3</v>
      </c>
      <c r="AZ25" s="57">
        <f t="shared" si="16"/>
        <v>17061.55</v>
      </c>
      <c r="BA25" s="57">
        <f t="shared" si="16"/>
        <v>0</v>
      </c>
      <c r="BB25" s="57">
        <f t="shared" si="16"/>
        <v>73756.45</v>
      </c>
      <c r="BC25" s="57">
        <f t="shared" si="16"/>
        <v>0</v>
      </c>
      <c r="BD25" s="57">
        <f t="shared" si="16"/>
        <v>363887.25</v>
      </c>
      <c r="BE25" s="57">
        <f t="shared" si="16"/>
        <v>35335.050000000003</v>
      </c>
      <c r="BF25" s="57">
        <f t="shared" ref="BF25" si="17">BF26+BF27+BF28</f>
        <v>1314788.4000000004</v>
      </c>
      <c r="BG25" s="57">
        <f t="shared" ref="BG25" si="18">BG26+BG27+BG28</f>
        <v>157545.70000000001</v>
      </c>
      <c r="BH25" s="57">
        <f t="shared" ref="BH25" si="19">BH26+BH27+BH28</f>
        <v>246399.4</v>
      </c>
      <c r="BI25" s="57">
        <f t="shared" ref="BI25" si="20">BI26+BI27+BI28</f>
        <v>910843.3</v>
      </c>
    </row>
    <row r="26" spans="2:61" x14ac:dyDescent="0.25">
      <c r="C26">
        <v>520</v>
      </c>
      <c r="D26" t="s">
        <v>366</v>
      </c>
      <c r="E26" s="4">
        <v>0</v>
      </c>
      <c r="F26" s="4">
        <v>0</v>
      </c>
      <c r="G26" s="4">
        <v>0</v>
      </c>
      <c r="H26" s="4">
        <v>0</v>
      </c>
      <c r="I26" s="4">
        <v>0</v>
      </c>
      <c r="J26" s="4">
        <v>0</v>
      </c>
      <c r="K26" s="4">
        <v>0</v>
      </c>
      <c r="L26" s="4">
        <v>0</v>
      </c>
      <c r="M26" s="4">
        <v>0</v>
      </c>
      <c r="N26" s="4">
        <v>0</v>
      </c>
      <c r="O26" s="4">
        <v>27442.9</v>
      </c>
      <c r="P26" s="4">
        <v>0</v>
      </c>
      <c r="Q26" s="4">
        <v>0</v>
      </c>
      <c r="R26" s="4">
        <v>0</v>
      </c>
      <c r="S26" s="4">
        <v>0</v>
      </c>
      <c r="T26" s="4">
        <v>0</v>
      </c>
      <c r="U26" s="4">
        <v>22900</v>
      </c>
      <c r="V26" s="4">
        <v>0</v>
      </c>
      <c r="W26" s="4">
        <v>3317.15</v>
      </c>
      <c r="X26" s="4">
        <v>0</v>
      </c>
      <c r="Y26" s="4">
        <v>0</v>
      </c>
      <c r="Z26" s="4">
        <v>0</v>
      </c>
      <c r="AA26" s="4">
        <v>0</v>
      </c>
      <c r="AB26" s="4">
        <v>0</v>
      </c>
      <c r="AC26" s="4">
        <v>0</v>
      </c>
      <c r="AD26" s="4">
        <v>0</v>
      </c>
      <c r="AE26" s="4">
        <v>0</v>
      </c>
      <c r="AF26" s="4">
        <v>0</v>
      </c>
      <c r="AG26" s="4">
        <v>0</v>
      </c>
      <c r="AH26" s="4">
        <v>0</v>
      </c>
      <c r="AI26" s="4">
        <v>0</v>
      </c>
      <c r="AJ26" s="4">
        <v>0</v>
      </c>
      <c r="AK26" s="4">
        <v>0</v>
      </c>
      <c r="AL26" s="4">
        <v>0</v>
      </c>
      <c r="AM26" s="4">
        <v>0</v>
      </c>
      <c r="AN26" s="4">
        <v>0</v>
      </c>
      <c r="AO26" s="4">
        <v>0</v>
      </c>
      <c r="AP26" s="4">
        <v>0</v>
      </c>
      <c r="AQ26" s="4">
        <v>0</v>
      </c>
      <c r="AR26" s="4">
        <v>0</v>
      </c>
      <c r="AS26" s="4">
        <v>0</v>
      </c>
      <c r="AT26" s="4">
        <v>0</v>
      </c>
      <c r="AU26" s="4">
        <v>0</v>
      </c>
      <c r="AV26" s="4">
        <v>0</v>
      </c>
      <c r="AW26" s="4">
        <v>0</v>
      </c>
      <c r="AX26" s="4">
        <v>0</v>
      </c>
      <c r="AY26" s="4">
        <v>0</v>
      </c>
      <c r="AZ26" s="4">
        <v>0</v>
      </c>
      <c r="BA26" s="4">
        <v>0</v>
      </c>
      <c r="BB26" s="4">
        <v>0</v>
      </c>
      <c r="BC26" s="4">
        <v>0</v>
      </c>
      <c r="BD26" s="4">
        <v>0</v>
      </c>
      <c r="BE26" s="4">
        <v>0</v>
      </c>
      <c r="BF26" s="4">
        <f t="shared" ref="BF26:BF28" si="21">SUM(E26:BE26)</f>
        <v>53660.05</v>
      </c>
      <c r="BG26" s="4">
        <f t="shared" ref="BG26:BG28" si="22">SUM(E26:W26)</f>
        <v>53660.05</v>
      </c>
      <c r="BH26" s="4">
        <f t="shared" ref="BH26:BH28" si="23">SUM(X26:AJ26)</f>
        <v>0</v>
      </c>
      <c r="BI26" s="4">
        <f t="shared" ref="BI26:BI28" si="24">SUM(AK26:BE26)</f>
        <v>0</v>
      </c>
    </row>
    <row r="27" spans="2:61" x14ac:dyDescent="0.25">
      <c r="C27">
        <v>521</v>
      </c>
      <c r="D27" t="s">
        <v>367</v>
      </c>
      <c r="E27" s="4">
        <v>0</v>
      </c>
      <c r="F27" s="4">
        <v>0</v>
      </c>
      <c r="G27" s="4">
        <v>0</v>
      </c>
      <c r="H27" s="4">
        <v>0</v>
      </c>
      <c r="I27" s="4">
        <v>0</v>
      </c>
      <c r="J27" s="4">
        <v>0</v>
      </c>
      <c r="K27" s="4">
        <v>0</v>
      </c>
      <c r="L27" s="4">
        <v>0</v>
      </c>
      <c r="M27" s="4">
        <v>0</v>
      </c>
      <c r="N27" s="4">
        <v>0</v>
      </c>
      <c r="O27" s="4">
        <v>0</v>
      </c>
      <c r="P27" s="4">
        <v>0</v>
      </c>
      <c r="Q27" s="4">
        <v>0</v>
      </c>
      <c r="R27" s="4">
        <v>0</v>
      </c>
      <c r="S27" s="4">
        <v>0</v>
      </c>
      <c r="T27" s="4">
        <v>0</v>
      </c>
      <c r="U27" s="4">
        <v>0</v>
      </c>
      <c r="V27" s="4">
        <v>0</v>
      </c>
      <c r="W27" s="4">
        <v>0</v>
      </c>
      <c r="X27" s="4">
        <v>0</v>
      </c>
      <c r="Y27" s="4">
        <v>0</v>
      </c>
      <c r="Z27" s="4">
        <v>0</v>
      </c>
      <c r="AA27" s="4">
        <v>0</v>
      </c>
      <c r="AB27" s="4">
        <v>0</v>
      </c>
      <c r="AC27" s="4">
        <v>0</v>
      </c>
      <c r="AD27" s="4">
        <v>0</v>
      </c>
      <c r="AE27" s="4">
        <v>0</v>
      </c>
      <c r="AF27" s="4">
        <v>0</v>
      </c>
      <c r="AG27" s="4">
        <v>0</v>
      </c>
      <c r="AH27" s="4">
        <v>0</v>
      </c>
      <c r="AI27" s="4">
        <v>0</v>
      </c>
      <c r="AJ27" s="4">
        <v>0</v>
      </c>
      <c r="AK27" s="4">
        <v>0</v>
      </c>
      <c r="AL27" s="4">
        <v>0</v>
      </c>
      <c r="AM27" s="4">
        <v>0</v>
      </c>
      <c r="AN27" s="4">
        <v>0</v>
      </c>
      <c r="AO27" s="4">
        <v>0</v>
      </c>
      <c r="AP27" s="4">
        <v>0</v>
      </c>
      <c r="AQ27" s="4">
        <v>0</v>
      </c>
      <c r="AR27" s="4">
        <v>0</v>
      </c>
      <c r="AS27" s="4">
        <v>0</v>
      </c>
      <c r="AT27" s="4">
        <v>0</v>
      </c>
      <c r="AU27" s="4">
        <v>0</v>
      </c>
      <c r="AV27" s="4">
        <v>0</v>
      </c>
      <c r="AW27" s="4">
        <v>0</v>
      </c>
      <c r="AX27" s="4">
        <v>0</v>
      </c>
      <c r="AY27" s="4">
        <v>0</v>
      </c>
      <c r="AZ27" s="4">
        <v>0</v>
      </c>
      <c r="BA27" s="4">
        <v>0</v>
      </c>
      <c r="BB27" s="4">
        <v>0</v>
      </c>
      <c r="BC27" s="4">
        <v>0</v>
      </c>
      <c r="BD27" s="4">
        <v>0</v>
      </c>
      <c r="BE27" s="4">
        <v>0</v>
      </c>
      <c r="BF27" s="4">
        <f t="shared" si="21"/>
        <v>0</v>
      </c>
      <c r="BG27" s="4">
        <f t="shared" si="22"/>
        <v>0</v>
      </c>
      <c r="BH27" s="4">
        <f t="shared" si="23"/>
        <v>0</v>
      </c>
      <c r="BI27" s="4">
        <f t="shared" si="24"/>
        <v>0</v>
      </c>
    </row>
    <row r="28" spans="2:61" x14ac:dyDescent="0.25">
      <c r="C28">
        <v>529</v>
      </c>
      <c r="D28" t="s">
        <v>465</v>
      </c>
      <c r="E28" s="4">
        <v>0</v>
      </c>
      <c r="F28" s="4">
        <v>0</v>
      </c>
      <c r="G28" s="4">
        <v>0</v>
      </c>
      <c r="H28" s="4">
        <v>0</v>
      </c>
      <c r="I28" s="4">
        <v>0</v>
      </c>
      <c r="J28" s="4">
        <v>0</v>
      </c>
      <c r="K28" s="4">
        <v>0</v>
      </c>
      <c r="L28" s="4">
        <v>0</v>
      </c>
      <c r="M28" s="4">
        <v>3752.8</v>
      </c>
      <c r="N28" s="4">
        <v>0</v>
      </c>
      <c r="O28" s="4">
        <v>74660.600000000006</v>
      </c>
      <c r="P28" s="4">
        <v>0</v>
      </c>
      <c r="Q28" s="4">
        <v>0</v>
      </c>
      <c r="R28" s="4">
        <v>0</v>
      </c>
      <c r="S28" s="4">
        <v>0</v>
      </c>
      <c r="T28" s="4">
        <v>0</v>
      </c>
      <c r="U28" s="4">
        <v>18821.8</v>
      </c>
      <c r="V28" s="4">
        <v>6650.45</v>
      </c>
      <c r="W28" s="4">
        <v>0</v>
      </c>
      <c r="X28" s="4">
        <v>10267.799999999999</v>
      </c>
      <c r="Y28" s="4">
        <v>0</v>
      </c>
      <c r="Z28" s="4">
        <v>0</v>
      </c>
      <c r="AA28" s="4">
        <v>0</v>
      </c>
      <c r="AB28" s="4">
        <v>0</v>
      </c>
      <c r="AC28" s="4">
        <v>103489.7</v>
      </c>
      <c r="AD28" s="4">
        <v>0</v>
      </c>
      <c r="AE28" s="4">
        <v>0</v>
      </c>
      <c r="AF28" s="4">
        <v>0</v>
      </c>
      <c r="AG28" s="4">
        <v>91606.05</v>
      </c>
      <c r="AH28" s="4">
        <v>41035.85</v>
      </c>
      <c r="AI28" s="4">
        <v>0</v>
      </c>
      <c r="AJ28" s="4">
        <v>0</v>
      </c>
      <c r="AK28" s="4">
        <v>0</v>
      </c>
      <c r="AL28" s="4">
        <v>0</v>
      </c>
      <c r="AM28" s="4">
        <v>21999.55</v>
      </c>
      <c r="AN28" s="4">
        <v>0</v>
      </c>
      <c r="AO28" s="4">
        <v>0</v>
      </c>
      <c r="AP28" s="4">
        <v>62660.45</v>
      </c>
      <c r="AQ28" s="4">
        <v>4501.6499999999996</v>
      </c>
      <c r="AR28" s="4">
        <v>118551.05</v>
      </c>
      <c r="AS28" s="4">
        <v>36109.800000000003</v>
      </c>
      <c r="AT28" s="4">
        <v>14576.05</v>
      </c>
      <c r="AU28" s="4">
        <v>21605.3</v>
      </c>
      <c r="AV28" s="4">
        <v>72272.649999999994</v>
      </c>
      <c r="AW28" s="4">
        <v>43863.199999999997</v>
      </c>
      <c r="AX28" s="4">
        <v>0</v>
      </c>
      <c r="AY28" s="4">
        <v>24663.3</v>
      </c>
      <c r="AZ28" s="4">
        <v>17061.55</v>
      </c>
      <c r="BA28" s="4">
        <v>0</v>
      </c>
      <c r="BB28" s="4">
        <v>73756.45</v>
      </c>
      <c r="BC28" s="4">
        <v>0</v>
      </c>
      <c r="BD28" s="4">
        <v>363887.25</v>
      </c>
      <c r="BE28" s="4">
        <v>35335.050000000003</v>
      </c>
      <c r="BF28" s="4">
        <f t="shared" si="21"/>
        <v>1261128.3500000003</v>
      </c>
      <c r="BG28" s="4">
        <f t="shared" si="22"/>
        <v>103885.65000000001</v>
      </c>
      <c r="BH28" s="4">
        <f t="shared" si="23"/>
        <v>246399.4</v>
      </c>
      <c r="BI28" s="4">
        <f t="shared" si="24"/>
        <v>910843.3</v>
      </c>
    </row>
    <row r="29" spans="2:61" x14ac:dyDescent="0.25">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row>
    <row r="30" spans="2:61" x14ac:dyDescent="0.25">
      <c r="B30" s="56">
        <v>54</v>
      </c>
      <c r="C30" s="56"/>
      <c r="D30" s="56" t="s">
        <v>250</v>
      </c>
      <c r="E30" s="57">
        <f>E31+E32+E33+E34+E35+E36+E37+E38+E39</f>
        <v>0</v>
      </c>
      <c r="F30" s="57">
        <f t="shared" ref="F30:BE30" si="25">F31+F32+F33+F34+F35+F36+F37+F38+F39</f>
        <v>0</v>
      </c>
      <c r="G30" s="57">
        <f t="shared" si="25"/>
        <v>0</v>
      </c>
      <c r="H30" s="57">
        <f t="shared" si="25"/>
        <v>0</v>
      </c>
      <c r="I30" s="57">
        <f t="shared" si="25"/>
        <v>0</v>
      </c>
      <c r="J30" s="57">
        <f t="shared" si="25"/>
        <v>0</v>
      </c>
      <c r="K30" s="57">
        <f t="shared" si="25"/>
        <v>0</v>
      </c>
      <c r="L30" s="57">
        <f t="shared" si="25"/>
        <v>0</v>
      </c>
      <c r="M30" s="57">
        <f t="shared" si="25"/>
        <v>0</v>
      </c>
      <c r="N30" s="57">
        <f t="shared" si="25"/>
        <v>0</v>
      </c>
      <c r="O30" s="57">
        <f t="shared" si="25"/>
        <v>0</v>
      </c>
      <c r="P30" s="57">
        <f t="shared" si="25"/>
        <v>0</v>
      </c>
      <c r="Q30" s="57">
        <f t="shared" si="25"/>
        <v>0</v>
      </c>
      <c r="R30" s="57">
        <f t="shared" si="25"/>
        <v>0</v>
      </c>
      <c r="S30" s="57">
        <f t="shared" si="25"/>
        <v>0</v>
      </c>
      <c r="T30" s="57">
        <f t="shared" si="25"/>
        <v>0</v>
      </c>
      <c r="U30" s="57">
        <f t="shared" si="25"/>
        <v>0</v>
      </c>
      <c r="V30" s="57">
        <f t="shared" si="25"/>
        <v>0</v>
      </c>
      <c r="W30" s="57">
        <f t="shared" si="25"/>
        <v>0</v>
      </c>
      <c r="X30" s="57">
        <f t="shared" si="25"/>
        <v>0</v>
      </c>
      <c r="Y30" s="57">
        <f t="shared" si="25"/>
        <v>0</v>
      </c>
      <c r="Z30" s="57">
        <f t="shared" si="25"/>
        <v>0</v>
      </c>
      <c r="AA30" s="57">
        <f t="shared" si="25"/>
        <v>0</v>
      </c>
      <c r="AB30" s="57">
        <f t="shared" si="25"/>
        <v>0</v>
      </c>
      <c r="AC30" s="57">
        <f t="shared" si="25"/>
        <v>0</v>
      </c>
      <c r="AD30" s="57">
        <f t="shared" si="25"/>
        <v>0</v>
      </c>
      <c r="AE30" s="57">
        <f t="shared" si="25"/>
        <v>0</v>
      </c>
      <c r="AF30" s="57">
        <f t="shared" si="25"/>
        <v>0</v>
      </c>
      <c r="AG30" s="57">
        <f t="shared" si="25"/>
        <v>0</v>
      </c>
      <c r="AH30" s="57">
        <f t="shared" si="25"/>
        <v>0</v>
      </c>
      <c r="AI30" s="57">
        <f t="shared" si="25"/>
        <v>0</v>
      </c>
      <c r="AJ30" s="57">
        <f t="shared" si="25"/>
        <v>0</v>
      </c>
      <c r="AK30" s="57">
        <f t="shared" si="25"/>
        <v>0</v>
      </c>
      <c r="AL30" s="57">
        <f t="shared" si="25"/>
        <v>0</v>
      </c>
      <c r="AM30" s="57">
        <f t="shared" si="25"/>
        <v>0</v>
      </c>
      <c r="AN30" s="57">
        <f t="shared" si="25"/>
        <v>0</v>
      </c>
      <c r="AO30" s="57">
        <f t="shared" si="25"/>
        <v>0</v>
      </c>
      <c r="AP30" s="57">
        <f t="shared" si="25"/>
        <v>0</v>
      </c>
      <c r="AQ30" s="57">
        <f t="shared" si="25"/>
        <v>0</v>
      </c>
      <c r="AR30" s="57">
        <f t="shared" si="25"/>
        <v>0</v>
      </c>
      <c r="AS30" s="57">
        <f t="shared" si="25"/>
        <v>0</v>
      </c>
      <c r="AT30" s="57">
        <f t="shared" si="25"/>
        <v>0</v>
      </c>
      <c r="AU30" s="57">
        <f t="shared" si="25"/>
        <v>0</v>
      </c>
      <c r="AV30" s="57">
        <f t="shared" si="25"/>
        <v>0</v>
      </c>
      <c r="AW30" s="57">
        <f t="shared" si="25"/>
        <v>0</v>
      </c>
      <c r="AX30" s="57">
        <f t="shared" si="25"/>
        <v>0</v>
      </c>
      <c r="AY30" s="57">
        <f t="shared" si="25"/>
        <v>0</v>
      </c>
      <c r="AZ30" s="57">
        <f t="shared" si="25"/>
        <v>0</v>
      </c>
      <c r="BA30" s="57">
        <f t="shared" si="25"/>
        <v>0</v>
      </c>
      <c r="BB30" s="57">
        <f t="shared" si="25"/>
        <v>0</v>
      </c>
      <c r="BC30" s="57">
        <f t="shared" si="25"/>
        <v>0</v>
      </c>
      <c r="BD30" s="57">
        <f t="shared" si="25"/>
        <v>32000</v>
      </c>
      <c r="BE30" s="57">
        <f t="shared" si="25"/>
        <v>0</v>
      </c>
      <c r="BF30" s="57">
        <f t="shared" ref="BF30" si="26">BF31+BF32+BF33+BF34+BF35+BF36+BF37+BF38+BF39</f>
        <v>32000</v>
      </c>
      <c r="BG30" s="57">
        <f t="shared" ref="BG30" si="27">BG31+BG32+BG33+BG34+BG35+BG36+BG37+BG38+BG39</f>
        <v>0</v>
      </c>
      <c r="BH30" s="57">
        <f t="shared" ref="BH30" si="28">BH31+BH32+BH33+BH34+BH35+BH36+BH37+BH38+BH39</f>
        <v>0</v>
      </c>
      <c r="BI30" s="57">
        <f t="shared" ref="BI30" si="29">BI31+BI32+BI33+BI34+BI35+BI36+BI37+BI38+BI39</f>
        <v>32000</v>
      </c>
    </row>
    <row r="31" spans="2:61" x14ac:dyDescent="0.25">
      <c r="C31">
        <v>540</v>
      </c>
      <c r="D31" t="s">
        <v>466</v>
      </c>
      <c r="E31" s="4">
        <v>0</v>
      </c>
      <c r="F31" s="4">
        <v>0</v>
      </c>
      <c r="G31" s="4">
        <v>0</v>
      </c>
      <c r="H31" s="4">
        <v>0</v>
      </c>
      <c r="I31" s="4">
        <v>0</v>
      </c>
      <c r="J31" s="4">
        <v>0</v>
      </c>
      <c r="K31" s="4">
        <v>0</v>
      </c>
      <c r="L31" s="4">
        <v>0</v>
      </c>
      <c r="M31" s="4">
        <v>0</v>
      </c>
      <c r="N31" s="4">
        <v>0</v>
      </c>
      <c r="O31" s="4">
        <v>0</v>
      </c>
      <c r="P31" s="4">
        <v>0</v>
      </c>
      <c r="Q31" s="4">
        <v>0</v>
      </c>
      <c r="R31" s="4">
        <v>0</v>
      </c>
      <c r="S31" s="4">
        <v>0</v>
      </c>
      <c r="T31" s="4">
        <v>0</v>
      </c>
      <c r="U31" s="4">
        <v>0</v>
      </c>
      <c r="V31" s="4">
        <v>0</v>
      </c>
      <c r="W31" s="4">
        <v>0</v>
      </c>
      <c r="X31" s="4">
        <v>0</v>
      </c>
      <c r="Y31" s="4">
        <v>0</v>
      </c>
      <c r="Z31" s="4">
        <v>0</v>
      </c>
      <c r="AA31" s="4">
        <v>0</v>
      </c>
      <c r="AB31" s="4">
        <v>0</v>
      </c>
      <c r="AC31" s="4">
        <v>0</v>
      </c>
      <c r="AD31" s="4">
        <v>0</v>
      </c>
      <c r="AE31" s="4">
        <v>0</v>
      </c>
      <c r="AF31" s="4">
        <v>0</v>
      </c>
      <c r="AG31" s="4">
        <v>0</v>
      </c>
      <c r="AH31" s="4">
        <v>0</v>
      </c>
      <c r="AI31" s="4">
        <v>0</v>
      </c>
      <c r="AJ31" s="4">
        <v>0</v>
      </c>
      <c r="AK31" s="4">
        <v>0</v>
      </c>
      <c r="AL31" s="4">
        <v>0</v>
      </c>
      <c r="AM31" s="4">
        <v>0</v>
      </c>
      <c r="AN31" s="4">
        <v>0</v>
      </c>
      <c r="AO31" s="4">
        <v>0</v>
      </c>
      <c r="AP31" s="4">
        <v>0</v>
      </c>
      <c r="AQ31" s="4">
        <v>0</v>
      </c>
      <c r="AR31" s="4">
        <v>0</v>
      </c>
      <c r="AS31" s="4">
        <v>0</v>
      </c>
      <c r="AT31" s="4">
        <v>0</v>
      </c>
      <c r="AU31" s="4">
        <v>0</v>
      </c>
      <c r="AV31" s="4">
        <v>0</v>
      </c>
      <c r="AW31" s="4">
        <v>0</v>
      </c>
      <c r="AX31" s="4">
        <v>0</v>
      </c>
      <c r="AY31" s="4">
        <v>0</v>
      </c>
      <c r="AZ31" s="4">
        <v>0</v>
      </c>
      <c r="BA31" s="4">
        <v>0</v>
      </c>
      <c r="BB31" s="4">
        <v>0</v>
      </c>
      <c r="BC31" s="4">
        <v>0</v>
      </c>
      <c r="BD31" s="4">
        <v>0</v>
      </c>
      <c r="BE31" s="4">
        <v>0</v>
      </c>
      <c r="BF31" s="4">
        <f t="shared" ref="BF31:BF39" si="30">SUM(E31:BE31)</f>
        <v>0</v>
      </c>
      <c r="BG31" s="4">
        <f t="shared" ref="BG31:BG39" si="31">SUM(E31:W31)</f>
        <v>0</v>
      </c>
      <c r="BH31" s="4">
        <f t="shared" ref="BH31:BH39" si="32">SUM(X31:AJ31)</f>
        <v>0</v>
      </c>
      <c r="BI31" s="4">
        <f t="shared" ref="BI31:BI39" si="33">SUM(AK31:BE31)</f>
        <v>0</v>
      </c>
    </row>
    <row r="32" spans="2:61" x14ac:dyDescent="0.25">
      <c r="C32">
        <v>541</v>
      </c>
      <c r="D32" t="s">
        <v>467</v>
      </c>
      <c r="E32" s="4">
        <v>0</v>
      </c>
      <c r="F32" s="4">
        <v>0</v>
      </c>
      <c r="G32" s="4">
        <v>0</v>
      </c>
      <c r="H32" s="4">
        <v>0</v>
      </c>
      <c r="I32" s="4">
        <v>0</v>
      </c>
      <c r="J32" s="4">
        <v>0</v>
      </c>
      <c r="K32" s="4">
        <v>0</v>
      </c>
      <c r="L32" s="4">
        <v>0</v>
      </c>
      <c r="M32" s="4">
        <v>0</v>
      </c>
      <c r="N32" s="4">
        <v>0</v>
      </c>
      <c r="O32" s="4">
        <v>0</v>
      </c>
      <c r="P32" s="4">
        <v>0</v>
      </c>
      <c r="Q32" s="4">
        <v>0</v>
      </c>
      <c r="R32" s="4">
        <v>0</v>
      </c>
      <c r="S32" s="4">
        <v>0</v>
      </c>
      <c r="T32" s="4">
        <v>0</v>
      </c>
      <c r="U32" s="4">
        <v>0</v>
      </c>
      <c r="V32" s="4">
        <v>0</v>
      </c>
      <c r="W32" s="4">
        <v>0</v>
      </c>
      <c r="X32" s="4">
        <v>0</v>
      </c>
      <c r="Y32" s="4">
        <v>0</v>
      </c>
      <c r="Z32" s="4">
        <v>0</v>
      </c>
      <c r="AA32" s="4">
        <v>0</v>
      </c>
      <c r="AB32" s="4">
        <v>0</v>
      </c>
      <c r="AC32" s="4">
        <v>0</v>
      </c>
      <c r="AD32" s="4">
        <v>0</v>
      </c>
      <c r="AE32" s="4">
        <v>0</v>
      </c>
      <c r="AF32" s="4">
        <v>0</v>
      </c>
      <c r="AG32" s="4">
        <v>0</v>
      </c>
      <c r="AH32" s="4">
        <v>0</v>
      </c>
      <c r="AI32" s="4">
        <v>0</v>
      </c>
      <c r="AJ32" s="4">
        <v>0</v>
      </c>
      <c r="AK32" s="4">
        <v>0</v>
      </c>
      <c r="AL32" s="4">
        <v>0</v>
      </c>
      <c r="AM32" s="4">
        <v>0</v>
      </c>
      <c r="AN32" s="4">
        <v>0</v>
      </c>
      <c r="AO32" s="4">
        <v>0</v>
      </c>
      <c r="AP32" s="4">
        <v>0</v>
      </c>
      <c r="AQ32" s="4">
        <v>0</v>
      </c>
      <c r="AR32" s="4">
        <v>0</v>
      </c>
      <c r="AS32" s="4">
        <v>0</v>
      </c>
      <c r="AT32" s="4">
        <v>0</v>
      </c>
      <c r="AU32" s="4">
        <v>0</v>
      </c>
      <c r="AV32" s="4">
        <v>0</v>
      </c>
      <c r="AW32" s="4">
        <v>0</v>
      </c>
      <c r="AX32" s="4">
        <v>0</v>
      </c>
      <c r="AY32" s="4">
        <v>0</v>
      </c>
      <c r="AZ32" s="4">
        <v>0</v>
      </c>
      <c r="BA32" s="4">
        <v>0</v>
      </c>
      <c r="BB32" s="4">
        <v>0</v>
      </c>
      <c r="BC32" s="4">
        <v>0</v>
      </c>
      <c r="BD32" s="4">
        <v>0</v>
      </c>
      <c r="BE32" s="4">
        <v>0</v>
      </c>
      <c r="BF32" s="4">
        <f t="shared" si="30"/>
        <v>0</v>
      </c>
      <c r="BG32" s="4">
        <f t="shared" si="31"/>
        <v>0</v>
      </c>
      <c r="BH32" s="4">
        <f t="shared" si="32"/>
        <v>0</v>
      </c>
      <c r="BI32" s="4">
        <f t="shared" si="33"/>
        <v>0</v>
      </c>
    </row>
    <row r="33" spans="2:61" x14ac:dyDescent="0.25">
      <c r="C33">
        <v>542</v>
      </c>
      <c r="D33" t="s">
        <v>468</v>
      </c>
      <c r="E33" s="4">
        <v>0</v>
      </c>
      <c r="F33" s="4">
        <v>0</v>
      </c>
      <c r="G33" s="4">
        <v>0</v>
      </c>
      <c r="H33" s="4">
        <v>0</v>
      </c>
      <c r="I33" s="4">
        <v>0</v>
      </c>
      <c r="J33" s="4">
        <v>0</v>
      </c>
      <c r="K33" s="4">
        <v>0</v>
      </c>
      <c r="L33" s="4">
        <v>0</v>
      </c>
      <c r="M33" s="4">
        <v>0</v>
      </c>
      <c r="N33" s="4">
        <v>0</v>
      </c>
      <c r="O33" s="4">
        <v>0</v>
      </c>
      <c r="P33" s="4">
        <v>0</v>
      </c>
      <c r="Q33" s="4">
        <v>0</v>
      </c>
      <c r="R33" s="4">
        <v>0</v>
      </c>
      <c r="S33" s="4">
        <v>0</v>
      </c>
      <c r="T33" s="4">
        <v>0</v>
      </c>
      <c r="U33" s="4">
        <v>0</v>
      </c>
      <c r="V33" s="4">
        <v>0</v>
      </c>
      <c r="W33" s="4">
        <v>0</v>
      </c>
      <c r="X33" s="4">
        <v>0</v>
      </c>
      <c r="Y33" s="4">
        <v>0</v>
      </c>
      <c r="Z33" s="4">
        <v>0</v>
      </c>
      <c r="AA33" s="4">
        <v>0</v>
      </c>
      <c r="AB33" s="4">
        <v>0</v>
      </c>
      <c r="AC33" s="4">
        <v>0</v>
      </c>
      <c r="AD33" s="4">
        <v>0</v>
      </c>
      <c r="AE33" s="4">
        <v>0</v>
      </c>
      <c r="AF33" s="4">
        <v>0</v>
      </c>
      <c r="AG33" s="4">
        <v>0</v>
      </c>
      <c r="AH33" s="4">
        <v>0</v>
      </c>
      <c r="AI33" s="4">
        <v>0</v>
      </c>
      <c r="AJ33" s="4">
        <v>0</v>
      </c>
      <c r="AK33" s="4">
        <v>0</v>
      </c>
      <c r="AL33" s="4">
        <v>0</v>
      </c>
      <c r="AM33" s="4">
        <v>0</v>
      </c>
      <c r="AN33" s="4">
        <v>0</v>
      </c>
      <c r="AO33" s="4">
        <v>0</v>
      </c>
      <c r="AP33" s="4">
        <v>0</v>
      </c>
      <c r="AQ33" s="4">
        <v>0</v>
      </c>
      <c r="AR33" s="4">
        <v>0</v>
      </c>
      <c r="AS33" s="4">
        <v>0</v>
      </c>
      <c r="AT33" s="4">
        <v>0</v>
      </c>
      <c r="AU33" s="4">
        <v>0</v>
      </c>
      <c r="AV33" s="4">
        <v>0</v>
      </c>
      <c r="AW33" s="4">
        <v>0</v>
      </c>
      <c r="AX33" s="4">
        <v>0</v>
      </c>
      <c r="AY33" s="4">
        <v>0</v>
      </c>
      <c r="AZ33" s="4">
        <v>0</v>
      </c>
      <c r="BA33" s="4">
        <v>0</v>
      </c>
      <c r="BB33" s="4">
        <v>0</v>
      </c>
      <c r="BC33" s="4">
        <v>0</v>
      </c>
      <c r="BD33" s="4">
        <v>0</v>
      </c>
      <c r="BE33" s="4">
        <v>0</v>
      </c>
      <c r="BF33" s="4">
        <f t="shared" si="30"/>
        <v>0</v>
      </c>
      <c r="BG33" s="4">
        <f t="shared" si="31"/>
        <v>0</v>
      </c>
      <c r="BH33" s="4">
        <f t="shared" si="32"/>
        <v>0</v>
      </c>
      <c r="BI33" s="4">
        <f t="shared" si="33"/>
        <v>0</v>
      </c>
    </row>
    <row r="34" spans="2:61" x14ac:dyDescent="0.25">
      <c r="C34">
        <v>543</v>
      </c>
      <c r="D34" t="s">
        <v>469</v>
      </c>
      <c r="E34" s="4">
        <v>0</v>
      </c>
      <c r="F34" s="4">
        <v>0</v>
      </c>
      <c r="G34" s="4">
        <v>0</v>
      </c>
      <c r="H34" s="4">
        <v>0</v>
      </c>
      <c r="I34" s="4">
        <v>0</v>
      </c>
      <c r="J34" s="4">
        <v>0</v>
      </c>
      <c r="K34" s="4">
        <v>0</v>
      </c>
      <c r="L34" s="4">
        <v>0</v>
      </c>
      <c r="M34" s="4">
        <v>0</v>
      </c>
      <c r="N34" s="4">
        <v>0</v>
      </c>
      <c r="O34" s="4">
        <v>0</v>
      </c>
      <c r="P34" s="4">
        <v>0</v>
      </c>
      <c r="Q34" s="4">
        <v>0</v>
      </c>
      <c r="R34" s="4">
        <v>0</v>
      </c>
      <c r="S34" s="4">
        <v>0</v>
      </c>
      <c r="T34" s="4">
        <v>0</v>
      </c>
      <c r="U34" s="4">
        <v>0</v>
      </c>
      <c r="V34" s="4">
        <v>0</v>
      </c>
      <c r="W34" s="4">
        <v>0</v>
      </c>
      <c r="X34" s="4">
        <v>0</v>
      </c>
      <c r="Y34" s="4">
        <v>0</v>
      </c>
      <c r="Z34" s="4">
        <v>0</v>
      </c>
      <c r="AA34" s="4">
        <v>0</v>
      </c>
      <c r="AB34" s="4">
        <v>0</v>
      </c>
      <c r="AC34" s="4">
        <v>0</v>
      </c>
      <c r="AD34" s="4">
        <v>0</v>
      </c>
      <c r="AE34" s="4">
        <v>0</v>
      </c>
      <c r="AF34" s="4">
        <v>0</v>
      </c>
      <c r="AG34" s="4">
        <v>0</v>
      </c>
      <c r="AH34" s="4">
        <v>0</v>
      </c>
      <c r="AI34" s="4">
        <v>0</v>
      </c>
      <c r="AJ34" s="4">
        <v>0</v>
      </c>
      <c r="AK34" s="4">
        <v>0</v>
      </c>
      <c r="AL34" s="4">
        <v>0</v>
      </c>
      <c r="AM34" s="4">
        <v>0</v>
      </c>
      <c r="AN34" s="4">
        <v>0</v>
      </c>
      <c r="AO34" s="4">
        <v>0</v>
      </c>
      <c r="AP34" s="4">
        <v>0</v>
      </c>
      <c r="AQ34" s="4">
        <v>0</v>
      </c>
      <c r="AR34" s="4">
        <v>0</v>
      </c>
      <c r="AS34" s="4">
        <v>0</v>
      </c>
      <c r="AT34" s="4">
        <v>0</v>
      </c>
      <c r="AU34" s="4">
        <v>0</v>
      </c>
      <c r="AV34" s="4">
        <v>0</v>
      </c>
      <c r="AW34" s="4">
        <v>0</v>
      </c>
      <c r="AX34" s="4">
        <v>0</v>
      </c>
      <c r="AY34" s="4">
        <v>0</v>
      </c>
      <c r="AZ34" s="4">
        <v>0</v>
      </c>
      <c r="BA34" s="4">
        <v>0</v>
      </c>
      <c r="BB34" s="4">
        <v>0</v>
      </c>
      <c r="BC34" s="4">
        <v>0</v>
      </c>
      <c r="BD34" s="4">
        <v>0</v>
      </c>
      <c r="BE34" s="4">
        <v>0</v>
      </c>
      <c r="BF34" s="4">
        <f t="shared" si="30"/>
        <v>0</v>
      </c>
      <c r="BG34" s="4">
        <f t="shared" si="31"/>
        <v>0</v>
      </c>
      <c r="BH34" s="4">
        <f t="shared" si="32"/>
        <v>0</v>
      </c>
      <c r="BI34" s="4">
        <f t="shared" si="33"/>
        <v>0</v>
      </c>
    </row>
    <row r="35" spans="2:61" x14ac:dyDescent="0.25">
      <c r="C35">
        <v>544</v>
      </c>
      <c r="D35" t="s">
        <v>470</v>
      </c>
      <c r="E35" s="4">
        <v>0</v>
      </c>
      <c r="F35" s="4">
        <v>0</v>
      </c>
      <c r="G35" s="4">
        <v>0</v>
      </c>
      <c r="H35" s="4">
        <v>0</v>
      </c>
      <c r="I35" s="4">
        <v>0</v>
      </c>
      <c r="J35" s="4">
        <v>0</v>
      </c>
      <c r="K35" s="4">
        <v>0</v>
      </c>
      <c r="L35" s="4">
        <v>0</v>
      </c>
      <c r="M35" s="4">
        <v>0</v>
      </c>
      <c r="N35" s="4">
        <v>0</v>
      </c>
      <c r="O35" s="4">
        <v>0</v>
      </c>
      <c r="P35" s="4">
        <v>0</v>
      </c>
      <c r="Q35" s="4">
        <v>0</v>
      </c>
      <c r="R35" s="4">
        <v>0</v>
      </c>
      <c r="S35" s="4">
        <v>0</v>
      </c>
      <c r="T35" s="4">
        <v>0</v>
      </c>
      <c r="U35" s="4">
        <v>0</v>
      </c>
      <c r="V35" s="4">
        <v>0</v>
      </c>
      <c r="W35" s="4">
        <v>0</v>
      </c>
      <c r="X35" s="4">
        <v>0</v>
      </c>
      <c r="Y35" s="4">
        <v>0</v>
      </c>
      <c r="Z35" s="4">
        <v>0</v>
      </c>
      <c r="AA35" s="4">
        <v>0</v>
      </c>
      <c r="AB35" s="4">
        <v>0</v>
      </c>
      <c r="AC35" s="4">
        <v>0</v>
      </c>
      <c r="AD35" s="4">
        <v>0</v>
      </c>
      <c r="AE35" s="4">
        <v>0</v>
      </c>
      <c r="AF35" s="4">
        <v>0</v>
      </c>
      <c r="AG35" s="4">
        <v>0</v>
      </c>
      <c r="AH35" s="4">
        <v>0</v>
      </c>
      <c r="AI35" s="4">
        <v>0</v>
      </c>
      <c r="AJ35" s="4">
        <v>0</v>
      </c>
      <c r="AK35" s="4">
        <v>0</v>
      </c>
      <c r="AL35" s="4">
        <v>0</v>
      </c>
      <c r="AM35" s="4">
        <v>0</v>
      </c>
      <c r="AN35" s="4">
        <v>0</v>
      </c>
      <c r="AO35" s="4">
        <v>0</v>
      </c>
      <c r="AP35" s="4">
        <v>0</v>
      </c>
      <c r="AQ35" s="4">
        <v>0</v>
      </c>
      <c r="AR35" s="4">
        <v>0</v>
      </c>
      <c r="AS35" s="4">
        <v>0</v>
      </c>
      <c r="AT35" s="4">
        <v>0</v>
      </c>
      <c r="AU35" s="4">
        <v>0</v>
      </c>
      <c r="AV35" s="4">
        <v>0</v>
      </c>
      <c r="AW35" s="4">
        <v>0</v>
      </c>
      <c r="AX35" s="4">
        <v>0</v>
      </c>
      <c r="AY35" s="4">
        <v>0</v>
      </c>
      <c r="AZ35" s="4">
        <v>0</v>
      </c>
      <c r="BA35" s="4">
        <v>0</v>
      </c>
      <c r="BB35" s="4">
        <v>0</v>
      </c>
      <c r="BC35" s="4">
        <v>0</v>
      </c>
      <c r="BD35" s="4">
        <v>0</v>
      </c>
      <c r="BE35" s="4">
        <v>0</v>
      </c>
      <c r="BF35" s="4">
        <f t="shared" si="30"/>
        <v>0</v>
      </c>
      <c r="BG35" s="4">
        <f t="shared" si="31"/>
        <v>0</v>
      </c>
      <c r="BH35" s="4">
        <f t="shared" si="32"/>
        <v>0</v>
      </c>
      <c r="BI35" s="4">
        <f t="shared" si="33"/>
        <v>0</v>
      </c>
    </row>
    <row r="36" spans="2:61" x14ac:dyDescent="0.25">
      <c r="C36">
        <v>545</v>
      </c>
      <c r="D36" t="s">
        <v>471</v>
      </c>
      <c r="E36" s="4">
        <v>0</v>
      </c>
      <c r="F36" s="4">
        <v>0</v>
      </c>
      <c r="G36" s="4">
        <v>0</v>
      </c>
      <c r="H36" s="4">
        <v>0</v>
      </c>
      <c r="I36" s="4">
        <v>0</v>
      </c>
      <c r="J36" s="4">
        <v>0</v>
      </c>
      <c r="K36" s="4">
        <v>0</v>
      </c>
      <c r="L36" s="4">
        <v>0</v>
      </c>
      <c r="M36" s="4">
        <v>0</v>
      </c>
      <c r="N36" s="4">
        <v>0</v>
      </c>
      <c r="O36" s="4">
        <v>0</v>
      </c>
      <c r="P36" s="4">
        <v>0</v>
      </c>
      <c r="Q36" s="4">
        <v>0</v>
      </c>
      <c r="R36" s="4">
        <v>0</v>
      </c>
      <c r="S36" s="4">
        <v>0</v>
      </c>
      <c r="T36" s="4">
        <v>0</v>
      </c>
      <c r="U36" s="4">
        <v>0</v>
      </c>
      <c r="V36" s="4">
        <v>0</v>
      </c>
      <c r="W36" s="4">
        <v>0</v>
      </c>
      <c r="X36" s="4">
        <v>0</v>
      </c>
      <c r="Y36" s="4">
        <v>0</v>
      </c>
      <c r="Z36" s="4">
        <v>0</v>
      </c>
      <c r="AA36" s="4">
        <v>0</v>
      </c>
      <c r="AB36" s="4">
        <v>0</v>
      </c>
      <c r="AC36" s="4">
        <v>0</v>
      </c>
      <c r="AD36" s="4">
        <v>0</v>
      </c>
      <c r="AE36" s="4">
        <v>0</v>
      </c>
      <c r="AF36" s="4">
        <v>0</v>
      </c>
      <c r="AG36" s="4">
        <v>0</v>
      </c>
      <c r="AH36" s="4">
        <v>0</v>
      </c>
      <c r="AI36" s="4">
        <v>0</v>
      </c>
      <c r="AJ36" s="4">
        <v>0</v>
      </c>
      <c r="AK36" s="4">
        <v>0</v>
      </c>
      <c r="AL36" s="4">
        <v>0</v>
      </c>
      <c r="AM36" s="4">
        <v>0</v>
      </c>
      <c r="AN36" s="4">
        <v>0</v>
      </c>
      <c r="AO36" s="4">
        <v>0</v>
      </c>
      <c r="AP36" s="4">
        <v>0</v>
      </c>
      <c r="AQ36" s="4">
        <v>0</v>
      </c>
      <c r="AR36" s="4">
        <v>0</v>
      </c>
      <c r="AS36" s="4">
        <v>0</v>
      </c>
      <c r="AT36" s="4">
        <v>0</v>
      </c>
      <c r="AU36" s="4">
        <v>0</v>
      </c>
      <c r="AV36" s="4">
        <v>0</v>
      </c>
      <c r="AW36" s="4">
        <v>0</v>
      </c>
      <c r="AX36" s="4">
        <v>0</v>
      </c>
      <c r="AY36" s="4">
        <v>0</v>
      </c>
      <c r="AZ36" s="4">
        <v>0</v>
      </c>
      <c r="BA36" s="4">
        <v>0</v>
      </c>
      <c r="BB36" s="4">
        <v>0</v>
      </c>
      <c r="BC36" s="4">
        <v>0</v>
      </c>
      <c r="BD36" s="4">
        <v>0</v>
      </c>
      <c r="BE36" s="4">
        <v>0</v>
      </c>
      <c r="BF36" s="4">
        <f t="shared" si="30"/>
        <v>0</v>
      </c>
      <c r="BG36" s="4">
        <f t="shared" si="31"/>
        <v>0</v>
      </c>
      <c r="BH36" s="4">
        <f t="shared" si="32"/>
        <v>0</v>
      </c>
      <c r="BI36" s="4">
        <f t="shared" si="33"/>
        <v>0</v>
      </c>
    </row>
    <row r="37" spans="2:61" x14ac:dyDescent="0.25">
      <c r="C37">
        <v>546</v>
      </c>
      <c r="D37" t="s">
        <v>472</v>
      </c>
      <c r="E37" s="4">
        <v>0</v>
      </c>
      <c r="F37" s="4">
        <v>0</v>
      </c>
      <c r="G37" s="4">
        <v>0</v>
      </c>
      <c r="H37" s="4">
        <v>0</v>
      </c>
      <c r="I37" s="4">
        <v>0</v>
      </c>
      <c r="J37" s="4">
        <v>0</v>
      </c>
      <c r="K37" s="4">
        <v>0</v>
      </c>
      <c r="L37" s="4">
        <v>0</v>
      </c>
      <c r="M37" s="4">
        <v>0</v>
      </c>
      <c r="N37" s="4">
        <v>0</v>
      </c>
      <c r="O37" s="4">
        <v>0</v>
      </c>
      <c r="P37" s="4">
        <v>0</v>
      </c>
      <c r="Q37" s="4">
        <v>0</v>
      </c>
      <c r="R37" s="4">
        <v>0</v>
      </c>
      <c r="S37" s="4">
        <v>0</v>
      </c>
      <c r="T37" s="4">
        <v>0</v>
      </c>
      <c r="U37" s="4">
        <v>0</v>
      </c>
      <c r="V37" s="4">
        <v>0</v>
      </c>
      <c r="W37" s="4">
        <v>0</v>
      </c>
      <c r="X37" s="4">
        <v>0</v>
      </c>
      <c r="Y37" s="4">
        <v>0</v>
      </c>
      <c r="Z37" s="4">
        <v>0</v>
      </c>
      <c r="AA37" s="4">
        <v>0</v>
      </c>
      <c r="AB37" s="4">
        <v>0</v>
      </c>
      <c r="AC37" s="4">
        <v>0</v>
      </c>
      <c r="AD37" s="4">
        <v>0</v>
      </c>
      <c r="AE37" s="4">
        <v>0</v>
      </c>
      <c r="AF37" s="4">
        <v>0</v>
      </c>
      <c r="AG37" s="4">
        <v>0</v>
      </c>
      <c r="AH37" s="4">
        <v>0</v>
      </c>
      <c r="AI37" s="4">
        <v>0</v>
      </c>
      <c r="AJ37" s="4">
        <v>0</v>
      </c>
      <c r="AK37" s="4">
        <v>0</v>
      </c>
      <c r="AL37" s="4">
        <v>0</v>
      </c>
      <c r="AM37" s="4">
        <v>0</v>
      </c>
      <c r="AN37" s="4">
        <v>0</v>
      </c>
      <c r="AO37" s="4">
        <v>0</v>
      </c>
      <c r="AP37" s="4">
        <v>0</v>
      </c>
      <c r="AQ37" s="4">
        <v>0</v>
      </c>
      <c r="AR37" s="4">
        <v>0</v>
      </c>
      <c r="AS37" s="4">
        <v>0</v>
      </c>
      <c r="AT37" s="4">
        <v>0</v>
      </c>
      <c r="AU37" s="4">
        <v>0</v>
      </c>
      <c r="AV37" s="4">
        <v>0</v>
      </c>
      <c r="AW37" s="4">
        <v>0</v>
      </c>
      <c r="AX37" s="4">
        <v>0</v>
      </c>
      <c r="AY37" s="4">
        <v>0</v>
      </c>
      <c r="AZ37" s="4">
        <v>0</v>
      </c>
      <c r="BA37" s="4">
        <v>0</v>
      </c>
      <c r="BB37" s="4">
        <v>0</v>
      </c>
      <c r="BC37" s="4">
        <v>0</v>
      </c>
      <c r="BD37" s="4">
        <v>32000</v>
      </c>
      <c r="BE37" s="4">
        <v>0</v>
      </c>
      <c r="BF37" s="4">
        <f t="shared" si="30"/>
        <v>32000</v>
      </c>
      <c r="BG37" s="4">
        <f t="shared" si="31"/>
        <v>0</v>
      </c>
      <c r="BH37" s="4">
        <f t="shared" si="32"/>
        <v>0</v>
      </c>
      <c r="BI37" s="4">
        <f t="shared" si="33"/>
        <v>32000</v>
      </c>
    </row>
    <row r="38" spans="2:61" x14ac:dyDescent="0.25">
      <c r="C38">
        <v>547</v>
      </c>
      <c r="D38" t="s">
        <v>473</v>
      </c>
      <c r="E38" s="4">
        <v>0</v>
      </c>
      <c r="F38" s="4">
        <v>0</v>
      </c>
      <c r="G38" s="4">
        <v>0</v>
      </c>
      <c r="H38" s="4">
        <v>0</v>
      </c>
      <c r="I38" s="4">
        <v>0</v>
      </c>
      <c r="J38" s="4">
        <v>0</v>
      </c>
      <c r="K38" s="4">
        <v>0</v>
      </c>
      <c r="L38" s="4">
        <v>0</v>
      </c>
      <c r="M38" s="4">
        <v>0</v>
      </c>
      <c r="N38" s="4">
        <v>0</v>
      </c>
      <c r="O38" s="4">
        <v>0</v>
      </c>
      <c r="P38" s="4">
        <v>0</v>
      </c>
      <c r="Q38" s="4">
        <v>0</v>
      </c>
      <c r="R38" s="4">
        <v>0</v>
      </c>
      <c r="S38" s="4">
        <v>0</v>
      </c>
      <c r="T38" s="4">
        <v>0</v>
      </c>
      <c r="U38" s="4">
        <v>0</v>
      </c>
      <c r="V38" s="4">
        <v>0</v>
      </c>
      <c r="W38" s="4">
        <v>0</v>
      </c>
      <c r="X38" s="4">
        <v>0</v>
      </c>
      <c r="Y38" s="4">
        <v>0</v>
      </c>
      <c r="Z38" s="4">
        <v>0</v>
      </c>
      <c r="AA38" s="4">
        <v>0</v>
      </c>
      <c r="AB38" s="4">
        <v>0</v>
      </c>
      <c r="AC38" s="4">
        <v>0</v>
      </c>
      <c r="AD38" s="4">
        <v>0</v>
      </c>
      <c r="AE38" s="4">
        <v>0</v>
      </c>
      <c r="AF38" s="4">
        <v>0</v>
      </c>
      <c r="AG38" s="4">
        <v>0</v>
      </c>
      <c r="AH38" s="4">
        <v>0</v>
      </c>
      <c r="AI38" s="4">
        <v>0</v>
      </c>
      <c r="AJ38" s="4">
        <v>0</v>
      </c>
      <c r="AK38" s="4">
        <v>0</v>
      </c>
      <c r="AL38" s="4">
        <v>0</v>
      </c>
      <c r="AM38" s="4">
        <v>0</v>
      </c>
      <c r="AN38" s="4">
        <v>0</v>
      </c>
      <c r="AO38" s="4">
        <v>0</v>
      </c>
      <c r="AP38" s="4">
        <v>0</v>
      </c>
      <c r="AQ38" s="4">
        <v>0</v>
      </c>
      <c r="AR38" s="4">
        <v>0</v>
      </c>
      <c r="AS38" s="4">
        <v>0</v>
      </c>
      <c r="AT38" s="4">
        <v>0</v>
      </c>
      <c r="AU38" s="4">
        <v>0</v>
      </c>
      <c r="AV38" s="4">
        <v>0</v>
      </c>
      <c r="AW38" s="4">
        <v>0</v>
      </c>
      <c r="AX38" s="4">
        <v>0</v>
      </c>
      <c r="AY38" s="4">
        <v>0</v>
      </c>
      <c r="AZ38" s="4">
        <v>0</v>
      </c>
      <c r="BA38" s="4">
        <v>0</v>
      </c>
      <c r="BB38" s="4">
        <v>0</v>
      </c>
      <c r="BC38" s="4">
        <v>0</v>
      </c>
      <c r="BD38" s="4">
        <v>0</v>
      </c>
      <c r="BE38" s="4">
        <v>0</v>
      </c>
      <c r="BF38" s="4">
        <f t="shared" si="30"/>
        <v>0</v>
      </c>
      <c r="BG38" s="4">
        <f t="shared" si="31"/>
        <v>0</v>
      </c>
      <c r="BH38" s="4">
        <f t="shared" si="32"/>
        <v>0</v>
      </c>
      <c r="BI38" s="4">
        <f t="shared" si="33"/>
        <v>0</v>
      </c>
    </row>
    <row r="39" spans="2:61" x14ac:dyDescent="0.25">
      <c r="C39">
        <v>548</v>
      </c>
      <c r="D39" t="s">
        <v>474</v>
      </c>
      <c r="E39" s="4">
        <v>0</v>
      </c>
      <c r="F39" s="4">
        <v>0</v>
      </c>
      <c r="G39" s="4">
        <v>0</v>
      </c>
      <c r="H39" s="4">
        <v>0</v>
      </c>
      <c r="I39" s="4">
        <v>0</v>
      </c>
      <c r="J39" s="4">
        <v>0</v>
      </c>
      <c r="K39" s="4">
        <v>0</v>
      </c>
      <c r="L39" s="4">
        <v>0</v>
      </c>
      <c r="M39" s="4">
        <v>0</v>
      </c>
      <c r="N39" s="4">
        <v>0</v>
      </c>
      <c r="O39" s="4">
        <v>0</v>
      </c>
      <c r="P39" s="4">
        <v>0</v>
      </c>
      <c r="Q39" s="4">
        <v>0</v>
      </c>
      <c r="R39" s="4">
        <v>0</v>
      </c>
      <c r="S39" s="4">
        <v>0</v>
      </c>
      <c r="T39" s="4">
        <v>0</v>
      </c>
      <c r="U39" s="4">
        <v>0</v>
      </c>
      <c r="V39" s="4">
        <v>0</v>
      </c>
      <c r="W39" s="4">
        <v>0</v>
      </c>
      <c r="X39" s="4">
        <v>0</v>
      </c>
      <c r="Y39" s="4">
        <v>0</v>
      </c>
      <c r="Z39" s="4">
        <v>0</v>
      </c>
      <c r="AA39" s="4">
        <v>0</v>
      </c>
      <c r="AB39" s="4">
        <v>0</v>
      </c>
      <c r="AC39" s="4">
        <v>0</v>
      </c>
      <c r="AD39" s="4">
        <v>0</v>
      </c>
      <c r="AE39" s="4">
        <v>0</v>
      </c>
      <c r="AF39" s="4">
        <v>0</v>
      </c>
      <c r="AG39" s="4">
        <v>0</v>
      </c>
      <c r="AH39" s="4">
        <v>0</v>
      </c>
      <c r="AI39" s="4">
        <v>0</v>
      </c>
      <c r="AJ39" s="4">
        <v>0</v>
      </c>
      <c r="AK39" s="4">
        <v>0</v>
      </c>
      <c r="AL39" s="4">
        <v>0</v>
      </c>
      <c r="AM39" s="4">
        <v>0</v>
      </c>
      <c r="AN39" s="4">
        <v>0</v>
      </c>
      <c r="AO39" s="4">
        <v>0</v>
      </c>
      <c r="AP39" s="4">
        <v>0</v>
      </c>
      <c r="AQ39" s="4">
        <v>0</v>
      </c>
      <c r="AR39" s="4">
        <v>0</v>
      </c>
      <c r="AS39" s="4">
        <v>0</v>
      </c>
      <c r="AT39" s="4">
        <v>0</v>
      </c>
      <c r="AU39" s="4">
        <v>0</v>
      </c>
      <c r="AV39" s="4">
        <v>0</v>
      </c>
      <c r="AW39" s="4">
        <v>0</v>
      </c>
      <c r="AX39" s="4">
        <v>0</v>
      </c>
      <c r="AY39" s="4">
        <v>0</v>
      </c>
      <c r="AZ39" s="4">
        <v>0</v>
      </c>
      <c r="BA39" s="4">
        <v>0</v>
      </c>
      <c r="BB39" s="4">
        <v>0</v>
      </c>
      <c r="BC39" s="4">
        <v>0</v>
      </c>
      <c r="BD39" s="4">
        <v>0</v>
      </c>
      <c r="BE39" s="4">
        <v>0</v>
      </c>
      <c r="BF39" s="4">
        <f t="shared" si="30"/>
        <v>0</v>
      </c>
      <c r="BG39" s="4">
        <f t="shared" si="31"/>
        <v>0</v>
      </c>
      <c r="BH39" s="4">
        <f t="shared" si="32"/>
        <v>0</v>
      </c>
      <c r="BI39" s="4">
        <f t="shared" si="33"/>
        <v>0</v>
      </c>
    </row>
    <row r="40" spans="2:61" x14ac:dyDescent="0.25">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row>
    <row r="41" spans="2:61" x14ac:dyDescent="0.25">
      <c r="B41" s="56">
        <v>55</v>
      </c>
      <c r="C41" s="56"/>
      <c r="D41" s="56" t="s">
        <v>379</v>
      </c>
      <c r="E41" s="57">
        <f>E42+E43+E44+E45+E46+E47+E48+E49+E50</f>
        <v>0</v>
      </c>
      <c r="F41" s="57">
        <f t="shared" ref="F41:BE41" si="34">F42+F43+F44+F45+F46+F47+F48+F49+F50</f>
        <v>0</v>
      </c>
      <c r="G41" s="57">
        <f t="shared" si="34"/>
        <v>0</v>
      </c>
      <c r="H41" s="57">
        <f t="shared" si="34"/>
        <v>0</v>
      </c>
      <c r="I41" s="57">
        <f t="shared" si="34"/>
        <v>0</v>
      </c>
      <c r="J41" s="57">
        <f t="shared" si="34"/>
        <v>0</v>
      </c>
      <c r="K41" s="57">
        <f t="shared" si="34"/>
        <v>79507.5</v>
      </c>
      <c r="L41" s="57">
        <f t="shared" si="34"/>
        <v>0</v>
      </c>
      <c r="M41" s="57">
        <f t="shared" si="34"/>
        <v>0</v>
      </c>
      <c r="N41" s="57">
        <f t="shared" si="34"/>
        <v>0</v>
      </c>
      <c r="O41" s="57">
        <f t="shared" si="34"/>
        <v>0</v>
      </c>
      <c r="P41" s="57">
        <f t="shared" si="34"/>
        <v>0</v>
      </c>
      <c r="Q41" s="57">
        <f t="shared" si="34"/>
        <v>0</v>
      </c>
      <c r="R41" s="57">
        <f t="shared" si="34"/>
        <v>0</v>
      </c>
      <c r="S41" s="57">
        <f t="shared" si="34"/>
        <v>0</v>
      </c>
      <c r="T41" s="57">
        <f t="shared" si="34"/>
        <v>0</v>
      </c>
      <c r="U41" s="57">
        <f t="shared" si="34"/>
        <v>0</v>
      </c>
      <c r="V41" s="57">
        <f t="shared" si="34"/>
        <v>0</v>
      </c>
      <c r="W41" s="57">
        <f t="shared" si="34"/>
        <v>0</v>
      </c>
      <c r="X41" s="57">
        <f t="shared" si="34"/>
        <v>0</v>
      </c>
      <c r="Y41" s="57">
        <f t="shared" si="34"/>
        <v>0</v>
      </c>
      <c r="Z41" s="57">
        <f t="shared" si="34"/>
        <v>0</v>
      </c>
      <c r="AA41" s="57">
        <f t="shared" si="34"/>
        <v>0</v>
      </c>
      <c r="AB41" s="57">
        <f t="shared" si="34"/>
        <v>0</v>
      </c>
      <c r="AC41" s="57">
        <f t="shared" si="34"/>
        <v>0</v>
      </c>
      <c r="AD41" s="57">
        <f t="shared" si="34"/>
        <v>0</v>
      </c>
      <c r="AE41" s="57">
        <f t="shared" si="34"/>
        <v>0</v>
      </c>
      <c r="AF41" s="57">
        <f t="shared" si="34"/>
        <v>0</v>
      </c>
      <c r="AG41" s="57">
        <f t="shared" si="34"/>
        <v>0</v>
      </c>
      <c r="AH41" s="57">
        <f t="shared" si="34"/>
        <v>0</v>
      </c>
      <c r="AI41" s="57">
        <f t="shared" si="34"/>
        <v>0</v>
      </c>
      <c r="AJ41" s="57">
        <f t="shared" si="34"/>
        <v>0</v>
      </c>
      <c r="AK41" s="57">
        <f t="shared" si="34"/>
        <v>0</v>
      </c>
      <c r="AL41" s="57">
        <f t="shared" si="34"/>
        <v>0</v>
      </c>
      <c r="AM41" s="57">
        <f t="shared" si="34"/>
        <v>0</v>
      </c>
      <c r="AN41" s="57">
        <f t="shared" si="34"/>
        <v>0</v>
      </c>
      <c r="AO41" s="57">
        <f t="shared" si="34"/>
        <v>0</v>
      </c>
      <c r="AP41" s="57">
        <f t="shared" si="34"/>
        <v>0</v>
      </c>
      <c r="AQ41" s="57">
        <f t="shared" si="34"/>
        <v>0</v>
      </c>
      <c r="AR41" s="57">
        <f t="shared" si="34"/>
        <v>0</v>
      </c>
      <c r="AS41" s="57">
        <f t="shared" si="34"/>
        <v>0</v>
      </c>
      <c r="AT41" s="57">
        <f t="shared" si="34"/>
        <v>0</v>
      </c>
      <c r="AU41" s="57">
        <f t="shared" si="34"/>
        <v>0</v>
      </c>
      <c r="AV41" s="57">
        <f t="shared" si="34"/>
        <v>0</v>
      </c>
      <c r="AW41" s="57">
        <f t="shared" si="34"/>
        <v>0</v>
      </c>
      <c r="AX41" s="57">
        <f t="shared" si="34"/>
        <v>0</v>
      </c>
      <c r="AY41" s="57">
        <f t="shared" si="34"/>
        <v>0</v>
      </c>
      <c r="AZ41" s="57">
        <f t="shared" si="34"/>
        <v>0</v>
      </c>
      <c r="BA41" s="57">
        <f t="shared" si="34"/>
        <v>0</v>
      </c>
      <c r="BB41" s="57">
        <f t="shared" si="34"/>
        <v>0</v>
      </c>
      <c r="BC41" s="57">
        <f t="shared" si="34"/>
        <v>0</v>
      </c>
      <c r="BD41" s="57">
        <f t="shared" si="34"/>
        <v>0</v>
      </c>
      <c r="BE41" s="57">
        <f t="shared" si="34"/>
        <v>0</v>
      </c>
      <c r="BF41" s="57">
        <f t="shared" ref="BF41" si="35">BF42+BF43+BF44+BF45+BF46+BF47+BF48+BF49+BF50</f>
        <v>79507.5</v>
      </c>
      <c r="BG41" s="57">
        <f t="shared" ref="BG41" si="36">BG42+BG43+BG44+BG45+BG46+BG47+BG48+BG49+BG50</f>
        <v>79507.5</v>
      </c>
      <c r="BH41" s="57">
        <f t="shared" ref="BH41" si="37">BH42+BH43+BH44+BH45+BH46+BH47+BH48+BH49+BH50</f>
        <v>0</v>
      </c>
      <c r="BI41" s="57">
        <f t="shared" ref="BI41" si="38">BI42+BI43+BI44+BI45+BI46+BI47+BI48+BI49+BI50</f>
        <v>0</v>
      </c>
    </row>
    <row r="42" spans="2:61" x14ac:dyDescent="0.25">
      <c r="C42">
        <v>550</v>
      </c>
      <c r="D42" t="s">
        <v>466</v>
      </c>
      <c r="E42" s="4">
        <v>0</v>
      </c>
      <c r="F42" s="4">
        <v>0</v>
      </c>
      <c r="G42" s="4">
        <v>0</v>
      </c>
      <c r="H42" s="4">
        <v>0</v>
      </c>
      <c r="I42" s="4">
        <v>0</v>
      </c>
      <c r="J42" s="4">
        <v>0</v>
      </c>
      <c r="K42" s="4">
        <v>0</v>
      </c>
      <c r="L42" s="4">
        <v>0</v>
      </c>
      <c r="M42" s="4">
        <v>0</v>
      </c>
      <c r="N42" s="4">
        <v>0</v>
      </c>
      <c r="O42" s="4">
        <v>0</v>
      </c>
      <c r="P42" s="4">
        <v>0</v>
      </c>
      <c r="Q42" s="4">
        <v>0</v>
      </c>
      <c r="R42" s="4">
        <v>0</v>
      </c>
      <c r="S42" s="4">
        <v>0</v>
      </c>
      <c r="T42" s="4">
        <v>0</v>
      </c>
      <c r="U42" s="4">
        <v>0</v>
      </c>
      <c r="V42" s="4">
        <v>0</v>
      </c>
      <c r="W42" s="4">
        <v>0</v>
      </c>
      <c r="X42" s="4">
        <v>0</v>
      </c>
      <c r="Y42" s="4">
        <v>0</v>
      </c>
      <c r="Z42" s="4">
        <v>0</v>
      </c>
      <c r="AA42" s="4">
        <v>0</v>
      </c>
      <c r="AB42" s="4">
        <v>0</v>
      </c>
      <c r="AC42" s="4">
        <v>0</v>
      </c>
      <c r="AD42" s="4">
        <v>0</v>
      </c>
      <c r="AE42" s="4">
        <v>0</v>
      </c>
      <c r="AF42" s="4">
        <v>0</v>
      </c>
      <c r="AG42" s="4">
        <v>0</v>
      </c>
      <c r="AH42" s="4">
        <v>0</v>
      </c>
      <c r="AI42" s="4">
        <v>0</v>
      </c>
      <c r="AJ42" s="4">
        <v>0</v>
      </c>
      <c r="AK42" s="4">
        <v>0</v>
      </c>
      <c r="AL42" s="4">
        <v>0</v>
      </c>
      <c r="AM42" s="4">
        <v>0</v>
      </c>
      <c r="AN42" s="4">
        <v>0</v>
      </c>
      <c r="AO42" s="4">
        <v>0</v>
      </c>
      <c r="AP42" s="4">
        <v>0</v>
      </c>
      <c r="AQ42" s="4">
        <v>0</v>
      </c>
      <c r="AR42" s="4">
        <v>0</v>
      </c>
      <c r="AS42" s="4">
        <v>0</v>
      </c>
      <c r="AT42" s="4">
        <v>0</v>
      </c>
      <c r="AU42" s="4">
        <v>0</v>
      </c>
      <c r="AV42" s="4">
        <v>0</v>
      </c>
      <c r="AW42" s="4">
        <v>0</v>
      </c>
      <c r="AX42" s="4">
        <v>0</v>
      </c>
      <c r="AY42" s="4">
        <v>0</v>
      </c>
      <c r="AZ42" s="4">
        <v>0</v>
      </c>
      <c r="BA42" s="4">
        <v>0</v>
      </c>
      <c r="BB42" s="4">
        <v>0</v>
      </c>
      <c r="BC42" s="4">
        <v>0</v>
      </c>
      <c r="BD42" s="4">
        <v>0</v>
      </c>
      <c r="BE42" s="4">
        <v>0</v>
      </c>
      <c r="BF42" s="4">
        <f t="shared" ref="BF42:BF50" si="39">SUM(E42:BE42)</f>
        <v>0</v>
      </c>
      <c r="BG42" s="4">
        <f t="shared" ref="BG42:BG50" si="40">SUM(E42:W42)</f>
        <v>0</v>
      </c>
      <c r="BH42" s="4">
        <f t="shared" ref="BH42:BH50" si="41">SUM(X42:AJ42)</f>
        <v>0</v>
      </c>
      <c r="BI42" s="4">
        <f t="shared" ref="BI42:BI50" si="42">SUM(AK42:BE42)</f>
        <v>0</v>
      </c>
    </row>
    <row r="43" spans="2:61" x14ac:dyDescent="0.25">
      <c r="C43">
        <v>551</v>
      </c>
      <c r="D43" t="s">
        <v>467</v>
      </c>
      <c r="E43" s="4">
        <v>0</v>
      </c>
      <c r="F43" s="4">
        <v>0</v>
      </c>
      <c r="G43" s="4">
        <v>0</v>
      </c>
      <c r="H43" s="4">
        <v>0</v>
      </c>
      <c r="I43" s="4">
        <v>0</v>
      </c>
      <c r="J43" s="4">
        <v>0</v>
      </c>
      <c r="K43" s="4">
        <v>0</v>
      </c>
      <c r="L43" s="4">
        <v>0</v>
      </c>
      <c r="M43" s="4">
        <v>0</v>
      </c>
      <c r="N43" s="4">
        <v>0</v>
      </c>
      <c r="O43" s="4">
        <v>0</v>
      </c>
      <c r="P43" s="4">
        <v>0</v>
      </c>
      <c r="Q43" s="4">
        <v>0</v>
      </c>
      <c r="R43" s="4">
        <v>0</v>
      </c>
      <c r="S43" s="4">
        <v>0</v>
      </c>
      <c r="T43" s="4">
        <v>0</v>
      </c>
      <c r="U43" s="4">
        <v>0</v>
      </c>
      <c r="V43" s="4">
        <v>0</v>
      </c>
      <c r="W43" s="4">
        <v>0</v>
      </c>
      <c r="X43" s="4">
        <v>0</v>
      </c>
      <c r="Y43" s="4">
        <v>0</v>
      </c>
      <c r="Z43" s="4">
        <v>0</v>
      </c>
      <c r="AA43" s="4">
        <v>0</v>
      </c>
      <c r="AB43" s="4">
        <v>0</v>
      </c>
      <c r="AC43" s="4">
        <v>0</v>
      </c>
      <c r="AD43" s="4">
        <v>0</v>
      </c>
      <c r="AE43" s="4">
        <v>0</v>
      </c>
      <c r="AF43" s="4">
        <v>0</v>
      </c>
      <c r="AG43" s="4">
        <v>0</v>
      </c>
      <c r="AH43" s="4">
        <v>0</v>
      </c>
      <c r="AI43" s="4">
        <v>0</v>
      </c>
      <c r="AJ43" s="4">
        <v>0</v>
      </c>
      <c r="AK43" s="4">
        <v>0</v>
      </c>
      <c r="AL43" s="4">
        <v>0</v>
      </c>
      <c r="AM43" s="4">
        <v>0</v>
      </c>
      <c r="AN43" s="4">
        <v>0</v>
      </c>
      <c r="AO43" s="4">
        <v>0</v>
      </c>
      <c r="AP43" s="4">
        <v>0</v>
      </c>
      <c r="AQ43" s="4">
        <v>0</v>
      </c>
      <c r="AR43" s="4">
        <v>0</v>
      </c>
      <c r="AS43" s="4">
        <v>0</v>
      </c>
      <c r="AT43" s="4">
        <v>0</v>
      </c>
      <c r="AU43" s="4">
        <v>0</v>
      </c>
      <c r="AV43" s="4">
        <v>0</v>
      </c>
      <c r="AW43" s="4">
        <v>0</v>
      </c>
      <c r="AX43" s="4">
        <v>0</v>
      </c>
      <c r="AY43" s="4">
        <v>0</v>
      </c>
      <c r="AZ43" s="4">
        <v>0</v>
      </c>
      <c r="BA43" s="4">
        <v>0</v>
      </c>
      <c r="BB43" s="4">
        <v>0</v>
      </c>
      <c r="BC43" s="4">
        <v>0</v>
      </c>
      <c r="BD43" s="4">
        <v>0</v>
      </c>
      <c r="BE43" s="4">
        <v>0</v>
      </c>
      <c r="BF43" s="4">
        <f t="shared" si="39"/>
        <v>0</v>
      </c>
      <c r="BG43" s="4">
        <f t="shared" si="40"/>
        <v>0</v>
      </c>
      <c r="BH43" s="4">
        <f t="shared" si="41"/>
        <v>0</v>
      </c>
      <c r="BI43" s="4">
        <f t="shared" si="42"/>
        <v>0</v>
      </c>
    </row>
    <row r="44" spans="2:61" x14ac:dyDescent="0.25">
      <c r="C44">
        <v>552</v>
      </c>
      <c r="D44" t="s">
        <v>468</v>
      </c>
      <c r="E44" s="4">
        <v>0</v>
      </c>
      <c r="F44" s="4">
        <v>0</v>
      </c>
      <c r="G44" s="4">
        <v>0</v>
      </c>
      <c r="H44" s="4">
        <v>0</v>
      </c>
      <c r="I44" s="4">
        <v>0</v>
      </c>
      <c r="J44" s="4">
        <v>0</v>
      </c>
      <c r="K44" s="4">
        <v>0</v>
      </c>
      <c r="L44" s="4">
        <v>0</v>
      </c>
      <c r="M44" s="4">
        <v>0</v>
      </c>
      <c r="N44" s="4">
        <v>0</v>
      </c>
      <c r="O44" s="4">
        <v>0</v>
      </c>
      <c r="P44" s="4">
        <v>0</v>
      </c>
      <c r="Q44" s="4">
        <v>0</v>
      </c>
      <c r="R44" s="4">
        <v>0</v>
      </c>
      <c r="S44" s="4">
        <v>0</v>
      </c>
      <c r="T44" s="4">
        <v>0</v>
      </c>
      <c r="U44" s="4">
        <v>0</v>
      </c>
      <c r="V44" s="4">
        <v>0</v>
      </c>
      <c r="W44" s="4">
        <v>0</v>
      </c>
      <c r="X44" s="4">
        <v>0</v>
      </c>
      <c r="Y44" s="4">
        <v>0</v>
      </c>
      <c r="Z44" s="4">
        <v>0</v>
      </c>
      <c r="AA44" s="4">
        <v>0</v>
      </c>
      <c r="AB44" s="4">
        <v>0</v>
      </c>
      <c r="AC44" s="4">
        <v>0</v>
      </c>
      <c r="AD44" s="4">
        <v>0</v>
      </c>
      <c r="AE44" s="4">
        <v>0</v>
      </c>
      <c r="AF44" s="4">
        <v>0</v>
      </c>
      <c r="AG44" s="4">
        <v>0</v>
      </c>
      <c r="AH44" s="4">
        <v>0</v>
      </c>
      <c r="AI44" s="4">
        <v>0</v>
      </c>
      <c r="AJ44" s="4">
        <v>0</v>
      </c>
      <c r="AK44" s="4">
        <v>0</v>
      </c>
      <c r="AL44" s="4">
        <v>0</v>
      </c>
      <c r="AM44" s="4">
        <v>0</v>
      </c>
      <c r="AN44" s="4">
        <v>0</v>
      </c>
      <c r="AO44" s="4">
        <v>0</v>
      </c>
      <c r="AP44" s="4">
        <v>0</v>
      </c>
      <c r="AQ44" s="4">
        <v>0</v>
      </c>
      <c r="AR44" s="4">
        <v>0</v>
      </c>
      <c r="AS44" s="4">
        <v>0</v>
      </c>
      <c r="AT44" s="4">
        <v>0</v>
      </c>
      <c r="AU44" s="4">
        <v>0</v>
      </c>
      <c r="AV44" s="4">
        <v>0</v>
      </c>
      <c r="AW44" s="4">
        <v>0</v>
      </c>
      <c r="AX44" s="4">
        <v>0</v>
      </c>
      <c r="AY44" s="4">
        <v>0</v>
      </c>
      <c r="AZ44" s="4">
        <v>0</v>
      </c>
      <c r="BA44" s="4">
        <v>0</v>
      </c>
      <c r="BB44" s="4">
        <v>0</v>
      </c>
      <c r="BC44" s="4">
        <v>0</v>
      </c>
      <c r="BD44" s="4">
        <v>0</v>
      </c>
      <c r="BE44" s="4">
        <v>0</v>
      </c>
      <c r="BF44" s="4">
        <f t="shared" si="39"/>
        <v>0</v>
      </c>
      <c r="BG44" s="4">
        <f t="shared" si="40"/>
        <v>0</v>
      </c>
      <c r="BH44" s="4">
        <f t="shared" si="41"/>
        <v>0</v>
      </c>
      <c r="BI44" s="4">
        <f t="shared" si="42"/>
        <v>0</v>
      </c>
    </row>
    <row r="45" spans="2:61" x14ac:dyDescent="0.25">
      <c r="C45">
        <v>553</v>
      </c>
      <c r="D45" t="s">
        <v>469</v>
      </c>
      <c r="E45" s="4">
        <v>0</v>
      </c>
      <c r="F45" s="4">
        <v>0</v>
      </c>
      <c r="G45" s="4">
        <v>0</v>
      </c>
      <c r="H45" s="4">
        <v>0</v>
      </c>
      <c r="I45" s="4">
        <v>0</v>
      </c>
      <c r="J45" s="4">
        <v>0</v>
      </c>
      <c r="K45" s="4">
        <v>0</v>
      </c>
      <c r="L45" s="4">
        <v>0</v>
      </c>
      <c r="M45" s="4">
        <v>0</v>
      </c>
      <c r="N45" s="4">
        <v>0</v>
      </c>
      <c r="O45" s="4">
        <v>0</v>
      </c>
      <c r="P45" s="4">
        <v>0</v>
      </c>
      <c r="Q45" s="4">
        <v>0</v>
      </c>
      <c r="R45" s="4">
        <v>0</v>
      </c>
      <c r="S45" s="4">
        <v>0</v>
      </c>
      <c r="T45" s="4">
        <v>0</v>
      </c>
      <c r="U45" s="4">
        <v>0</v>
      </c>
      <c r="V45" s="4">
        <v>0</v>
      </c>
      <c r="W45" s="4">
        <v>0</v>
      </c>
      <c r="X45" s="4">
        <v>0</v>
      </c>
      <c r="Y45" s="4">
        <v>0</v>
      </c>
      <c r="Z45" s="4">
        <v>0</v>
      </c>
      <c r="AA45" s="4">
        <v>0</v>
      </c>
      <c r="AB45" s="4">
        <v>0</v>
      </c>
      <c r="AC45" s="4">
        <v>0</v>
      </c>
      <c r="AD45" s="4">
        <v>0</v>
      </c>
      <c r="AE45" s="4">
        <v>0</v>
      </c>
      <c r="AF45" s="4">
        <v>0</v>
      </c>
      <c r="AG45" s="4">
        <v>0</v>
      </c>
      <c r="AH45" s="4">
        <v>0</v>
      </c>
      <c r="AI45" s="4">
        <v>0</v>
      </c>
      <c r="AJ45" s="4">
        <v>0</v>
      </c>
      <c r="AK45" s="4">
        <v>0</v>
      </c>
      <c r="AL45" s="4">
        <v>0</v>
      </c>
      <c r="AM45" s="4">
        <v>0</v>
      </c>
      <c r="AN45" s="4">
        <v>0</v>
      </c>
      <c r="AO45" s="4">
        <v>0</v>
      </c>
      <c r="AP45" s="4">
        <v>0</v>
      </c>
      <c r="AQ45" s="4">
        <v>0</v>
      </c>
      <c r="AR45" s="4">
        <v>0</v>
      </c>
      <c r="AS45" s="4">
        <v>0</v>
      </c>
      <c r="AT45" s="4">
        <v>0</v>
      </c>
      <c r="AU45" s="4">
        <v>0</v>
      </c>
      <c r="AV45" s="4">
        <v>0</v>
      </c>
      <c r="AW45" s="4">
        <v>0</v>
      </c>
      <c r="AX45" s="4">
        <v>0</v>
      </c>
      <c r="AY45" s="4">
        <v>0</v>
      </c>
      <c r="AZ45" s="4">
        <v>0</v>
      </c>
      <c r="BA45" s="4">
        <v>0</v>
      </c>
      <c r="BB45" s="4">
        <v>0</v>
      </c>
      <c r="BC45" s="4">
        <v>0</v>
      </c>
      <c r="BD45" s="4">
        <v>0</v>
      </c>
      <c r="BE45" s="4">
        <v>0</v>
      </c>
      <c r="BF45" s="4">
        <f t="shared" si="39"/>
        <v>0</v>
      </c>
      <c r="BG45" s="4">
        <f t="shared" si="40"/>
        <v>0</v>
      </c>
      <c r="BH45" s="4">
        <f t="shared" si="41"/>
        <v>0</v>
      </c>
      <c r="BI45" s="4">
        <f t="shared" si="42"/>
        <v>0</v>
      </c>
    </row>
    <row r="46" spans="2:61" x14ac:dyDescent="0.25">
      <c r="C46">
        <v>554</v>
      </c>
      <c r="D46" t="s">
        <v>470</v>
      </c>
      <c r="E46" s="4">
        <v>0</v>
      </c>
      <c r="F46" s="4">
        <v>0</v>
      </c>
      <c r="G46" s="4">
        <v>0</v>
      </c>
      <c r="H46" s="4">
        <v>0</v>
      </c>
      <c r="I46" s="4">
        <v>0</v>
      </c>
      <c r="J46" s="4">
        <v>0</v>
      </c>
      <c r="K46" s="4">
        <v>0</v>
      </c>
      <c r="L46" s="4">
        <v>0</v>
      </c>
      <c r="M46" s="4">
        <v>0</v>
      </c>
      <c r="N46" s="4">
        <v>0</v>
      </c>
      <c r="O46" s="4">
        <v>0</v>
      </c>
      <c r="P46" s="4">
        <v>0</v>
      </c>
      <c r="Q46" s="4">
        <v>0</v>
      </c>
      <c r="R46" s="4">
        <v>0</v>
      </c>
      <c r="S46" s="4">
        <v>0</v>
      </c>
      <c r="T46" s="4">
        <v>0</v>
      </c>
      <c r="U46" s="4">
        <v>0</v>
      </c>
      <c r="V46" s="4">
        <v>0</v>
      </c>
      <c r="W46" s="4">
        <v>0</v>
      </c>
      <c r="X46" s="4">
        <v>0</v>
      </c>
      <c r="Y46" s="4">
        <v>0</v>
      </c>
      <c r="Z46" s="4">
        <v>0</v>
      </c>
      <c r="AA46" s="4">
        <v>0</v>
      </c>
      <c r="AB46" s="4">
        <v>0</v>
      </c>
      <c r="AC46" s="4">
        <v>0</v>
      </c>
      <c r="AD46" s="4">
        <v>0</v>
      </c>
      <c r="AE46" s="4">
        <v>0</v>
      </c>
      <c r="AF46" s="4">
        <v>0</v>
      </c>
      <c r="AG46" s="4">
        <v>0</v>
      </c>
      <c r="AH46" s="4">
        <v>0</v>
      </c>
      <c r="AI46" s="4">
        <v>0</v>
      </c>
      <c r="AJ46" s="4">
        <v>0</v>
      </c>
      <c r="AK46" s="4">
        <v>0</v>
      </c>
      <c r="AL46" s="4">
        <v>0</v>
      </c>
      <c r="AM46" s="4">
        <v>0</v>
      </c>
      <c r="AN46" s="4">
        <v>0</v>
      </c>
      <c r="AO46" s="4">
        <v>0</v>
      </c>
      <c r="AP46" s="4">
        <v>0</v>
      </c>
      <c r="AQ46" s="4">
        <v>0</v>
      </c>
      <c r="AR46" s="4">
        <v>0</v>
      </c>
      <c r="AS46" s="4">
        <v>0</v>
      </c>
      <c r="AT46" s="4">
        <v>0</v>
      </c>
      <c r="AU46" s="4">
        <v>0</v>
      </c>
      <c r="AV46" s="4">
        <v>0</v>
      </c>
      <c r="AW46" s="4">
        <v>0</v>
      </c>
      <c r="AX46" s="4">
        <v>0</v>
      </c>
      <c r="AY46" s="4">
        <v>0</v>
      </c>
      <c r="AZ46" s="4">
        <v>0</v>
      </c>
      <c r="BA46" s="4">
        <v>0</v>
      </c>
      <c r="BB46" s="4">
        <v>0</v>
      </c>
      <c r="BC46" s="4">
        <v>0</v>
      </c>
      <c r="BD46" s="4">
        <v>0</v>
      </c>
      <c r="BE46" s="4">
        <v>0</v>
      </c>
      <c r="BF46" s="4">
        <f t="shared" si="39"/>
        <v>0</v>
      </c>
      <c r="BG46" s="4">
        <f t="shared" si="40"/>
        <v>0</v>
      </c>
      <c r="BH46" s="4">
        <f t="shared" si="41"/>
        <v>0</v>
      </c>
      <c r="BI46" s="4">
        <f t="shared" si="42"/>
        <v>0</v>
      </c>
    </row>
    <row r="47" spans="2:61" x14ac:dyDescent="0.25">
      <c r="C47">
        <v>555</v>
      </c>
      <c r="D47" t="s">
        <v>471</v>
      </c>
      <c r="E47" s="4">
        <v>0</v>
      </c>
      <c r="F47" s="4">
        <v>0</v>
      </c>
      <c r="G47" s="4">
        <v>0</v>
      </c>
      <c r="H47" s="4">
        <v>0</v>
      </c>
      <c r="I47" s="4">
        <v>0</v>
      </c>
      <c r="J47" s="4">
        <v>0</v>
      </c>
      <c r="K47" s="4">
        <v>0</v>
      </c>
      <c r="L47" s="4">
        <v>0</v>
      </c>
      <c r="M47" s="4">
        <v>0</v>
      </c>
      <c r="N47" s="4">
        <v>0</v>
      </c>
      <c r="O47" s="4">
        <v>0</v>
      </c>
      <c r="P47" s="4">
        <v>0</v>
      </c>
      <c r="Q47" s="4">
        <v>0</v>
      </c>
      <c r="R47" s="4">
        <v>0</v>
      </c>
      <c r="S47" s="4">
        <v>0</v>
      </c>
      <c r="T47" s="4">
        <v>0</v>
      </c>
      <c r="U47" s="4">
        <v>0</v>
      </c>
      <c r="V47" s="4">
        <v>0</v>
      </c>
      <c r="W47" s="4">
        <v>0</v>
      </c>
      <c r="X47" s="4">
        <v>0</v>
      </c>
      <c r="Y47" s="4">
        <v>0</v>
      </c>
      <c r="Z47" s="4">
        <v>0</v>
      </c>
      <c r="AA47" s="4">
        <v>0</v>
      </c>
      <c r="AB47" s="4">
        <v>0</v>
      </c>
      <c r="AC47" s="4">
        <v>0</v>
      </c>
      <c r="AD47" s="4">
        <v>0</v>
      </c>
      <c r="AE47" s="4">
        <v>0</v>
      </c>
      <c r="AF47" s="4">
        <v>0</v>
      </c>
      <c r="AG47" s="4">
        <v>0</v>
      </c>
      <c r="AH47" s="4">
        <v>0</v>
      </c>
      <c r="AI47" s="4">
        <v>0</v>
      </c>
      <c r="AJ47" s="4">
        <v>0</v>
      </c>
      <c r="AK47" s="4">
        <v>0</v>
      </c>
      <c r="AL47" s="4">
        <v>0</v>
      </c>
      <c r="AM47" s="4">
        <v>0</v>
      </c>
      <c r="AN47" s="4">
        <v>0</v>
      </c>
      <c r="AO47" s="4">
        <v>0</v>
      </c>
      <c r="AP47" s="4">
        <v>0</v>
      </c>
      <c r="AQ47" s="4">
        <v>0</v>
      </c>
      <c r="AR47" s="4">
        <v>0</v>
      </c>
      <c r="AS47" s="4">
        <v>0</v>
      </c>
      <c r="AT47" s="4">
        <v>0</v>
      </c>
      <c r="AU47" s="4">
        <v>0</v>
      </c>
      <c r="AV47" s="4">
        <v>0</v>
      </c>
      <c r="AW47" s="4">
        <v>0</v>
      </c>
      <c r="AX47" s="4">
        <v>0</v>
      </c>
      <c r="AY47" s="4">
        <v>0</v>
      </c>
      <c r="AZ47" s="4">
        <v>0</v>
      </c>
      <c r="BA47" s="4">
        <v>0</v>
      </c>
      <c r="BB47" s="4">
        <v>0</v>
      </c>
      <c r="BC47" s="4">
        <v>0</v>
      </c>
      <c r="BD47" s="4">
        <v>0</v>
      </c>
      <c r="BE47" s="4">
        <v>0</v>
      </c>
      <c r="BF47" s="4">
        <f t="shared" si="39"/>
        <v>0</v>
      </c>
      <c r="BG47" s="4">
        <f t="shared" si="40"/>
        <v>0</v>
      </c>
      <c r="BH47" s="4">
        <f t="shared" si="41"/>
        <v>0</v>
      </c>
      <c r="BI47" s="4">
        <f t="shared" si="42"/>
        <v>0</v>
      </c>
    </row>
    <row r="48" spans="2:61" x14ac:dyDescent="0.25">
      <c r="C48">
        <v>556</v>
      </c>
      <c r="D48" t="s">
        <v>472</v>
      </c>
      <c r="E48" s="4">
        <v>0</v>
      </c>
      <c r="F48" s="4">
        <v>0</v>
      </c>
      <c r="G48" s="4">
        <v>0</v>
      </c>
      <c r="H48" s="4">
        <v>0</v>
      </c>
      <c r="I48" s="4">
        <v>0</v>
      </c>
      <c r="J48" s="4">
        <v>0</v>
      </c>
      <c r="K48" s="4">
        <v>79507.5</v>
      </c>
      <c r="L48" s="4">
        <v>0</v>
      </c>
      <c r="M48" s="4">
        <v>0</v>
      </c>
      <c r="N48" s="4">
        <v>0</v>
      </c>
      <c r="O48" s="4">
        <v>0</v>
      </c>
      <c r="P48" s="4">
        <v>0</v>
      </c>
      <c r="Q48" s="4">
        <v>0</v>
      </c>
      <c r="R48" s="4">
        <v>0</v>
      </c>
      <c r="S48" s="4">
        <v>0</v>
      </c>
      <c r="T48" s="4">
        <v>0</v>
      </c>
      <c r="U48" s="4">
        <v>0</v>
      </c>
      <c r="V48" s="4">
        <v>0</v>
      </c>
      <c r="W48" s="4">
        <v>0</v>
      </c>
      <c r="X48" s="4">
        <v>0</v>
      </c>
      <c r="Y48" s="4">
        <v>0</v>
      </c>
      <c r="Z48" s="4">
        <v>0</v>
      </c>
      <c r="AA48" s="4">
        <v>0</v>
      </c>
      <c r="AB48" s="4">
        <v>0</v>
      </c>
      <c r="AC48" s="4">
        <v>0</v>
      </c>
      <c r="AD48" s="4">
        <v>0</v>
      </c>
      <c r="AE48" s="4">
        <v>0</v>
      </c>
      <c r="AF48" s="4">
        <v>0</v>
      </c>
      <c r="AG48" s="4">
        <v>0</v>
      </c>
      <c r="AH48" s="4">
        <v>0</v>
      </c>
      <c r="AI48" s="4">
        <v>0</v>
      </c>
      <c r="AJ48" s="4">
        <v>0</v>
      </c>
      <c r="AK48" s="4">
        <v>0</v>
      </c>
      <c r="AL48" s="4">
        <v>0</v>
      </c>
      <c r="AM48" s="4">
        <v>0</v>
      </c>
      <c r="AN48" s="4">
        <v>0</v>
      </c>
      <c r="AO48" s="4">
        <v>0</v>
      </c>
      <c r="AP48" s="4">
        <v>0</v>
      </c>
      <c r="AQ48" s="4">
        <v>0</v>
      </c>
      <c r="AR48" s="4">
        <v>0</v>
      </c>
      <c r="AS48" s="4">
        <v>0</v>
      </c>
      <c r="AT48" s="4">
        <v>0</v>
      </c>
      <c r="AU48" s="4">
        <v>0</v>
      </c>
      <c r="AV48" s="4">
        <v>0</v>
      </c>
      <c r="AW48" s="4">
        <v>0</v>
      </c>
      <c r="AX48" s="4">
        <v>0</v>
      </c>
      <c r="AY48" s="4">
        <v>0</v>
      </c>
      <c r="AZ48" s="4">
        <v>0</v>
      </c>
      <c r="BA48" s="4">
        <v>0</v>
      </c>
      <c r="BB48" s="4">
        <v>0</v>
      </c>
      <c r="BC48" s="4">
        <v>0</v>
      </c>
      <c r="BD48" s="4">
        <v>0</v>
      </c>
      <c r="BE48" s="4">
        <v>0</v>
      </c>
      <c r="BF48" s="4">
        <f t="shared" si="39"/>
        <v>79507.5</v>
      </c>
      <c r="BG48" s="4">
        <f t="shared" si="40"/>
        <v>79507.5</v>
      </c>
      <c r="BH48" s="4">
        <f t="shared" si="41"/>
        <v>0</v>
      </c>
      <c r="BI48" s="4">
        <f t="shared" si="42"/>
        <v>0</v>
      </c>
    </row>
    <row r="49" spans="2:61" x14ac:dyDescent="0.25">
      <c r="C49">
        <v>557</v>
      </c>
      <c r="D49" t="s">
        <v>473</v>
      </c>
      <c r="E49" s="4">
        <v>0</v>
      </c>
      <c r="F49" s="4">
        <v>0</v>
      </c>
      <c r="G49" s="4">
        <v>0</v>
      </c>
      <c r="H49" s="4">
        <v>0</v>
      </c>
      <c r="I49" s="4">
        <v>0</v>
      </c>
      <c r="J49" s="4">
        <v>0</v>
      </c>
      <c r="K49" s="4">
        <v>0</v>
      </c>
      <c r="L49" s="4">
        <v>0</v>
      </c>
      <c r="M49" s="4">
        <v>0</v>
      </c>
      <c r="N49" s="4">
        <v>0</v>
      </c>
      <c r="O49" s="4">
        <v>0</v>
      </c>
      <c r="P49" s="4">
        <v>0</v>
      </c>
      <c r="Q49" s="4">
        <v>0</v>
      </c>
      <c r="R49" s="4">
        <v>0</v>
      </c>
      <c r="S49" s="4">
        <v>0</v>
      </c>
      <c r="T49" s="4">
        <v>0</v>
      </c>
      <c r="U49" s="4">
        <v>0</v>
      </c>
      <c r="V49" s="4">
        <v>0</v>
      </c>
      <c r="W49" s="4">
        <v>0</v>
      </c>
      <c r="X49" s="4">
        <v>0</v>
      </c>
      <c r="Y49" s="4">
        <v>0</v>
      </c>
      <c r="Z49" s="4">
        <v>0</v>
      </c>
      <c r="AA49" s="4">
        <v>0</v>
      </c>
      <c r="AB49" s="4">
        <v>0</v>
      </c>
      <c r="AC49" s="4">
        <v>0</v>
      </c>
      <c r="AD49" s="4">
        <v>0</v>
      </c>
      <c r="AE49" s="4">
        <v>0</v>
      </c>
      <c r="AF49" s="4">
        <v>0</v>
      </c>
      <c r="AG49" s="4">
        <v>0</v>
      </c>
      <c r="AH49" s="4">
        <v>0</v>
      </c>
      <c r="AI49" s="4">
        <v>0</v>
      </c>
      <c r="AJ49" s="4">
        <v>0</v>
      </c>
      <c r="AK49" s="4">
        <v>0</v>
      </c>
      <c r="AL49" s="4">
        <v>0</v>
      </c>
      <c r="AM49" s="4">
        <v>0</v>
      </c>
      <c r="AN49" s="4">
        <v>0</v>
      </c>
      <c r="AO49" s="4">
        <v>0</v>
      </c>
      <c r="AP49" s="4">
        <v>0</v>
      </c>
      <c r="AQ49" s="4">
        <v>0</v>
      </c>
      <c r="AR49" s="4">
        <v>0</v>
      </c>
      <c r="AS49" s="4">
        <v>0</v>
      </c>
      <c r="AT49" s="4">
        <v>0</v>
      </c>
      <c r="AU49" s="4">
        <v>0</v>
      </c>
      <c r="AV49" s="4">
        <v>0</v>
      </c>
      <c r="AW49" s="4">
        <v>0</v>
      </c>
      <c r="AX49" s="4">
        <v>0</v>
      </c>
      <c r="AY49" s="4">
        <v>0</v>
      </c>
      <c r="AZ49" s="4">
        <v>0</v>
      </c>
      <c r="BA49" s="4">
        <v>0</v>
      </c>
      <c r="BB49" s="4">
        <v>0</v>
      </c>
      <c r="BC49" s="4">
        <v>0</v>
      </c>
      <c r="BD49" s="4">
        <v>0</v>
      </c>
      <c r="BE49" s="4">
        <v>0</v>
      </c>
      <c r="BF49" s="4">
        <f t="shared" si="39"/>
        <v>0</v>
      </c>
      <c r="BG49" s="4">
        <f t="shared" si="40"/>
        <v>0</v>
      </c>
      <c r="BH49" s="4">
        <f t="shared" si="41"/>
        <v>0</v>
      </c>
      <c r="BI49" s="4">
        <f t="shared" si="42"/>
        <v>0</v>
      </c>
    </row>
    <row r="50" spans="2:61" x14ac:dyDescent="0.25">
      <c r="C50">
        <v>558</v>
      </c>
      <c r="D50" t="s">
        <v>474</v>
      </c>
      <c r="E50" s="4">
        <v>0</v>
      </c>
      <c r="F50" s="4">
        <v>0</v>
      </c>
      <c r="G50" s="4">
        <v>0</v>
      </c>
      <c r="H50" s="4">
        <v>0</v>
      </c>
      <c r="I50" s="4">
        <v>0</v>
      </c>
      <c r="J50" s="4">
        <v>0</v>
      </c>
      <c r="K50" s="4">
        <v>0</v>
      </c>
      <c r="L50" s="4">
        <v>0</v>
      </c>
      <c r="M50" s="4">
        <v>0</v>
      </c>
      <c r="N50" s="4">
        <v>0</v>
      </c>
      <c r="O50" s="4">
        <v>0</v>
      </c>
      <c r="P50" s="4">
        <v>0</v>
      </c>
      <c r="Q50" s="4">
        <v>0</v>
      </c>
      <c r="R50" s="4">
        <v>0</v>
      </c>
      <c r="S50" s="4">
        <v>0</v>
      </c>
      <c r="T50" s="4">
        <v>0</v>
      </c>
      <c r="U50" s="4">
        <v>0</v>
      </c>
      <c r="V50" s="4">
        <v>0</v>
      </c>
      <c r="W50" s="4">
        <v>0</v>
      </c>
      <c r="X50" s="4">
        <v>0</v>
      </c>
      <c r="Y50" s="4">
        <v>0</v>
      </c>
      <c r="Z50" s="4">
        <v>0</v>
      </c>
      <c r="AA50" s="4">
        <v>0</v>
      </c>
      <c r="AB50" s="4">
        <v>0</v>
      </c>
      <c r="AC50" s="4">
        <v>0</v>
      </c>
      <c r="AD50" s="4">
        <v>0</v>
      </c>
      <c r="AE50" s="4">
        <v>0</v>
      </c>
      <c r="AF50" s="4">
        <v>0</v>
      </c>
      <c r="AG50" s="4">
        <v>0</v>
      </c>
      <c r="AH50" s="4">
        <v>0</v>
      </c>
      <c r="AI50" s="4">
        <v>0</v>
      </c>
      <c r="AJ50" s="4">
        <v>0</v>
      </c>
      <c r="AK50" s="4">
        <v>0</v>
      </c>
      <c r="AL50" s="4">
        <v>0</v>
      </c>
      <c r="AM50" s="4">
        <v>0</v>
      </c>
      <c r="AN50" s="4">
        <v>0</v>
      </c>
      <c r="AO50" s="4">
        <v>0</v>
      </c>
      <c r="AP50" s="4">
        <v>0</v>
      </c>
      <c r="AQ50" s="4">
        <v>0</v>
      </c>
      <c r="AR50" s="4">
        <v>0</v>
      </c>
      <c r="AS50" s="4">
        <v>0</v>
      </c>
      <c r="AT50" s="4">
        <v>0</v>
      </c>
      <c r="AU50" s="4">
        <v>0</v>
      </c>
      <c r="AV50" s="4">
        <v>0</v>
      </c>
      <c r="AW50" s="4">
        <v>0</v>
      </c>
      <c r="AX50" s="4">
        <v>0</v>
      </c>
      <c r="AY50" s="4">
        <v>0</v>
      </c>
      <c r="AZ50" s="4">
        <v>0</v>
      </c>
      <c r="BA50" s="4">
        <v>0</v>
      </c>
      <c r="BB50" s="4">
        <v>0</v>
      </c>
      <c r="BC50" s="4">
        <v>0</v>
      </c>
      <c r="BD50" s="4">
        <v>0</v>
      </c>
      <c r="BE50" s="4">
        <v>0</v>
      </c>
      <c r="BF50" s="4">
        <f t="shared" si="39"/>
        <v>0</v>
      </c>
      <c r="BG50" s="4">
        <f t="shared" si="40"/>
        <v>0</v>
      </c>
      <c r="BH50" s="4">
        <f t="shared" si="41"/>
        <v>0</v>
      </c>
      <c r="BI50" s="4">
        <f t="shared" si="42"/>
        <v>0</v>
      </c>
    </row>
    <row r="51" spans="2:61" x14ac:dyDescent="0.25">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row>
    <row r="52" spans="2:61" x14ac:dyDescent="0.25">
      <c r="B52" s="56">
        <v>56</v>
      </c>
      <c r="C52" s="56"/>
      <c r="D52" s="56" t="s">
        <v>475</v>
      </c>
      <c r="E52" s="57">
        <f>E53+E54+E55+E56+E57+E58+E59+E60+E61</f>
        <v>0</v>
      </c>
      <c r="F52" s="57">
        <f t="shared" ref="F52:BE52" si="43">F53+F54+F55+F56+F57+F58+F59+F60+F61</f>
        <v>0</v>
      </c>
      <c r="G52" s="57">
        <f t="shared" si="43"/>
        <v>0</v>
      </c>
      <c r="H52" s="57">
        <f t="shared" si="43"/>
        <v>0</v>
      </c>
      <c r="I52" s="57">
        <f t="shared" si="43"/>
        <v>0</v>
      </c>
      <c r="J52" s="57">
        <f t="shared" si="43"/>
        <v>61121.599999999999</v>
      </c>
      <c r="K52" s="57">
        <f t="shared" si="43"/>
        <v>0</v>
      </c>
      <c r="L52" s="57">
        <f t="shared" si="43"/>
        <v>0</v>
      </c>
      <c r="M52" s="57">
        <f t="shared" si="43"/>
        <v>0</v>
      </c>
      <c r="N52" s="57">
        <f t="shared" si="43"/>
        <v>0</v>
      </c>
      <c r="O52" s="57">
        <f t="shared" si="43"/>
        <v>136689.60000000001</v>
      </c>
      <c r="P52" s="57">
        <f t="shared" si="43"/>
        <v>0</v>
      </c>
      <c r="Q52" s="57">
        <f t="shared" si="43"/>
        <v>2137</v>
      </c>
      <c r="R52" s="57">
        <f t="shared" si="43"/>
        <v>0</v>
      </c>
      <c r="S52" s="57">
        <f t="shared" si="43"/>
        <v>0</v>
      </c>
      <c r="T52" s="57">
        <f t="shared" si="43"/>
        <v>0</v>
      </c>
      <c r="U52" s="57">
        <f t="shared" si="43"/>
        <v>0</v>
      </c>
      <c r="V52" s="57">
        <f t="shared" si="43"/>
        <v>0</v>
      </c>
      <c r="W52" s="57">
        <f t="shared" si="43"/>
        <v>0</v>
      </c>
      <c r="X52" s="57">
        <f t="shared" si="43"/>
        <v>0</v>
      </c>
      <c r="Y52" s="57">
        <f t="shared" si="43"/>
        <v>25000</v>
      </c>
      <c r="Z52" s="57">
        <f t="shared" si="43"/>
        <v>0</v>
      </c>
      <c r="AA52" s="57">
        <f t="shared" si="43"/>
        <v>0</v>
      </c>
      <c r="AB52" s="57">
        <f t="shared" si="43"/>
        <v>0</v>
      </c>
      <c r="AC52" s="57">
        <f t="shared" si="43"/>
        <v>0</v>
      </c>
      <c r="AD52" s="57">
        <f t="shared" si="43"/>
        <v>0</v>
      </c>
      <c r="AE52" s="57">
        <f t="shared" si="43"/>
        <v>0</v>
      </c>
      <c r="AF52" s="57">
        <f t="shared" si="43"/>
        <v>0</v>
      </c>
      <c r="AG52" s="57">
        <f t="shared" si="43"/>
        <v>0</v>
      </c>
      <c r="AH52" s="57">
        <f t="shared" si="43"/>
        <v>0</v>
      </c>
      <c r="AI52" s="57">
        <f t="shared" si="43"/>
        <v>0</v>
      </c>
      <c r="AJ52" s="57">
        <f t="shared" si="43"/>
        <v>0</v>
      </c>
      <c r="AK52" s="57">
        <f t="shared" si="43"/>
        <v>0</v>
      </c>
      <c r="AL52" s="57">
        <f t="shared" si="43"/>
        <v>285475.45</v>
      </c>
      <c r="AM52" s="57">
        <f t="shared" si="43"/>
        <v>0</v>
      </c>
      <c r="AN52" s="57">
        <f t="shared" si="43"/>
        <v>0</v>
      </c>
      <c r="AO52" s="57">
        <f t="shared" si="43"/>
        <v>0</v>
      </c>
      <c r="AP52" s="57">
        <f t="shared" si="43"/>
        <v>0</v>
      </c>
      <c r="AQ52" s="57">
        <f t="shared" si="43"/>
        <v>0</v>
      </c>
      <c r="AR52" s="57">
        <f t="shared" si="43"/>
        <v>0</v>
      </c>
      <c r="AS52" s="57">
        <f t="shared" si="43"/>
        <v>0</v>
      </c>
      <c r="AT52" s="57">
        <f t="shared" si="43"/>
        <v>0</v>
      </c>
      <c r="AU52" s="57">
        <f t="shared" si="43"/>
        <v>0</v>
      </c>
      <c r="AV52" s="57">
        <f t="shared" si="43"/>
        <v>0</v>
      </c>
      <c r="AW52" s="57">
        <f t="shared" si="43"/>
        <v>0</v>
      </c>
      <c r="AX52" s="57">
        <f t="shared" si="43"/>
        <v>0</v>
      </c>
      <c r="AY52" s="57">
        <f t="shared" si="43"/>
        <v>0</v>
      </c>
      <c r="AZ52" s="57">
        <f t="shared" si="43"/>
        <v>0</v>
      </c>
      <c r="BA52" s="57">
        <f t="shared" si="43"/>
        <v>0</v>
      </c>
      <c r="BB52" s="57">
        <f t="shared" si="43"/>
        <v>0</v>
      </c>
      <c r="BC52" s="57">
        <f t="shared" si="43"/>
        <v>0</v>
      </c>
      <c r="BD52" s="57">
        <f t="shared" si="43"/>
        <v>990000</v>
      </c>
      <c r="BE52" s="57">
        <f t="shared" si="43"/>
        <v>0</v>
      </c>
      <c r="BF52" s="57">
        <f t="shared" ref="BF52" si="44">BF53+BF54+BF55+BF56+BF57+BF58+BF59+BF60+BF61</f>
        <v>1500423.65</v>
      </c>
      <c r="BG52" s="57">
        <f t="shared" ref="BG52" si="45">BG53+BG54+BG55+BG56+BG57+BG58+BG59+BG60+BG61</f>
        <v>199948.2</v>
      </c>
      <c r="BH52" s="57">
        <f t="shared" ref="BH52" si="46">BH53+BH54+BH55+BH56+BH57+BH58+BH59+BH60+BH61</f>
        <v>25000</v>
      </c>
      <c r="BI52" s="57">
        <f t="shared" ref="BI52" si="47">BI53+BI54+BI55+BI56+BI57+BI58+BI59+BI60+BI61</f>
        <v>1275475.45</v>
      </c>
    </row>
    <row r="53" spans="2:61" x14ac:dyDescent="0.25">
      <c r="C53">
        <v>560</v>
      </c>
      <c r="D53" t="s">
        <v>466</v>
      </c>
      <c r="E53" s="4">
        <v>0</v>
      </c>
      <c r="F53" s="4">
        <v>0</v>
      </c>
      <c r="G53" s="4">
        <v>0</v>
      </c>
      <c r="H53" s="4">
        <v>0</v>
      </c>
      <c r="I53" s="4">
        <v>0</v>
      </c>
      <c r="J53" s="4">
        <v>0</v>
      </c>
      <c r="K53" s="4">
        <v>0</v>
      </c>
      <c r="L53" s="4">
        <v>0</v>
      </c>
      <c r="M53" s="4">
        <v>0</v>
      </c>
      <c r="N53" s="4">
        <v>0</v>
      </c>
      <c r="O53" s="4">
        <v>0</v>
      </c>
      <c r="P53" s="4">
        <v>0</v>
      </c>
      <c r="Q53" s="4">
        <v>0</v>
      </c>
      <c r="R53" s="4">
        <v>0</v>
      </c>
      <c r="S53" s="4">
        <v>0</v>
      </c>
      <c r="T53" s="4">
        <v>0</v>
      </c>
      <c r="U53" s="4">
        <v>0</v>
      </c>
      <c r="V53" s="4">
        <v>0</v>
      </c>
      <c r="W53" s="4">
        <v>0</v>
      </c>
      <c r="X53" s="4">
        <v>0</v>
      </c>
      <c r="Y53" s="4">
        <v>0</v>
      </c>
      <c r="Z53" s="4">
        <v>0</v>
      </c>
      <c r="AA53" s="4">
        <v>0</v>
      </c>
      <c r="AB53" s="4">
        <v>0</v>
      </c>
      <c r="AC53" s="4">
        <v>0</v>
      </c>
      <c r="AD53" s="4">
        <v>0</v>
      </c>
      <c r="AE53" s="4">
        <v>0</v>
      </c>
      <c r="AF53" s="4">
        <v>0</v>
      </c>
      <c r="AG53" s="4">
        <v>0</v>
      </c>
      <c r="AH53" s="4">
        <v>0</v>
      </c>
      <c r="AI53" s="4">
        <v>0</v>
      </c>
      <c r="AJ53" s="4">
        <v>0</v>
      </c>
      <c r="AK53" s="4">
        <v>0</v>
      </c>
      <c r="AL53" s="4">
        <v>0</v>
      </c>
      <c r="AM53" s="4">
        <v>0</v>
      </c>
      <c r="AN53" s="4">
        <v>0</v>
      </c>
      <c r="AO53" s="4">
        <v>0</v>
      </c>
      <c r="AP53" s="4">
        <v>0</v>
      </c>
      <c r="AQ53" s="4">
        <v>0</v>
      </c>
      <c r="AR53" s="4">
        <v>0</v>
      </c>
      <c r="AS53" s="4">
        <v>0</v>
      </c>
      <c r="AT53" s="4">
        <v>0</v>
      </c>
      <c r="AU53" s="4">
        <v>0</v>
      </c>
      <c r="AV53" s="4">
        <v>0</v>
      </c>
      <c r="AW53" s="4">
        <v>0</v>
      </c>
      <c r="AX53" s="4">
        <v>0</v>
      </c>
      <c r="AY53" s="4">
        <v>0</v>
      </c>
      <c r="AZ53" s="4">
        <v>0</v>
      </c>
      <c r="BA53" s="4">
        <v>0</v>
      </c>
      <c r="BB53" s="4">
        <v>0</v>
      </c>
      <c r="BC53" s="4">
        <v>0</v>
      </c>
      <c r="BD53" s="4">
        <v>0</v>
      </c>
      <c r="BE53" s="4">
        <v>0</v>
      </c>
      <c r="BF53" s="4">
        <f t="shared" ref="BF53:BF61" si="48">SUM(E53:BE53)</f>
        <v>0</v>
      </c>
      <c r="BG53" s="4">
        <f t="shared" ref="BG53:BG61" si="49">SUM(E53:W53)</f>
        <v>0</v>
      </c>
      <c r="BH53" s="4">
        <f t="shared" ref="BH53:BH61" si="50">SUM(X53:AJ53)</f>
        <v>0</v>
      </c>
      <c r="BI53" s="4">
        <f t="shared" ref="BI53:BI61" si="51">SUM(AK53:BE53)</f>
        <v>0</v>
      </c>
    </row>
    <row r="54" spans="2:61" x14ac:dyDescent="0.25">
      <c r="C54">
        <v>561</v>
      </c>
      <c r="D54" t="s">
        <v>467</v>
      </c>
      <c r="E54" s="4">
        <v>0</v>
      </c>
      <c r="F54" s="4">
        <v>0</v>
      </c>
      <c r="G54" s="4">
        <v>0</v>
      </c>
      <c r="H54" s="4">
        <v>0</v>
      </c>
      <c r="I54" s="4">
        <v>0</v>
      </c>
      <c r="J54" s="4">
        <v>0</v>
      </c>
      <c r="K54" s="4">
        <v>0</v>
      </c>
      <c r="L54" s="4">
        <v>0</v>
      </c>
      <c r="M54" s="4">
        <v>0</v>
      </c>
      <c r="N54" s="4">
        <v>0</v>
      </c>
      <c r="O54" s="4">
        <v>0</v>
      </c>
      <c r="P54" s="4">
        <v>0</v>
      </c>
      <c r="Q54" s="4">
        <v>0</v>
      </c>
      <c r="R54" s="4">
        <v>0</v>
      </c>
      <c r="S54" s="4">
        <v>0</v>
      </c>
      <c r="T54" s="4">
        <v>0</v>
      </c>
      <c r="U54" s="4">
        <v>0</v>
      </c>
      <c r="V54" s="4">
        <v>0</v>
      </c>
      <c r="W54" s="4">
        <v>0</v>
      </c>
      <c r="X54" s="4">
        <v>0</v>
      </c>
      <c r="Y54" s="4">
        <v>0</v>
      </c>
      <c r="Z54" s="4">
        <v>0</v>
      </c>
      <c r="AA54" s="4">
        <v>0</v>
      </c>
      <c r="AB54" s="4">
        <v>0</v>
      </c>
      <c r="AC54" s="4">
        <v>0</v>
      </c>
      <c r="AD54" s="4">
        <v>0</v>
      </c>
      <c r="AE54" s="4">
        <v>0</v>
      </c>
      <c r="AF54" s="4">
        <v>0</v>
      </c>
      <c r="AG54" s="4">
        <v>0</v>
      </c>
      <c r="AH54" s="4">
        <v>0</v>
      </c>
      <c r="AI54" s="4">
        <v>0</v>
      </c>
      <c r="AJ54" s="4">
        <v>0</v>
      </c>
      <c r="AK54" s="4">
        <v>0</v>
      </c>
      <c r="AL54" s="4">
        <v>285475.45</v>
      </c>
      <c r="AM54" s="4">
        <v>0</v>
      </c>
      <c r="AN54" s="4">
        <v>0</v>
      </c>
      <c r="AO54" s="4">
        <v>0</v>
      </c>
      <c r="AP54" s="4">
        <v>0</v>
      </c>
      <c r="AQ54" s="4">
        <v>0</v>
      </c>
      <c r="AR54" s="4">
        <v>0</v>
      </c>
      <c r="AS54" s="4">
        <v>0</v>
      </c>
      <c r="AT54" s="4">
        <v>0</v>
      </c>
      <c r="AU54" s="4">
        <v>0</v>
      </c>
      <c r="AV54" s="4">
        <v>0</v>
      </c>
      <c r="AW54" s="4">
        <v>0</v>
      </c>
      <c r="AX54" s="4">
        <v>0</v>
      </c>
      <c r="AY54" s="4">
        <v>0</v>
      </c>
      <c r="AZ54" s="4">
        <v>0</v>
      </c>
      <c r="BA54" s="4">
        <v>0</v>
      </c>
      <c r="BB54" s="4">
        <v>0</v>
      </c>
      <c r="BC54" s="4">
        <v>0</v>
      </c>
      <c r="BD54" s="4">
        <v>0</v>
      </c>
      <c r="BE54" s="4">
        <v>0</v>
      </c>
      <c r="BF54" s="4">
        <f t="shared" si="48"/>
        <v>285475.45</v>
      </c>
      <c r="BG54" s="4">
        <f t="shared" si="49"/>
        <v>0</v>
      </c>
      <c r="BH54" s="4">
        <f t="shared" si="50"/>
        <v>0</v>
      </c>
      <c r="BI54" s="4">
        <f t="shared" si="51"/>
        <v>285475.45</v>
      </c>
    </row>
    <row r="55" spans="2:61" x14ac:dyDescent="0.25">
      <c r="C55">
        <v>562</v>
      </c>
      <c r="D55" t="s">
        <v>468</v>
      </c>
      <c r="E55" s="4">
        <v>0</v>
      </c>
      <c r="F55" s="4">
        <v>0</v>
      </c>
      <c r="G55" s="4">
        <v>0</v>
      </c>
      <c r="H55" s="4">
        <v>0</v>
      </c>
      <c r="I55" s="4">
        <v>0</v>
      </c>
      <c r="J55" s="4">
        <v>61121.599999999999</v>
      </c>
      <c r="K55" s="4">
        <v>0</v>
      </c>
      <c r="L55" s="4">
        <v>0</v>
      </c>
      <c r="M55" s="4">
        <v>0</v>
      </c>
      <c r="N55" s="4">
        <v>0</v>
      </c>
      <c r="O55" s="4">
        <v>136689.60000000001</v>
      </c>
      <c r="P55" s="4">
        <v>0</v>
      </c>
      <c r="Q55" s="4">
        <v>2137</v>
      </c>
      <c r="R55" s="4">
        <v>0</v>
      </c>
      <c r="S55" s="4">
        <v>0</v>
      </c>
      <c r="T55" s="4">
        <v>0</v>
      </c>
      <c r="U55" s="4">
        <v>0</v>
      </c>
      <c r="V55" s="4">
        <v>0</v>
      </c>
      <c r="W55" s="4">
        <v>0</v>
      </c>
      <c r="X55" s="4">
        <v>0</v>
      </c>
      <c r="Y55" s="4">
        <v>0</v>
      </c>
      <c r="Z55" s="4">
        <v>0</v>
      </c>
      <c r="AA55" s="4">
        <v>0</v>
      </c>
      <c r="AB55" s="4">
        <v>0</v>
      </c>
      <c r="AC55" s="4">
        <v>0</v>
      </c>
      <c r="AD55" s="4">
        <v>0</v>
      </c>
      <c r="AE55" s="4">
        <v>0</v>
      </c>
      <c r="AF55" s="4">
        <v>0</v>
      </c>
      <c r="AG55" s="4">
        <v>0</v>
      </c>
      <c r="AH55" s="4">
        <v>0</v>
      </c>
      <c r="AI55" s="4">
        <v>0</v>
      </c>
      <c r="AJ55" s="4">
        <v>0</v>
      </c>
      <c r="AK55" s="4">
        <v>0</v>
      </c>
      <c r="AL55" s="4">
        <v>0</v>
      </c>
      <c r="AM55" s="4">
        <v>0</v>
      </c>
      <c r="AN55" s="4">
        <v>0</v>
      </c>
      <c r="AO55" s="4">
        <v>0</v>
      </c>
      <c r="AP55" s="4">
        <v>0</v>
      </c>
      <c r="AQ55" s="4">
        <v>0</v>
      </c>
      <c r="AR55" s="4">
        <v>0</v>
      </c>
      <c r="AS55" s="4">
        <v>0</v>
      </c>
      <c r="AT55" s="4">
        <v>0</v>
      </c>
      <c r="AU55" s="4">
        <v>0</v>
      </c>
      <c r="AV55" s="4">
        <v>0</v>
      </c>
      <c r="AW55" s="4">
        <v>0</v>
      </c>
      <c r="AX55" s="4">
        <v>0</v>
      </c>
      <c r="AY55" s="4">
        <v>0</v>
      </c>
      <c r="AZ55" s="4">
        <v>0</v>
      </c>
      <c r="BA55" s="4">
        <v>0</v>
      </c>
      <c r="BB55" s="4">
        <v>0</v>
      </c>
      <c r="BC55" s="4">
        <v>0</v>
      </c>
      <c r="BD55" s="4">
        <v>990000</v>
      </c>
      <c r="BE55" s="4">
        <v>0</v>
      </c>
      <c r="BF55" s="4">
        <f t="shared" si="48"/>
        <v>1189948.2</v>
      </c>
      <c r="BG55" s="4">
        <f t="shared" si="49"/>
        <v>199948.2</v>
      </c>
      <c r="BH55" s="4">
        <f t="shared" si="50"/>
        <v>0</v>
      </c>
      <c r="BI55" s="4">
        <f t="shared" si="51"/>
        <v>990000</v>
      </c>
    </row>
    <row r="56" spans="2:61" x14ac:dyDescent="0.25">
      <c r="C56">
        <v>563</v>
      </c>
      <c r="D56" t="s">
        <v>469</v>
      </c>
      <c r="E56" s="4">
        <v>0</v>
      </c>
      <c r="F56" s="4">
        <v>0</v>
      </c>
      <c r="G56" s="4">
        <v>0</v>
      </c>
      <c r="H56" s="4">
        <v>0</v>
      </c>
      <c r="I56" s="4">
        <v>0</v>
      </c>
      <c r="J56" s="4">
        <v>0</v>
      </c>
      <c r="K56" s="4">
        <v>0</v>
      </c>
      <c r="L56" s="4">
        <v>0</v>
      </c>
      <c r="M56" s="4">
        <v>0</v>
      </c>
      <c r="N56" s="4">
        <v>0</v>
      </c>
      <c r="O56" s="4">
        <v>0</v>
      </c>
      <c r="P56" s="4">
        <v>0</v>
      </c>
      <c r="Q56" s="4">
        <v>0</v>
      </c>
      <c r="R56" s="4">
        <v>0</v>
      </c>
      <c r="S56" s="4">
        <v>0</v>
      </c>
      <c r="T56" s="4">
        <v>0</v>
      </c>
      <c r="U56" s="4">
        <v>0</v>
      </c>
      <c r="V56" s="4">
        <v>0</v>
      </c>
      <c r="W56" s="4">
        <v>0</v>
      </c>
      <c r="X56" s="4">
        <v>0</v>
      </c>
      <c r="Y56" s="4">
        <v>0</v>
      </c>
      <c r="Z56" s="4">
        <v>0</v>
      </c>
      <c r="AA56" s="4">
        <v>0</v>
      </c>
      <c r="AB56" s="4">
        <v>0</v>
      </c>
      <c r="AC56" s="4">
        <v>0</v>
      </c>
      <c r="AD56" s="4">
        <v>0</v>
      </c>
      <c r="AE56" s="4">
        <v>0</v>
      </c>
      <c r="AF56" s="4">
        <v>0</v>
      </c>
      <c r="AG56" s="4">
        <v>0</v>
      </c>
      <c r="AH56" s="4">
        <v>0</v>
      </c>
      <c r="AI56" s="4">
        <v>0</v>
      </c>
      <c r="AJ56" s="4">
        <v>0</v>
      </c>
      <c r="AK56" s="4">
        <v>0</v>
      </c>
      <c r="AL56" s="4">
        <v>0</v>
      </c>
      <c r="AM56" s="4">
        <v>0</v>
      </c>
      <c r="AN56" s="4">
        <v>0</v>
      </c>
      <c r="AO56" s="4">
        <v>0</v>
      </c>
      <c r="AP56" s="4">
        <v>0</v>
      </c>
      <c r="AQ56" s="4">
        <v>0</v>
      </c>
      <c r="AR56" s="4">
        <v>0</v>
      </c>
      <c r="AS56" s="4">
        <v>0</v>
      </c>
      <c r="AT56" s="4">
        <v>0</v>
      </c>
      <c r="AU56" s="4">
        <v>0</v>
      </c>
      <c r="AV56" s="4">
        <v>0</v>
      </c>
      <c r="AW56" s="4">
        <v>0</v>
      </c>
      <c r="AX56" s="4">
        <v>0</v>
      </c>
      <c r="AY56" s="4">
        <v>0</v>
      </c>
      <c r="AZ56" s="4">
        <v>0</v>
      </c>
      <c r="BA56" s="4">
        <v>0</v>
      </c>
      <c r="BB56" s="4">
        <v>0</v>
      </c>
      <c r="BC56" s="4">
        <v>0</v>
      </c>
      <c r="BD56" s="4">
        <v>0</v>
      </c>
      <c r="BE56" s="4">
        <v>0</v>
      </c>
      <c r="BF56" s="4">
        <f t="shared" si="48"/>
        <v>0</v>
      </c>
      <c r="BG56" s="4">
        <f t="shared" si="49"/>
        <v>0</v>
      </c>
      <c r="BH56" s="4">
        <f t="shared" si="50"/>
        <v>0</v>
      </c>
      <c r="BI56" s="4">
        <f t="shared" si="51"/>
        <v>0</v>
      </c>
    </row>
    <row r="57" spans="2:61" x14ac:dyDescent="0.25">
      <c r="C57">
        <v>564</v>
      </c>
      <c r="D57" t="s">
        <v>470</v>
      </c>
      <c r="E57" s="4">
        <v>0</v>
      </c>
      <c r="F57" s="4">
        <v>0</v>
      </c>
      <c r="G57" s="4">
        <v>0</v>
      </c>
      <c r="H57" s="4">
        <v>0</v>
      </c>
      <c r="I57" s="4">
        <v>0</v>
      </c>
      <c r="J57" s="4">
        <v>0</v>
      </c>
      <c r="K57" s="4">
        <v>0</v>
      </c>
      <c r="L57" s="4">
        <v>0</v>
      </c>
      <c r="M57" s="4">
        <v>0</v>
      </c>
      <c r="N57" s="4">
        <v>0</v>
      </c>
      <c r="O57" s="4">
        <v>0</v>
      </c>
      <c r="P57" s="4">
        <v>0</v>
      </c>
      <c r="Q57" s="4">
        <v>0</v>
      </c>
      <c r="R57" s="4">
        <v>0</v>
      </c>
      <c r="S57" s="4">
        <v>0</v>
      </c>
      <c r="T57" s="4">
        <v>0</v>
      </c>
      <c r="U57" s="4">
        <v>0</v>
      </c>
      <c r="V57" s="4">
        <v>0</v>
      </c>
      <c r="W57" s="4">
        <v>0</v>
      </c>
      <c r="X57" s="4">
        <v>0</v>
      </c>
      <c r="Y57" s="4">
        <v>0</v>
      </c>
      <c r="Z57" s="4">
        <v>0</v>
      </c>
      <c r="AA57" s="4">
        <v>0</v>
      </c>
      <c r="AB57" s="4">
        <v>0</v>
      </c>
      <c r="AC57" s="4">
        <v>0</v>
      </c>
      <c r="AD57" s="4">
        <v>0</v>
      </c>
      <c r="AE57" s="4">
        <v>0</v>
      </c>
      <c r="AF57" s="4">
        <v>0</v>
      </c>
      <c r="AG57" s="4">
        <v>0</v>
      </c>
      <c r="AH57" s="4">
        <v>0</v>
      </c>
      <c r="AI57" s="4">
        <v>0</v>
      </c>
      <c r="AJ57" s="4">
        <v>0</v>
      </c>
      <c r="AK57" s="4">
        <v>0</v>
      </c>
      <c r="AL57" s="4">
        <v>0</v>
      </c>
      <c r="AM57" s="4">
        <v>0</v>
      </c>
      <c r="AN57" s="4">
        <v>0</v>
      </c>
      <c r="AO57" s="4">
        <v>0</v>
      </c>
      <c r="AP57" s="4">
        <v>0</v>
      </c>
      <c r="AQ57" s="4">
        <v>0</v>
      </c>
      <c r="AR57" s="4">
        <v>0</v>
      </c>
      <c r="AS57" s="4">
        <v>0</v>
      </c>
      <c r="AT57" s="4">
        <v>0</v>
      </c>
      <c r="AU57" s="4">
        <v>0</v>
      </c>
      <c r="AV57" s="4">
        <v>0</v>
      </c>
      <c r="AW57" s="4">
        <v>0</v>
      </c>
      <c r="AX57" s="4">
        <v>0</v>
      </c>
      <c r="AY57" s="4">
        <v>0</v>
      </c>
      <c r="AZ57" s="4">
        <v>0</v>
      </c>
      <c r="BA57" s="4">
        <v>0</v>
      </c>
      <c r="BB57" s="4">
        <v>0</v>
      </c>
      <c r="BC57" s="4">
        <v>0</v>
      </c>
      <c r="BD57" s="4">
        <v>0</v>
      </c>
      <c r="BE57" s="4">
        <v>0</v>
      </c>
      <c r="BF57" s="4">
        <f t="shared" si="48"/>
        <v>0</v>
      </c>
      <c r="BG57" s="4">
        <f t="shared" si="49"/>
        <v>0</v>
      </c>
      <c r="BH57" s="4">
        <f t="shared" si="50"/>
        <v>0</v>
      </c>
      <c r="BI57" s="4">
        <f t="shared" si="51"/>
        <v>0</v>
      </c>
    </row>
    <row r="58" spans="2:61" x14ac:dyDescent="0.25">
      <c r="C58">
        <v>565</v>
      </c>
      <c r="D58" t="s">
        <v>471</v>
      </c>
      <c r="E58" s="4">
        <v>0</v>
      </c>
      <c r="F58" s="4">
        <v>0</v>
      </c>
      <c r="G58" s="4">
        <v>0</v>
      </c>
      <c r="H58" s="4">
        <v>0</v>
      </c>
      <c r="I58" s="4">
        <v>0</v>
      </c>
      <c r="J58" s="4">
        <v>0</v>
      </c>
      <c r="K58" s="4">
        <v>0</v>
      </c>
      <c r="L58" s="4">
        <v>0</v>
      </c>
      <c r="M58" s="4">
        <v>0</v>
      </c>
      <c r="N58" s="4">
        <v>0</v>
      </c>
      <c r="O58" s="4">
        <v>0</v>
      </c>
      <c r="P58" s="4">
        <v>0</v>
      </c>
      <c r="Q58" s="4">
        <v>0</v>
      </c>
      <c r="R58" s="4">
        <v>0</v>
      </c>
      <c r="S58" s="4">
        <v>0</v>
      </c>
      <c r="T58" s="4">
        <v>0</v>
      </c>
      <c r="U58" s="4">
        <v>0</v>
      </c>
      <c r="V58" s="4">
        <v>0</v>
      </c>
      <c r="W58" s="4">
        <v>0</v>
      </c>
      <c r="X58" s="4">
        <v>0</v>
      </c>
      <c r="Y58" s="4">
        <v>0</v>
      </c>
      <c r="Z58" s="4">
        <v>0</v>
      </c>
      <c r="AA58" s="4">
        <v>0</v>
      </c>
      <c r="AB58" s="4">
        <v>0</v>
      </c>
      <c r="AC58" s="4">
        <v>0</v>
      </c>
      <c r="AD58" s="4">
        <v>0</v>
      </c>
      <c r="AE58" s="4">
        <v>0</v>
      </c>
      <c r="AF58" s="4">
        <v>0</v>
      </c>
      <c r="AG58" s="4">
        <v>0</v>
      </c>
      <c r="AH58" s="4">
        <v>0</v>
      </c>
      <c r="AI58" s="4">
        <v>0</v>
      </c>
      <c r="AJ58" s="4">
        <v>0</v>
      </c>
      <c r="AK58" s="4">
        <v>0</v>
      </c>
      <c r="AL58" s="4">
        <v>0</v>
      </c>
      <c r="AM58" s="4">
        <v>0</v>
      </c>
      <c r="AN58" s="4">
        <v>0</v>
      </c>
      <c r="AO58" s="4">
        <v>0</v>
      </c>
      <c r="AP58" s="4">
        <v>0</v>
      </c>
      <c r="AQ58" s="4">
        <v>0</v>
      </c>
      <c r="AR58" s="4">
        <v>0</v>
      </c>
      <c r="AS58" s="4">
        <v>0</v>
      </c>
      <c r="AT58" s="4">
        <v>0</v>
      </c>
      <c r="AU58" s="4">
        <v>0</v>
      </c>
      <c r="AV58" s="4">
        <v>0</v>
      </c>
      <c r="AW58" s="4">
        <v>0</v>
      </c>
      <c r="AX58" s="4">
        <v>0</v>
      </c>
      <c r="AY58" s="4">
        <v>0</v>
      </c>
      <c r="AZ58" s="4">
        <v>0</v>
      </c>
      <c r="BA58" s="4">
        <v>0</v>
      </c>
      <c r="BB58" s="4">
        <v>0</v>
      </c>
      <c r="BC58" s="4">
        <v>0</v>
      </c>
      <c r="BD58" s="4">
        <v>0</v>
      </c>
      <c r="BE58" s="4">
        <v>0</v>
      </c>
      <c r="BF58" s="4">
        <f t="shared" si="48"/>
        <v>0</v>
      </c>
      <c r="BG58" s="4">
        <f t="shared" si="49"/>
        <v>0</v>
      </c>
      <c r="BH58" s="4">
        <f t="shared" si="50"/>
        <v>0</v>
      </c>
      <c r="BI58" s="4">
        <f t="shared" si="51"/>
        <v>0</v>
      </c>
    </row>
    <row r="59" spans="2:61" x14ac:dyDescent="0.25">
      <c r="C59">
        <v>566</v>
      </c>
      <c r="D59" t="s">
        <v>472</v>
      </c>
      <c r="E59" s="4">
        <v>0</v>
      </c>
      <c r="F59" s="4">
        <v>0</v>
      </c>
      <c r="G59" s="4">
        <v>0</v>
      </c>
      <c r="H59" s="4">
        <v>0</v>
      </c>
      <c r="I59" s="4">
        <v>0</v>
      </c>
      <c r="J59" s="4">
        <v>0</v>
      </c>
      <c r="K59" s="4">
        <v>0</v>
      </c>
      <c r="L59" s="4">
        <v>0</v>
      </c>
      <c r="M59" s="4">
        <v>0</v>
      </c>
      <c r="N59" s="4">
        <v>0</v>
      </c>
      <c r="O59" s="4">
        <v>0</v>
      </c>
      <c r="P59" s="4">
        <v>0</v>
      </c>
      <c r="Q59" s="4">
        <v>0</v>
      </c>
      <c r="R59" s="4">
        <v>0</v>
      </c>
      <c r="S59" s="4">
        <v>0</v>
      </c>
      <c r="T59" s="4">
        <v>0</v>
      </c>
      <c r="U59" s="4">
        <v>0</v>
      </c>
      <c r="V59" s="4">
        <v>0</v>
      </c>
      <c r="W59" s="4">
        <v>0</v>
      </c>
      <c r="X59" s="4">
        <v>0</v>
      </c>
      <c r="Y59" s="4">
        <v>25000</v>
      </c>
      <c r="Z59" s="4">
        <v>0</v>
      </c>
      <c r="AA59" s="4">
        <v>0</v>
      </c>
      <c r="AB59" s="4">
        <v>0</v>
      </c>
      <c r="AC59" s="4">
        <v>0</v>
      </c>
      <c r="AD59" s="4">
        <v>0</v>
      </c>
      <c r="AE59" s="4">
        <v>0</v>
      </c>
      <c r="AF59" s="4">
        <v>0</v>
      </c>
      <c r="AG59" s="4">
        <v>0</v>
      </c>
      <c r="AH59" s="4">
        <v>0</v>
      </c>
      <c r="AI59" s="4">
        <v>0</v>
      </c>
      <c r="AJ59" s="4">
        <v>0</v>
      </c>
      <c r="AK59" s="4">
        <v>0</v>
      </c>
      <c r="AL59" s="4">
        <v>0</v>
      </c>
      <c r="AM59" s="4">
        <v>0</v>
      </c>
      <c r="AN59" s="4">
        <v>0</v>
      </c>
      <c r="AO59" s="4">
        <v>0</v>
      </c>
      <c r="AP59" s="4">
        <v>0</v>
      </c>
      <c r="AQ59" s="4">
        <v>0</v>
      </c>
      <c r="AR59" s="4">
        <v>0</v>
      </c>
      <c r="AS59" s="4">
        <v>0</v>
      </c>
      <c r="AT59" s="4">
        <v>0</v>
      </c>
      <c r="AU59" s="4">
        <v>0</v>
      </c>
      <c r="AV59" s="4">
        <v>0</v>
      </c>
      <c r="AW59" s="4">
        <v>0</v>
      </c>
      <c r="AX59" s="4">
        <v>0</v>
      </c>
      <c r="AY59" s="4">
        <v>0</v>
      </c>
      <c r="AZ59" s="4">
        <v>0</v>
      </c>
      <c r="BA59" s="4">
        <v>0</v>
      </c>
      <c r="BB59" s="4">
        <v>0</v>
      </c>
      <c r="BC59" s="4">
        <v>0</v>
      </c>
      <c r="BD59" s="4">
        <v>0</v>
      </c>
      <c r="BE59" s="4">
        <v>0</v>
      </c>
      <c r="BF59" s="4">
        <f t="shared" si="48"/>
        <v>25000</v>
      </c>
      <c r="BG59" s="4">
        <f t="shared" si="49"/>
        <v>0</v>
      </c>
      <c r="BH59" s="4">
        <f t="shared" si="50"/>
        <v>25000</v>
      </c>
      <c r="BI59" s="4">
        <f t="shared" si="51"/>
        <v>0</v>
      </c>
    </row>
    <row r="60" spans="2:61" x14ac:dyDescent="0.25">
      <c r="C60">
        <v>567</v>
      </c>
      <c r="D60" t="s">
        <v>473</v>
      </c>
      <c r="E60" s="4">
        <v>0</v>
      </c>
      <c r="F60" s="4">
        <v>0</v>
      </c>
      <c r="G60" s="4">
        <v>0</v>
      </c>
      <c r="H60" s="4">
        <v>0</v>
      </c>
      <c r="I60" s="4">
        <v>0</v>
      </c>
      <c r="J60" s="4">
        <v>0</v>
      </c>
      <c r="K60" s="4">
        <v>0</v>
      </c>
      <c r="L60" s="4">
        <v>0</v>
      </c>
      <c r="M60" s="4">
        <v>0</v>
      </c>
      <c r="N60" s="4">
        <v>0</v>
      </c>
      <c r="O60" s="4">
        <v>0</v>
      </c>
      <c r="P60" s="4">
        <v>0</v>
      </c>
      <c r="Q60" s="4">
        <v>0</v>
      </c>
      <c r="R60" s="4">
        <v>0</v>
      </c>
      <c r="S60" s="4">
        <v>0</v>
      </c>
      <c r="T60" s="4">
        <v>0</v>
      </c>
      <c r="U60" s="4">
        <v>0</v>
      </c>
      <c r="V60" s="4">
        <v>0</v>
      </c>
      <c r="W60" s="4">
        <v>0</v>
      </c>
      <c r="X60" s="4">
        <v>0</v>
      </c>
      <c r="Y60" s="4">
        <v>0</v>
      </c>
      <c r="Z60" s="4">
        <v>0</v>
      </c>
      <c r="AA60" s="4">
        <v>0</v>
      </c>
      <c r="AB60" s="4">
        <v>0</v>
      </c>
      <c r="AC60" s="4">
        <v>0</v>
      </c>
      <c r="AD60" s="4">
        <v>0</v>
      </c>
      <c r="AE60" s="4">
        <v>0</v>
      </c>
      <c r="AF60" s="4">
        <v>0</v>
      </c>
      <c r="AG60" s="4">
        <v>0</v>
      </c>
      <c r="AH60" s="4">
        <v>0</v>
      </c>
      <c r="AI60" s="4">
        <v>0</v>
      </c>
      <c r="AJ60" s="4">
        <v>0</v>
      </c>
      <c r="AK60" s="4">
        <v>0</v>
      </c>
      <c r="AL60" s="4">
        <v>0</v>
      </c>
      <c r="AM60" s="4">
        <v>0</v>
      </c>
      <c r="AN60" s="4">
        <v>0</v>
      </c>
      <c r="AO60" s="4">
        <v>0</v>
      </c>
      <c r="AP60" s="4">
        <v>0</v>
      </c>
      <c r="AQ60" s="4">
        <v>0</v>
      </c>
      <c r="AR60" s="4">
        <v>0</v>
      </c>
      <c r="AS60" s="4">
        <v>0</v>
      </c>
      <c r="AT60" s="4">
        <v>0</v>
      </c>
      <c r="AU60" s="4">
        <v>0</v>
      </c>
      <c r="AV60" s="4">
        <v>0</v>
      </c>
      <c r="AW60" s="4">
        <v>0</v>
      </c>
      <c r="AX60" s="4">
        <v>0</v>
      </c>
      <c r="AY60" s="4">
        <v>0</v>
      </c>
      <c r="AZ60" s="4">
        <v>0</v>
      </c>
      <c r="BA60" s="4">
        <v>0</v>
      </c>
      <c r="BB60" s="4">
        <v>0</v>
      </c>
      <c r="BC60" s="4">
        <v>0</v>
      </c>
      <c r="BD60" s="4">
        <v>0</v>
      </c>
      <c r="BE60" s="4">
        <v>0</v>
      </c>
      <c r="BF60" s="4">
        <f t="shared" si="48"/>
        <v>0</v>
      </c>
      <c r="BG60" s="4">
        <f t="shared" si="49"/>
        <v>0</v>
      </c>
      <c r="BH60" s="4">
        <f t="shared" si="50"/>
        <v>0</v>
      </c>
      <c r="BI60" s="4">
        <f t="shared" si="51"/>
        <v>0</v>
      </c>
    </row>
    <row r="61" spans="2:61" x14ac:dyDescent="0.25">
      <c r="C61">
        <v>568</v>
      </c>
      <c r="D61" t="s">
        <v>474</v>
      </c>
      <c r="E61" s="4">
        <v>0</v>
      </c>
      <c r="F61" s="4">
        <v>0</v>
      </c>
      <c r="G61" s="4">
        <v>0</v>
      </c>
      <c r="H61" s="4">
        <v>0</v>
      </c>
      <c r="I61" s="4">
        <v>0</v>
      </c>
      <c r="J61" s="4">
        <v>0</v>
      </c>
      <c r="K61" s="4">
        <v>0</v>
      </c>
      <c r="L61" s="4">
        <v>0</v>
      </c>
      <c r="M61" s="4">
        <v>0</v>
      </c>
      <c r="N61" s="4">
        <v>0</v>
      </c>
      <c r="O61" s="4">
        <v>0</v>
      </c>
      <c r="P61" s="4">
        <v>0</v>
      </c>
      <c r="Q61" s="4">
        <v>0</v>
      </c>
      <c r="R61" s="4">
        <v>0</v>
      </c>
      <c r="S61" s="4">
        <v>0</v>
      </c>
      <c r="T61" s="4">
        <v>0</v>
      </c>
      <c r="U61" s="4">
        <v>0</v>
      </c>
      <c r="V61" s="4">
        <v>0</v>
      </c>
      <c r="W61" s="4">
        <v>0</v>
      </c>
      <c r="X61" s="4">
        <v>0</v>
      </c>
      <c r="Y61" s="4">
        <v>0</v>
      </c>
      <c r="Z61" s="4">
        <v>0</v>
      </c>
      <c r="AA61" s="4">
        <v>0</v>
      </c>
      <c r="AB61" s="4">
        <v>0</v>
      </c>
      <c r="AC61" s="4">
        <v>0</v>
      </c>
      <c r="AD61" s="4">
        <v>0</v>
      </c>
      <c r="AE61" s="4">
        <v>0</v>
      </c>
      <c r="AF61" s="4">
        <v>0</v>
      </c>
      <c r="AG61" s="4">
        <v>0</v>
      </c>
      <c r="AH61" s="4">
        <v>0</v>
      </c>
      <c r="AI61" s="4">
        <v>0</v>
      </c>
      <c r="AJ61" s="4">
        <v>0</v>
      </c>
      <c r="AK61" s="4">
        <v>0</v>
      </c>
      <c r="AL61" s="4">
        <v>0</v>
      </c>
      <c r="AM61" s="4">
        <v>0</v>
      </c>
      <c r="AN61" s="4">
        <v>0</v>
      </c>
      <c r="AO61" s="4">
        <v>0</v>
      </c>
      <c r="AP61" s="4">
        <v>0</v>
      </c>
      <c r="AQ61" s="4">
        <v>0</v>
      </c>
      <c r="AR61" s="4">
        <v>0</v>
      </c>
      <c r="AS61" s="4">
        <v>0</v>
      </c>
      <c r="AT61" s="4">
        <v>0</v>
      </c>
      <c r="AU61" s="4">
        <v>0</v>
      </c>
      <c r="AV61" s="4">
        <v>0</v>
      </c>
      <c r="AW61" s="4">
        <v>0</v>
      </c>
      <c r="AX61" s="4">
        <v>0</v>
      </c>
      <c r="AY61" s="4">
        <v>0</v>
      </c>
      <c r="AZ61" s="4">
        <v>0</v>
      </c>
      <c r="BA61" s="4">
        <v>0</v>
      </c>
      <c r="BB61" s="4">
        <v>0</v>
      </c>
      <c r="BC61" s="4">
        <v>0</v>
      </c>
      <c r="BD61" s="4">
        <v>0</v>
      </c>
      <c r="BE61" s="4">
        <v>0</v>
      </c>
      <c r="BF61" s="4">
        <f t="shared" si="48"/>
        <v>0</v>
      </c>
      <c r="BG61" s="4">
        <f t="shared" si="49"/>
        <v>0</v>
      </c>
      <c r="BH61" s="4">
        <f t="shared" si="50"/>
        <v>0</v>
      </c>
      <c r="BI61" s="4">
        <f t="shared" si="51"/>
        <v>0</v>
      </c>
    </row>
    <row r="62" spans="2:61" x14ac:dyDescent="0.25">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row>
    <row r="63" spans="2:61" x14ac:dyDescent="0.25">
      <c r="B63" s="56">
        <v>57</v>
      </c>
      <c r="C63" s="56"/>
      <c r="D63" s="56" t="s">
        <v>476</v>
      </c>
      <c r="E63" s="57">
        <f>E64+E65+E66+E67+E68+E69+E70+E71+E72</f>
        <v>0</v>
      </c>
      <c r="F63" s="57">
        <f t="shared" ref="F63:BE63" si="52">F64+F65+F66+F67+F68+F69+F70+F71+F72</f>
        <v>0</v>
      </c>
      <c r="G63" s="57">
        <f t="shared" si="52"/>
        <v>0</v>
      </c>
      <c r="H63" s="57">
        <f t="shared" si="52"/>
        <v>0</v>
      </c>
      <c r="I63" s="57">
        <f t="shared" si="52"/>
        <v>0</v>
      </c>
      <c r="J63" s="57">
        <f t="shared" si="52"/>
        <v>0</v>
      </c>
      <c r="K63" s="57">
        <f t="shared" si="52"/>
        <v>0</v>
      </c>
      <c r="L63" s="57">
        <f t="shared" si="52"/>
        <v>0</v>
      </c>
      <c r="M63" s="57">
        <f t="shared" si="52"/>
        <v>0</v>
      </c>
      <c r="N63" s="57">
        <f t="shared" si="52"/>
        <v>0</v>
      </c>
      <c r="O63" s="57">
        <f t="shared" si="52"/>
        <v>0</v>
      </c>
      <c r="P63" s="57">
        <f t="shared" si="52"/>
        <v>0</v>
      </c>
      <c r="Q63" s="57">
        <f t="shared" si="52"/>
        <v>0</v>
      </c>
      <c r="R63" s="57">
        <f t="shared" si="52"/>
        <v>0</v>
      </c>
      <c r="S63" s="57">
        <f t="shared" si="52"/>
        <v>0</v>
      </c>
      <c r="T63" s="57">
        <f t="shared" si="52"/>
        <v>0</v>
      </c>
      <c r="U63" s="57">
        <f t="shared" si="52"/>
        <v>0</v>
      </c>
      <c r="V63" s="57">
        <f t="shared" si="52"/>
        <v>0</v>
      </c>
      <c r="W63" s="57">
        <f t="shared" si="52"/>
        <v>0</v>
      </c>
      <c r="X63" s="57">
        <f t="shared" si="52"/>
        <v>0</v>
      </c>
      <c r="Y63" s="57">
        <f t="shared" si="52"/>
        <v>0</v>
      </c>
      <c r="Z63" s="57">
        <f t="shared" si="52"/>
        <v>0</v>
      </c>
      <c r="AA63" s="57">
        <f t="shared" si="52"/>
        <v>0</v>
      </c>
      <c r="AB63" s="57">
        <f t="shared" si="52"/>
        <v>0</v>
      </c>
      <c r="AC63" s="57">
        <f t="shared" si="52"/>
        <v>0</v>
      </c>
      <c r="AD63" s="57">
        <f t="shared" si="52"/>
        <v>0</v>
      </c>
      <c r="AE63" s="57">
        <f t="shared" si="52"/>
        <v>0</v>
      </c>
      <c r="AF63" s="57">
        <f t="shared" si="52"/>
        <v>0</v>
      </c>
      <c r="AG63" s="57">
        <f t="shared" si="52"/>
        <v>0</v>
      </c>
      <c r="AH63" s="57">
        <f t="shared" si="52"/>
        <v>0</v>
      </c>
      <c r="AI63" s="57">
        <f t="shared" si="52"/>
        <v>0</v>
      </c>
      <c r="AJ63" s="57">
        <f t="shared" si="52"/>
        <v>0</v>
      </c>
      <c r="AK63" s="57">
        <f t="shared" si="52"/>
        <v>0</v>
      </c>
      <c r="AL63" s="57">
        <f t="shared" si="52"/>
        <v>0</v>
      </c>
      <c r="AM63" s="57">
        <f t="shared" si="52"/>
        <v>0</v>
      </c>
      <c r="AN63" s="57">
        <f t="shared" si="52"/>
        <v>0</v>
      </c>
      <c r="AO63" s="57">
        <f t="shared" si="52"/>
        <v>0</v>
      </c>
      <c r="AP63" s="57">
        <f t="shared" si="52"/>
        <v>0</v>
      </c>
      <c r="AQ63" s="57">
        <f t="shared" si="52"/>
        <v>0</v>
      </c>
      <c r="AR63" s="57">
        <f t="shared" si="52"/>
        <v>0</v>
      </c>
      <c r="AS63" s="57">
        <f t="shared" si="52"/>
        <v>0</v>
      </c>
      <c r="AT63" s="57">
        <f t="shared" si="52"/>
        <v>0</v>
      </c>
      <c r="AU63" s="57">
        <f t="shared" si="52"/>
        <v>0</v>
      </c>
      <c r="AV63" s="57">
        <f t="shared" si="52"/>
        <v>0</v>
      </c>
      <c r="AW63" s="57">
        <f t="shared" si="52"/>
        <v>0</v>
      </c>
      <c r="AX63" s="57">
        <f t="shared" si="52"/>
        <v>0</v>
      </c>
      <c r="AY63" s="57">
        <f t="shared" si="52"/>
        <v>0</v>
      </c>
      <c r="AZ63" s="57">
        <f t="shared" si="52"/>
        <v>0</v>
      </c>
      <c r="BA63" s="57">
        <f t="shared" si="52"/>
        <v>0</v>
      </c>
      <c r="BB63" s="57">
        <f t="shared" si="52"/>
        <v>0</v>
      </c>
      <c r="BC63" s="57">
        <f t="shared" si="52"/>
        <v>0</v>
      </c>
      <c r="BD63" s="57">
        <f t="shared" si="52"/>
        <v>0</v>
      </c>
      <c r="BE63" s="57">
        <f t="shared" si="52"/>
        <v>0</v>
      </c>
      <c r="BF63" s="57">
        <f t="shared" ref="BF63" si="53">BF64+BF65+BF66+BF67+BF68+BF69+BF70+BF71+BF72</f>
        <v>0</v>
      </c>
      <c r="BG63" s="57">
        <f t="shared" ref="BG63" si="54">BG64+BG65+BG66+BG67+BG68+BG69+BG70+BG71+BG72</f>
        <v>0</v>
      </c>
      <c r="BH63" s="57">
        <f t="shared" ref="BH63" si="55">BH64+BH65+BH66+BH67+BH68+BH69+BH70+BH71+BH72</f>
        <v>0</v>
      </c>
      <c r="BI63" s="57">
        <f t="shared" ref="BI63" si="56">BI64+BI65+BI66+BI67+BI68+BI69+BI70+BI71+BI72</f>
        <v>0</v>
      </c>
    </row>
    <row r="64" spans="2:61" x14ac:dyDescent="0.25">
      <c r="C64">
        <v>570</v>
      </c>
      <c r="D64" t="s">
        <v>466</v>
      </c>
      <c r="E64" s="4">
        <v>0</v>
      </c>
      <c r="F64" s="4">
        <v>0</v>
      </c>
      <c r="G64" s="4">
        <v>0</v>
      </c>
      <c r="H64" s="4">
        <v>0</v>
      </c>
      <c r="I64" s="4">
        <v>0</v>
      </c>
      <c r="J64" s="4">
        <v>0</v>
      </c>
      <c r="K64" s="4">
        <v>0</v>
      </c>
      <c r="L64" s="4">
        <v>0</v>
      </c>
      <c r="M64" s="4">
        <v>0</v>
      </c>
      <c r="N64" s="4">
        <v>0</v>
      </c>
      <c r="O64" s="4">
        <v>0</v>
      </c>
      <c r="P64" s="4">
        <v>0</v>
      </c>
      <c r="Q64" s="4">
        <v>0</v>
      </c>
      <c r="R64" s="4">
        <v>0</v>
      </c>
      <c r="S64" s="4">
        <v>0</v>
      </c>
      <c r="T64" s="4">
        <v>0</v>
      </c>
      <c r="U64" s="4">
        <v>0</v>
      </c>
      <c r="V64" s="4">
        <v>0</v>
      </c>
      <c r="W64" s="4">
        <v>0</v>
      </c>
      <c r="X64" s="4">
        <v>0</v>
      </c>
      <c r="Y64" s="4">
        <v>0</v>
      </c>
      <c r="Z64" s="4">
        <v>0</v>
      </c>
      <c r="AA64" s="4">
        <v>0</v>
      </c>
      <c r="AB64" s="4">
        <v>0</v>
      </c>
      <c r="AC64" s="4">
        <v>0</v>
      </c>
      <c r="AD64" s="4">
        <v>0</v>
      </c>
      <c r="AE64" s="4">
        <v>0</v>
      </c>
      <c r="AF64" s="4">
        <v>0</v>
      </c>
      <c r="AG64" s="4">
        <v>0</v>
      </c>
      <c r="AH64" s="4">
        <v>0</v>
      </c>
      <c r="AI64" s="4">
        <v>0</v>
      </c>
      <c r="AJ64" s="4">
        <v>0</v>
      </c>
      <c r="AK64" s="4">
        <v>0</v>
      </c>
      <c r="AL64" s="4">
        <v>0</v>
      </c>
      <c r="AM64" s="4">
        <v>0</v>
      </c>
      <c r="AN64" s="4">
        <v>0</v>
      </c>
      <c r="AO64" s="4">
        <v>0</v>
      </c>
      <c r="AP64" s="4">
        <v>0</v>
      </c>
      <c r="AQ64" s="4">
        <v>0</v>
      </c>
      <c r="AR64" s="4">
        <v>0</v>
      </c>
      <c r="AS64" s="4">
        <v>0</v>
      </c>
      <c r="AT64" s="4">
        <v>0</v>
      </c>
      <c r="AU64" s="4">
        <v>0</v>
      </c>
      <c r="AV64" s="4">
        <v>0</v>
      </c>
      <c r="AW64" s="4">
        <v>0</v>
      </c>
      <c r="AX64" s="4">
        <v>0</v>
      </c>
      <c r="AY64" s="4">
        <v>0</v>
      </c>
      <c r="AZ64" s="4">
        <v>0</v>
      </c>
      <c r="BA64" s="4">
        <v>0</v>
      </c>
      <c r="BB64" s="4">
        <v>0</v>
      </c>
      <c r="BC64" s="4">
        <v>0</v>
      </c>
      <c r="BD64" s="4">
        <v>0</v>
      </c>
      <c r="BE64" s="4">
        <v>0</v>
      </c>
      <c r="BF64" s="4">
        <f t="shared" ref="BF64:BF72" si="57">SUM(E64:BE64)</f>
        <v>0</v>
      </c>
      <c r="BG64" s="4">
        <f t="shared" ref="BG64:BG72" si="58">SUM(E64:W64)</f>
        <v>0</v>
      </c>
      <c r="BH64" s="4">
        <f t="shared" ref="BH64:BH72" si="59">SUM(X64:AJ64)</f>
        <v>0</v>
      </c>
      <c r="BI64" s="4">
        <f t="shared" ref="BI64:BI72" si="60">SUM(AK64:BE64)</f>
        <v>0</v>
      </c>
    </row>
    <row r="65" spans="2:61" x14ac:dyDescent="0.25">
      <c r="C65">
        <v>571</v>
      </c>
      <c r="D65" t="s">
        <v>467</v>
      </c>
      <c r="E65" s="4">
        <v>0</v>
      </c>
      <c r="F65" s="4">
        <v>0</v>
      </c>
      <c r="G65" s="4">
        <v>0</v>
      </c>
      <c r="H65" s="4">
        <v>0</v>
      </c>
      <c r="I65" s="4">
        <v>0</v>
      </c>
      <c r="J65" s="4">
        <v>0</v>
      </c>
      <c r="K65" s="4">
        <v>0</v>
      </c>
      <c r="L65" s="4">
        <v>0</v>
      </c>
      <c r="M65" s="4">
        <v>0</v>
      </c>
      <c r="N65" s="4">
        <v>0</v>
      </c>
      <c r="O65" s="4">
        <v>0</v>
      </c>
      <c r="P65" s="4">
        <v>0</v>
      </c>
      <c r="Q65" s="4">
        <v>0</v>
      </c>
      <c r="R65" s="4">
        <v>0</v>
      </c>
      <c r="S65" s="4">
        <v>0</v>
      </c>
      <c r="T65" s="4">
        <v>0</v>
      </c>
      <c r="U65" s="4">
        <v>0</v>
      </c>
      <c r="V65" s="4">
        <v>0</v>
      </c>
      <c r="W65" s="4">
        <v>0</v>
      </c>
      <c r="X65" s="4">
        <v>0</v>
      </c>
      <c r="Y65" s="4">
        <v>0</v>
      </c>
      <c r="Z65" s="4">
        <v>0</v>
      </c>
      <c r="AA65" s="4">
        <v>0</v>
      </c>
      <c r="AB65" s="4">
        <v>0</v>
      </c>
      <c r="AC65" s="4">
        <v>0</v>
      </c>
      <c r="AD65" s="4">
        <v>0</v>
      </c>
      <c r="AE65" s="4">
        <v>0</v>
      </c>
      <c r="AF65" s="4">
        <v>0</v>
      </c>
      <c r="AG65" s="4">
        <v>0</v>
      </c>
      <c r="AH65" s="4">
        <v>0</v>
      </c>
      <c r="AI65" s="4">
        <v>0</v>
      </c>
      <c r="AJ65" s="4">
        <v>0</v>
      </c>
      <c r="AK65" s="4">
        <v>0</v>
      </c>
      <c r="AL65" s="4">
        <v>0</v>
      </c>
      <c r="AM65" s="4">
        <v>0</v>
      </c>
      <c r="AN65" s="4">
        <v>0</v>
      </c>
      <c r="AO65" s="4">
        <v>0</v>
      </c>
      <c r="AP65" s="4">
        <v>0</v>
      </c>
      <c r="AQ65" s="4">
        <v>0</v>
      </c>
      <c r="AR65" s="4">
        <v>0</v>
      </c>
      <c r="AS65" s="4">
        <v>0</v>
      </c>
      <c r="AT65" s="4">
        <v>0</v>
      </c>
      <c r="AU65" s="4">
        <v>0</v>
      </c>
      <c r="AV65" s="4">
        <v>0</v>
      </c>
      <c r="AW65" s="4">
        <v>0</v>
      </c>
      <c r="AX65" s="4">
        <v>0</v>
      </c>
      <c r="AY65" s="4">
        <v>0</v>
      </c>
      <c r="AZ65" s="4">
        <v>0</v>
      </c>
      <c r="BA65" s="4">
        <v>0</v>
      </c>
      <c r="BB65" s="4">
        <v>0</v>
      </c>
      <c r="BC65" s="4">
        <v>0</v>
      </c>
      <c r="BD65" s="4">
        <v>0</v>
      </c>
      <c r="BE65" s="4">
        <v>0</v>
      </c>
      <c r="BF65" s="4">
        <f t="shared" si="57"/>
        <v>0</v>
      </c>
      <c r="BG65" s="4">
        <f t="shared" si="58"/>
        <v>0</v>
      </c>
      <c r="BH65" s="4">
        <f t="shared" si="59"/>
        <v>0</v>
      </c>
      <c r="BI65" s="4">
        <f t="shared" si="60"/>
        <v>0</v>
      </c>
    </row>
    <row r="66" spans="2:61" x14ac:dyDescent="0.25">
      <c r="C66">
        <v>572</v>
      </c>
      <c r="D66" t="s">
        <v>468</v>
      </c>
      <c r="E66" s="4">
        <v>0</v>
      </c>
      <c r="F66" s="4">
        <v>0</v>
      </c>
      <c r="G66" s="4">
        <v>0</v>
      </c>
      <c r="H66" s="4">
        <v>0</v>
      </c>
      <c r="I66" s="4">
        <v>0</v>
      </c>
      <c r="J66" s="4">
        <v>0</v>
      </c>
      <c r="K66" s="4">
        <v>0</v>
      </c>
      <c r="L66" s="4">
        <v>0</v>
      </c>
      <c r="M66" s="4">
        <v>0</v>
      </c>
      <c r="N66" s="4">
        <v>0</v>
      </c>
      <c r="O66" s="4">
        <v>0</v>
      </c>
      <c r="P66" s="4">
        <v>0</v>
      </c>
      <c r="Q66" s="4">
        <v>0</v>
      </c>
      <c r="R66" s="4">
        <v>0</v>
      </c>
      <c r="S66" s="4">
        <v>0</v>
      </c>
      <c r="T66" s="4">
        <v>0</v>
      </c>
      <c r="U66" s="4">
        <v>0</v>
      </c>
      <c r="V66" s="4">
        <v>0</v>
      </c>
      <c r="W66" s="4">
        <v>0</v>
      </c>
      <c r="X66" s="4">
        <v>0</v>
      </c>
      <c r="Y66" s="4">
        <v>0</v>
      </c>
      <c r="Z66" s="4">
        <v>0</v>
      </c>
      <c r="AA66" s="4">
        <v>0</v>
      </c>
      <c r="AB66" s="4">
        <v>0</v>
      </c>
      <c r="AC66" s="4">
        <v>0</v>
      </c>
      <c r="AD66" s="4">
        <v>0</v>
      </c>
      <c r="AE66" s="4">
        <v>0</v>
      </c>
      <c r="AF66" s="4">
        <v>0</v>
      </c>
      <c r="AG66" s="4">
        <v>0</v>
      </c>
      <c r="AH66" s="4">
        <v>0</v>
      </c>
      <c r="AI66" s="4">
        <v>0</v>
      </c>
      <c r="AJ66" s="4">
        <v>0</v>
      </c>
      <c r="AK66" s="4">
        <v>0</v>
      </c>
      <c r="AL66" s="4">
        <v>0</v>
      </c>
      <c r="AM66" s="4">
        <v>0</v>
      </c>
      <c r="AN66" s="4">
        <v>0</v>
      </c>
      <c r="AO66" s="4">
        <v>0</v>
      </c>
      <c r="AP66" s="4">
        <v>0</v>
      </c>
      <c r="AQ66" s="4">
        <v>0</v>
      </c>
      <c r="AR66" s="4">
        <v>0</v>
      </c>
      <c r="AS66" s="4">
        <v>0</v>
      </c>
      <c r="AT66" s="4">
        <v>0</v>
      </c>
      <c r="AU66" s="4">
        <v>0</v>
      </c>
      <c r="AV66" s="4">
        <v>0</v>
      </c>
      <c r="AW66" s="4">
        <v>0</v>
      </c>
      <c r="AX66" s="4">
        <v>0</v>
      </c>
      <c r="AY66" s="4">
        <v>0</v>
      </c>
      <c r="AZ66" s="4">
        <v>0</v>
      </c>
      <c r="BA66" s="4">
        <v>0</v>
      </c>
      <c r="BB66" s="4">
        <v>0</v>
      </c>
      <c r="BC66" s="4">
        <v>0</v>
      </c>
      <c r="BD66" s="4">
        <v>0</v>
      </c>
      <c r="BE66" s="4">
        <v>0</v>
      </c>
      <c r="BF66" s="4">
        <f t="shared" si="57"/>
        <v>0</v>
      </c>
      <c r="BG66" s="4">
        <f t="shared" si="58"/>
        <v>0</v>
      </c>
      <c r="BH66" s="4">
        <f t="shared" si="59"/>
        <v>0</v>
      </c>
      <c r="BI66" s="4">
        <f t="shared" si="60"/>
        <v>0</v>
      </c>
    </row>
    <row r="67" spans="2:61" x14ac:dyDescent="0.25">
      <c r="C67">
        <v>573</v>
      </c>
      <c r="D67" t="s">
        <v>469</v>
      </c>
      <c r="E67" s="4">
        <v>0</v>
      </c>
      <c r="F67" s="4">
        <v>0</v>
      </c>
      <c r="G67" s="4">
        <v>0</v>
      </c>
      <c r="H67" s="4">
        <v>0</v>
      </c>
      <c r="I67" s="4">
        <v>0</v>
      </c>
      <c r="J67" s="4">
        <v>0</v>
      </c>
      <c r="K67" s="4">
        <v>0</v>
      </c>
      <c r="L67" s="4">
        <v>0</v>
      </c>
      <c r="M67" s="4">
        <v>0</v>
      </c>
      <c r="N67" s="4">
        <v>0</v>
      </c>
      <c r="O67" s="4">
        <v>0</v>
      </c>
      <c r="P67" s="4">
        <v>0</v>
      </c>
      <c r="Q67" s="4">
        <v>0</v>
      </c>
      <c r="R67" s="4">
        <v>0</v>
      </c>
      <c r="S67" s="4">
        <v>0</v>
      </c>
      <c r="T67" s="4">
        <v>0</v>
      </c>
      <c r="U67" s="4">
        <v>0</v>
      </c>
      <c r="V67" s="4">
        <v>0</v>
      </c>
      <c r="W67" s="4">
        <v>0</v>
      </c>
      <c r="X67" s="4">
        <v>0</v>
      </c>
      <c r="Y67" s="4">
        <v>0</v>
      </c>
      <c r="Z67" s="4">
        <v>0</v>
      </c>
      <c r="AA67" s="4">
        <v>0</v>
      </c>
      <c r="AB67" s="4">
        <v>0</v>
      </c>
      <c r="AC67" s="4">
        <v>0</v>
      </c>
      <c r="AD67" s="4">
        <v>0</v>
      </c>
      <c r="AE67" s="4">
        <v>0</v>
      </c>
      <c r="AF67" s="4">
        <v>0</v>
      </c>
      <c r="AG67" s="4">
        <v>0</v>
      </c>
      <c r="AH67" s="4">
        <v>0</v>
      </c>
      <c r="AI67" s="4">
        <v>0</v>
      </c>
      <c r="AJ67" s="4">
        <v>0</v>
      </c>
      <c r="AK67" s="4">
        <v>0</v>
      </c>
      <c r="AL67" s="4">
        <v>0</v>
      </c>
      <c r="AM67" s="4">
        <v>0</v>
      </c>
      <c r="AN67" s="4">
        <v>0</v>
      </c>
      <c r="AO67" s="4">
        <v>0</v>
      </c>
      <c r="AP67" s="4">
        <v>0</v>
      </c>
      <c r="AQ67" s="4">
        <v>0</v>
      </c>
      <c r="AR67" s="4">
        <v>0</v>
      </c>
      <c r="AS67" s="4">
        <v>0</v>
      </c>
      <c r="AT67" s="4">
        <v>0</v>
      </c>
      <c r="AU67" s="4">
        <v>0</v>
      </c>
      <c r="AV67" s="4">
        <v>0</v>
      </c>
      <c r="AW67" s="4">
        <v>0</v>
      </c>
      <c r="AX67" s="4">
        <v>0</v>
      </c>
      <c r="AY67" s="4">
        <v>0</v>
      </c>
      <c r="AZ67" s="4">
        <v>0</v>
      </c>
      <c r="BA67" s="4">
        <v>0</v>
      </c>
      <c r="BB67" s="4">
        <v>0</v>
      </c>
      <c r="BC67" s="4">
        <v>0</v>
      </c>
      <c r="BD67" s="4">
        <v>0</v>
      </c>
      <c r="BE67" s="4">
        <v>0</v>
      </c>
      <c r="BF67" s="4">
        <f t="shared" si="57"/>
        <v>0</v>
      </c>
      <c r="BG67" s="4">
        <f t="shared" si="58"/>
        <v>0</v>
      </c>
      <c r="BH67" s="4">
        <f t="shared" si="59"/>
        <v>0</v>
      </c>
      <c r="BI67" s="4">
        <f t="shared" si="60"/>
        <v>0</v>
      </c>
    </row>
    <row r="68" spans="2:61" x14ac:dyDescent="0.25">
      <c r="C68">
        <v>574</v>
      </c>
      <c r="D68" t="s">
        <v>470</v>
      </c>
      <c r="E68" s="4">
        <v>0</v>
      </c>
      <c r="F68" s="4">
        <v>0</v>
      </c>
      <c r="G68" s="4">
        <v>0</v>
      </c>
      <c r="H68" s="4">
        <v>0</v>
      </c>
      <c r="I68" s="4">
        <v>0</v>
      </c>
      <c r="J68" s="4">
        <v>0</v>
      </c>
      <c r="K68" s="4">
        <v>0</v>
      </c>
      <c r="L68" s="4">
        <v>0</v>
      </c>
      <c r="M68" s="4">
        <v>0</v>
      </c>
      <c r="N68" s="4">
        <v>0</v>
      </c>
      <c r="O68" s="4">
        <v>0</v>
      </c>
      <c r="P68" s="4">
        <v>0</v>
      </c>
      <c r="Q68" s="4">
        <v>0</v>
      </c>
      <c r="R68" s="4">
        <v>0</v>
      </c>
      <c r="S68" s="4">
        <v>0</v>
      </c>
      <c r="T68" s="4">
        <v>0</v>
      </c>
      <c r="U68" s="4">
        <v>0</v>
      </c>
      <c r="V68" s="4">
        <v>0</v>
      </c>
      <c r="W68" s="4">
        <v>0</v>
      </c>
      <c r="X68" s="4">
        <v>0</v>
      </c>
      <c r="Y68" s="4">
        <v>0</v>
      </c>
      <c r="Z68" s="4">
        <v>0</v>
      </c>
      <c r="AA68" s="4">
        <v>0</v>
      </c>
      <c r="AB68" s="4">
        <v>0</v>
      </c>
      <c r="AC68" s="4">
        <v>0</v>
      </c>
      <c r="AD68" s="4">
        <v>0</v>
      </c>
      <c r="AE68" s="4">
        <v>0</v>
      </c>
      <c r="AF68" s="4">
        <v>0</v>
      </c>
      <c r="AG68" s="4">
        <v>0</v>
      </c>
      <c r="AH68" s="4">
        <v>0</v>
      </c>
      <c r="AI68" s="4">
        <v>0</v>
      </c>
      <c r="AJ68" s="4">
        <v>0</v>
      </c>
      <c r="AK68" s="4">
        <v>0</v>
      </c>
      <c r="AL68" s="4">
        <v>0</v>
      </c>
      <c r="AM68" s="4">
        <v>0</v>
      </c>
      <c r="AN68" s="4">
        <v>0</v>
      </c>
      <c r="AO68" s="4">
        <v>0</v>
      </c>
      <c r="AP68" s="4">
        <v>0</v>
      </c>
      <c r="AQ68" s="4">
        <v>0</v>
      </c>
      <c r="AR68" s="4">
        <v>0</v>
      </c>
      <c r="AS68" s="4">
        <v>0</v>
      </c>
      <c r="AT68" s="4">
        <v>0</v>
      </c>
      <c r="AU68" s="4">
        <v>0</v>
      </c>
      <c r="AV68" s="4">
        <v>0</v>
      </c>
      <c r="AW68" s="4">
        <v>0</v>
      </c>
      <c r="AX68" s="4">
        <v>0</v>
      </c>
      <c r="AY68" s="4">
        <v>0</v>
      </c>
      <c r="AZ68" s="4">
        <v>0</v>
      </c>
      <c r="BA68" s="4">
        <v>0</v>
      </c>
      <c r="BB68" s="4">
        <v>0</v>
      </c>
      <c r="BC68" s="4">
        <v>0</v>
      </c>
      <c r="BD68" s="4">
        <v>0</v>
      </c>
      <c r="BE68" s="4">
        <v>0</v>
      </c>
      <c r="BF68" s="4">
        <f t="shared" si="57"/>
        <v>0</v>
      </c>
      <c r="BG68" s="4">
        <f t="shared" si="58"/>
        <v>0</v>
      </c>
      <c r="BH68" s="4">
        <f t="shared" si="59"/>
        <v>0</v>
      </c>
      <c r="BI68" s="4">
        <f t="shared" si="60"/>
        <v>0</v>
      </c>
    </row>
    <row r="69" spans="2:61" x14ac:dyDescent="0.25">
      <c r="C69">
        <v>575</v>
      </c>
      <c r="D69" t="s">
        <v>471</v>
      </c>
      <c r="E69" s="4">
        <v>0</v>
      </c>
      <c r="F69" s="4">
        <v>0</v>
      </c>
      <c r="G69" s="4">
        <v>0</v>
      </c>
      <c r="H69" s="4">
        <v>0</v>
      </c>
      <c r="I69" s="4">
        <v>0</v>
      </c>
      <c r="J69" s="4">
        <v>0</v>
      </c>
      <c r="K69" s="4">
        <v>0</v>
      </c>
      <c r="L69" s="4">
        <v>0</v>
      </c>
      <c r="M69" s="4">
        <v>0</v>
      </c>
      <c r="N69" s="4">
        <v>0</v>
      </c>
      <c r="O69" s="4">
        <v>0</v>
      </c>
      <c r="P69" s="4">
        <v>0</v>
      </c>
      <c r="Q69" s="4">
        <v>0</v>
      </c>
      <c r="R69" s="4">
        <v>0</v>
      </c>
      <c r="S69" s="4">
        <v>0</v>
      </c>
      <c r="T69" s="4">
        <v>0</v>
      </c>
      <c r="U69" s="4">
        <v>0</v>
      </c>
      <c r="V69" s="4">
        <v>0</v>
      </c>
      <c r="W69" s="4">
        <v>0</v>
      </c>
      <c r="X69" s="4">
        <v>0</v>
      </c>
      <c r="Y69" s="4">
        <v>0</v>
      </c>
      <c r="Z69" s="4">
        <v>0</v>
      </c>
      <c r="AA69" s="4">
        <v>0</v>
      </c>
      <c r="AB69" s="4">
        <v>0</v>
      </c>
      <c r="AC69" s="4">
        <v>0</v>
      </c>
      <c r="AD69" s="4">
        <v>0</v>
      </c>
      <c r="AE69" s="4">
        <v>0</v>
      </c>
      <c r="AF69" s="4">
        <v>0</v>
      </c>
      <c r="AG69" s="4">
        <v>0</v>
      </c>
      <c r="AH69" s="4">
        <v>0</v>
      </c>
      <c r="AI69" s="4">
        <v>0</v>
      </c>
      <c r="AJ69" s="4">
        <v>0</v>
      </c>
      <c r="AK69" s="4">
        <v>0</v>
      </c>
      <c r="AL69" s="4">
        <v>0</v>
      </c>
      <c r="AM69" s="4">
        <v>0</v>
      </c>
      <c r="AN69" s="4">
        <v>0</v>
      </c>
      <c r="AO69" s="4">
        <v>0</v>
      </c>
      <c r="AP69" s="4">
        <v>0</v>
      </c>
      <c r="AQ69" s="4">
        <v>0</v>
      </c>
      <c r="AR69" s="4">
        <v>0</v>
      </c>
      <c r="AS69" s="4">
        <v>0</v>
      </c>
      <c r="AT69" s="4">
        <v>0</v>
      </c>
      <c r="AU69" s="4">
        <v>0</v>
      </c>
      <c r="AV69" s="4">
        <v>0</v>
      </c>
      <c r="AW69" s="4">
        <v>0</v>
      </c>
      <c r="AX69" s="4">
        <v>0</v>
      </c>
      <c r="AY69" s="4">
        <v>0</v>
      </c>
      <c r="AZ69" s="4">
        <v>0</v>
      </c>
      <c r="BA69" s="4">
        <v>0</v>
      </c>
      <c r="BB69" s="4">
        <v>0</v>
      </c>
      <c r="BC69" s="4">
        <v>0</v>
      </c>
      <c r="BD69" s="4">
        <v>0</v>
      </c>
      <c r="BE69" s="4">
        <v>0</v>
      </c>
      <c r="BF69" s="4">
        <f t="shared" si="57"/>
        <v>0</v>
      </c>
      <c r="BG69" s="4">
        <f t="shared" si="58"/>
        <v>0</v>
      </c>
      <c r="BH69" s="4">
        <f t="shared" si="59"/>
        <v>0</v>
      </c>
      <c r="BI69" s="4">
        <f t="shared" si="60"/>
        <v>0</v>
      </c>
    </row>
    <row r="70" spans="2:61" x14ac:dyDescent="0.25">
      <c r="C70">
        <v>576</v>
      </c>
      <c r="D70" t="s">
        <v>472</v>
      </c>
      <c r="E70" s="4">
        <v>0</v>
      </c>
      <c r="F70" s="4">
        <v>0</v>
      </c>
      <c r="G70" s="4">
        <v>0</v>
      </c>
      <c r="H70" s="4">
        <v>0</v>
      </c>
      <c r="I70" s="4">
        <v>0</v>
      </c>
      <c r="J70" s="4">
        <v>0</v>
      </c>
      <c r="K70" s="4">
        <v>0</v>
      </c>
      <c r="L70" s="4">
        <v>0</v>
      </c>
      <c r="M70" s="4">
        <v>0</v>
      </c>
      <c r="N70" s="4">
        <v>0</v>
      </c>
      <c r="O70" s="4">
        <v>0</v>
      </c>
      <c r="P70" s="4">
        <v>0</v>
      </c>
      <c r="Q70" s="4">
        <v>0</v>
      </c>
      <c r="R70" s="4">
        <v>0</v>
      </c>
      <c r="S70" s="4">
        <v>0</v>
      </c>
      <c r="T70" s="4">
        <v>0</v>
      </c>
      <c r="U70" s="4">
        <v>0</v>
      </c>
      <c r="V70" s="4">
        <v>0</v>
      </c>
      <c r="W70" s="4">
        <v>0</v>
      </c>
      <c r="X70" s="4">
        <v>0</v>
      </c>
      <c r="Y70" s="4">
        <v>0</v>
      </c>
      <c r="Z70" s="4">
        <v>0</v>
      </c>
      <c r="AA70" s="4">
        <v>0</v>
      </c>
      <c r="AB70" s="4">
        <v>0</v>
      </c>
      <c r="AC70" s="4">
        <v>0</v>
      </c>
      <c r="AD70" s="4">
        <v>0</v>
      </c>
      <c r="AE70" s="4">
        <v>0</v>
      </c>
      <c r="AF70" s="4">
        <v>0</v>
      </c>
      <c r="AG70" s="4">
        <v>0</v>
      </c>
      <c r="AH70" s="4">
        <v>0</v>
      </c>
      <c r="AI70" s="4">
        <v>0</v>
      </c>
      <c r="AJ70" s="4">
        <v>0</v>
      </c>
      <c r="AK70" s="4">
        <v>0</v>
      </c>
      <c r="AL70" s="4">
        <v>0</v>
      </c>
      <c r="AM70" s="4">
        <v>0</v>
      </c>
      <c r="AN70" s="4">
        <v>0</v>
      </c>
      <c r="AO70" s="4">
        <v>0</v>
      </c>
      <c r="AP70" s="4">
        <v>0</v>
      </c>
      <c r="AQ70" s="4">
        <v>0</v>
      </c>
      <c r="AR70" s="4">
        <v>0</v>
      </c>
      <c r="AS70" s="4">
        <v>0</v>
      </c>
      <c r="AT70" s="4">
        <v>0</v>
      </c>
      <c r="AU70" s="4">
        <v>0</v>
      </c>
      <c r="AV70" s="4">
        <v>0</v>
      </c>
      <c r="AW70" s="4">
        <v>0</v>
      </c>
      <c r="AX70" s="4">
        <v>0</v>
      </c>
      <c r="AY70" s="4">
        <v>0</v>
      </c>
      <c r="AZ70" s="4">
        <v>0</v>
      </c>
      <c r="BA70" s="4">
        <v>0</v>
      </c>
      <c r="BB70" s="4">
        <v>0</v>
      </c>
      <c r="BC70" s="4">
        <v>0</v>
      </c>
      <c r="BD70" s="4">
        <v>0</v>
      </c>
      <c r="BE70" s="4">
        <v>0</v>
      </c>
      <c r="BF70" s="4">
        <f t="shared" si="57"/>
        <v>0</v>
      </c>
      <c r="BG70" s="4">
        <f t="shared" si="58"/>
        <v>0</v>
      </c>
      <c r="BH70" s="4">
        <f t="shared" si="59"/>
        <v>0</v>
      </c>
      <c r="BI70" s="4">
        <f t="shared" si="60"/>
        <v>0</v>
      </c>
    </row>
    <row r="71" spans="2:61" x14ac:dyDescent="0.25">
      <c r="C71">
        <v>577</v>
      </c>
      <c r="D71" t="s">
        <v>473</v>
      </c>
      <c r="E71" s="4">
        <v>0</v>
      </c>
      <c r="F71" s="4">
        <v>0</v>
      </c>
      <c r="G71" s="4">
        <v>0</v>
      </c>
      <c r="H71" s="4">
        <v>0</v>
      </c>
      <c r="I71" s="4">
        <v>0</v>
      </c>
      <c r="J71" s="4">
        <v>0</v>
      </c>
      <c r="K71" s="4">
        <v>0</v>
      </c>
      <c r="L71" s="4">
        <v>0</v>
      </c>
      <c r="M71" s="4">
        <v>0</v>
      </c>
      <c r="N71" s="4">
        <v>0</v>
      </c>
      <c r="O71" s="4">
        <v>0</v>
      </c>
      <c r="P71" s="4">
        <v>0</v>
      </c>
      <c r="Q71" s="4">
        <v>0</v>
      </c>
      <c r="R71" s="4">
        <v>0</v>
      </c>
      <c r="S71" s="4">
        <v>0</v>
      </c>
      <c r="T71" s="4">
        <v>0</v>
      </c>
      <c r="U71" s="4">
        <v>0</v>
      </c>
      <c r="V71" s="4">
        <v>0</v>
      </c>
      <c r="W71" s="4">
        <v>0</v>
      </c>
      <c r="X71" s="4">
        <v>0</v>
      </c>
      <c r="Y71" s="4">
        <v>0</v>
      </c>
      <c r="Z71" s="4">
        <v>0</v>
      </c>
      <c r="AA71" s="4">
        <v>0</v>
      </c>
      <c r="AB71" s="4">
        <v>0</v>
      </c>
      <c r="AC71" s="4">
        <v>0</v>
      </c>
      <c r="AD71" s="4">
        <v>0</v>
      </c>
      <c r="AE71" s="4">
        <v>0</v>
      </c>
      <c r="AF71" s="4">
        <v>0</v>
      </c>
      <c r="AG71" s="4">
        <v>0</v>
      </c>
      <c r="AH71" s="4">
        <v>0</v>
      </c>
      <c r="AI71" s="4">
        <v>0</v>
      </c>
      <c r="AJ71" s="4">
        <v>0</v>
      </c>
      <c r="AK71" s="4">
        <v>0</v>
      </c>
      <c r="AL71" s="4">
        <v>0</v>
      </c>
      <c r="AM71" s="4">
        <v>0</v>
      </c>
      <c r="AN71" s="4">
        <v>0</v>
      </c>
      <c r="AO71" s="4">
        <v>0</v>
      </c>
      <c r="AP71" s="4">
        <v>0</v>
      </c>
      <c r="AQ71" s="4">
        <v>0</v>
      </c>
      <c r="AR71" s="4">
        <v>0</v>
      </c>
      <c r="AS71" s="4">
        <v>0</v>
      </c>
      <c r="AT71" s="4">
        <v>0</v>
      </c>
      <c r="AU71" s="4">
        <v>0</v>
      </c>
      <c r="AV71" s="4">
        <v>0</v>
      </c>
      <c r="AW71" s="4">
        <v>0</v>
      </c>
      <c r="AX71" s="4">
        <v>0</v>
      </c>
      <c r="AY71" s="4">
        <v>0</v>
      </c>
      <c r="AZ71" s="4">
        <v>0</v>
      </c>
      <c r="BA71" s="4">
        <v>0</v>
      </c>
      <c r="BB71" s="4">
        <v>0</v>
      </c>
      <c r="BC71" s="4">
        <v>0</v>
      </c>
      <c r="BD71" s="4">
        <v>0</v>
      </c>
      <c r="BE71" s="4">
        <v>0</v>
      </c>
      <c r="BF71" s="4">
        <f t="shared" si="57"/>
        <v>0</v>
      </c>
      <c r="BG71" s="4">
        <f t="shared" si="58"/>
        <v>0</v>
      </c>
      <c r="BH71" s="4">
        <f t="shared" si="59"/>
        <v>0</v>
      </c>
      <c r="BI71" s="4">
        <f t="shared" si="60"/>
        <v>0</v>
      </c>
    </row>
    <row r="72" spans="2:61" x14ac:dyDescent="0.25">
      <c r="C72">
        <v>578</v>
      </c>
      <c r="D72" t="s">
        <v>474</v>
      </c>
      <c r="E72" s="4">
        <v>0</v>
      </c>
      <c r="F72" s="4">
        <v>0</v>
      </c>
      <c r="G72" s="4">
        <v>0</v>
      </c>
      <c r="H72" s="4">
        <v>0</v>
      </c>
      <c r="I72" s="4">
        <v>0</v>
      </c>
      <c r="J72" s="4">
        <v>0</v>
      </c>
      <c r="K72" s="4">
        <v>0</v>
      </c>
      <c r="L72" s="4">
        <v>0</v>
      </c>
      <c r="M72" s="4">
        <v>0</v>
      </c>
      <c r="N72" s="4">
        <v>0</v>
      </c>
      <c r="O72" s="4">
        <v>0</v>
      </c>
      <c r="P72" s="4">
        <v>0</v>
      </c>
      <c r="Q72" s="4">
        <v>0</v>
      </c>
      <c r="R72" s="4">
        <v>0</v>
      </c>
      <c r="S72" s="4">
        <v>0</v>
      </c>
      <c r="T72" s="4">
        <v>0</v>
      </c>
      <c r="U72" s="4">
        <v>0</v>
      </c>
      <c r="V72" s="4">
        <v>0</v>
      </c>
      <c r="W72" s="4">
        <v>0</v>
      </c>
      <c r="X72" s="4">
        <v>0</v>
      </c>
      <c r="Y72" s="4">
        <v>0</v>
      </c>
      <c r="Z72" s="4">
        <v>0</v>
      </c>
      <c r="AA72" s="4">
        <v>0</v>
      </c>
      <c r="AB72" s="4">
        <v>0</v>
      </c>
      <c r="AC72" s="4">
        <v>0</v>
      </c>
      <c r="AD72" s="4">
        <v>0</v>
      </c>
      <c r="AE72" s="4">
        <v>0</v>
      </c>
      <c r="AF72" s="4">
        <v>0</v>
      </c>
      <c r="AG72" s="4">
        <v>0</v>
      </c>
      <c r="AH72" s="4">
        <v>0</v>
      </c>
      <c r="AI72" s="4">
        <v>0</v>
      </c>
      <c r="AJ72" s="4">
        <v>0</v>
      </c>
      <c r="AK72" s="4">
        <v>0</v>
      </c>
      <c r="AL72" s="4">
        <v>0</v>
      </c>
      <c r="AM72" s="4">
        <v>0</v>
      </c>
      <c r="AN72" s="4">
        <v>0</v>
      </c>
      <c r="AO72" s="4">
        <v>0</v>
      </c>
      <c r="AP72" s="4">
        <v>0</v>
      </c>
      <c r="AQ72" s="4">
        <v>0</v>
      </c>
      <c r="AR72" s="4">
        <v>0</v>
      </c>
      <c r="AS72" s="4">
        <v>0</v>
      </c>
      <c r="AT72" s="4">
        <v>0</v>
      </c>
      <c r="AU72" s="4">
        <v>0</v>
      </c>
      <c r="AV72" s="4">
        <v>0</v>
      </c>
      <c r="AW72" s="4">
        <v>0</v>
      </c>
      <c r="AX72" s="4">
        <v>0</v>
      </c>
      <c r="AY72" s="4">
        <v>0</v>
      </c>
      <c r="AZ72" s="4">
        <v>0</v>
      </c>
      <c r="BA72" s="4">
        <v>0</v>
      </c>
      <c r="BB72" s="4">
        <v>0</v>
      </c>
      <c r="BC72" s="4">
        <v>0</v>
      </c>
      <c r="BD72" s="4">
        <v>0</v>
      </c>
      <c r="BE72" s="4">
        <v>0</v>
      </c>
      <c r="BF72" s="4">
        <f t="shared" si="57"/>
        <v>0</v>
      </c>
      <c r="BG72" s="4">
        <f t="shared" si="58"/>
        <v>0</v>
      </c>
      <c r="BH72" s="4">
        <f t="shared" si="59"/>
        <v>0</v>
      </c>
      <c r="BI72" s="4">
        <f t="shared" si="60"/>
        <v>0</v>
      </c>
    </row>
    <row r="73" spans="2:61" x14ac:dyDescent="0.25">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row>
    <row r="74" spans="2:61" x14ac:dyDescent="0.25">
      <c r="B74" s="56">
        <v>58</v>
      </c>
      <c r="C74" s="56"/>
      <c r="D74" s="56" t="s">
        <v>477</v>
      </c>
      <c r="E74" s="57">
        <f>E75+E76+E77+E78+E79+E80</f>
        <v>0</v>
      </c>
      <c r="F74" s="57">
        <f t="shared" ref="F74:BE74" si="61">F75+F76+F77+F78+F79+F80</f>
        <v>0</v>
      </c>
      <c r="G74" s="57">
        <f t="shared" si="61"/>
        <v>0</v>
      </c>
      <c r="H74" s="57">
        <f t="shared" si="61"/>
        <v>0</v>
      </c>
      <c r="I74" s="57">
        <f t="shared" si="61"/>
        <v>0</v>
      </c>
      <c r="J74" s="57">
        <f t="shared" si="61"/>
        <v>0</v>
      </c>
      <c r="K74" s="57">
        <f t="shared" si="61"/>
        <v>0</v>
      </c>
      <c r="L74" s="57">
        <f t="shared" si="61"/>
        <v>0</v>
      </c>
      <c r="M74" s="57">
        <f t="shared" si="61"/>
        <v>0</v>
      </c>
      <c r="N74" s="57">
        <f t="shared" si="61"/>
        <v>0</v>
      </c>
      <c r="O74" s="57">
        <f t="shared" si="61"/>
        <v>0</v>
      </c>
      <c r="P74" s="57">
        <f t="shared" si="61"/>
        <v>0</v>
      </c>
      <c r="Q74" s="57">
        <f t="shared" si="61"/>
        <v>0</v>
      </c>
      <c r="R74" s="57">
        <f t="shared" si="61"/>
        <v>0</v>
      </c>
      <c r="S74" s="57">
        <f t="shared" si="61"/>
        <v>0</v>
      </c>
      <c r="T74" s="57">
        <f t="shared" si="61"/>
        <v>0</v>
      </c>
      <c r="U74" s="57">
        <f t="shared" si="61"/>
        <v>0</v>
      </c>
      <c r="V74" s="57">
        <f t="shared" si="61"/>
        <v>0</v>
      </c>
      <c r="W74" s="57">
        <f t="shared" si="61"/>
        <v>0</v>
      </c>
      <c r="X74" s="57">
        <f t="shared" si="61"/>
        <v>0</v>
      </c>
      <c r="Y74" s="57">
        <f t="shared" si="61"/>
        <v>0</v>
      </c>
      <c r="Z74" s="57">
        <f t="shared" si="61"/>
        <v>0</v>
      </c>
      <c r="AA74" s="57">
        <f t="shared" si="61"/>
        <v>0</v>
      </c>
      <c r="AB74" s="57">
        <f t="shared" si="61"/>
        <v>0</v>
      </c>
      <c r="AC74" s="57">
        <f t="shared" si="61"/>
        <v>0</v>
      </c>
      <c r="AD74" s="57">
        <f t="shared" si="61"/>
        <v>3574.92</v>
      </c>
      <c r="AE74" s="57">
        <f t="shared" si="61"/>
        <v>0</v>
      </c>
      <c r="AF74" s="57">
        <f t="shared" si="61"/>
        <v>0</v>
      </c>
      <c r="AG74" s="57">
        <f t="shared" si="61"/>
        <v>0</v>
      </c>
      <c r="AH74" s="57">
        <f t="shared" si="61"/>
        <v>0</v>
      </c>
      <c r="AI74" s="57">
        <f t="shared" si="61"/>
        <v>0</v>
      </c>
      <c r="AJ74" s="57">
        <f t="shared" si="61"/>
        <v>0</v>
      </c>
      <c r="AK74" s="57">
        <f t="shared" si="61"/>
        <v>0</v>
      </c>
      <c r="AL74" s="57">
        <f t="shared" si="61"/>
        <v>-38042.1</v>
      </c>
      <c r="AM74" s="57">
        <f t="shared" si="61"/>
        <v>0</v>
      </c>
      <c r="AN74" s="57">
        <f t="shared" si="61"/>
        <v>0</v>
      </c>
      <c r="AO74" s="57">
        <f t="shared" si="61"/>
        <v>0</v>
      </c>
      <c r="AP74" s="57">
        <f t="shared" si="61"/>
        <v>0</v>
      </c>
      <c r="AQ74" s="57">
        <f t="shared" si="61"/>
        <v>0</v>
      </c>
      <c r="AR74" s="57">
        <f t="shared" si="61"/>
        <v>0</v>
      </c>
      <c r="AS74" s="57">
        <f t="shared" si="61"/>
        <v>154026.65</v>
      </c>
      <c r="AT74" s="57">
        <f t="shared" si="61"/>
        <v>3374</v>
      </c>
      <c r="AU74" s="57">
        <f t="shared" si="61"/>
        <v>0</v>
      </c>
      <c r="AV74" s="57">
        <f t="shared" si="61"/>
        <v>0</v>
      </c>
      <c r="AW74" s="57">
        <f t="shared" si="61"/>
        <v>0</v>
      </c>
      <c r="AX74" s="57">
        <f t="shared" si="61"/>
        <v>0</v>
      </c>
      <c r="AY74" s="57">
        <f t="shared" si="61"/>
        <v>0</v>
      </c>
      <c r="AZ74" s="57">
        <f t="shared" si="61"/>
        <v>0</v>
      </c>
      <c r="BA74" s="57">
        <f t="shared" si="61"/>
        <v>0</v>
      </c>
      <c r="BB74" s="57">
        <f t="shared" si="61"/>
        <v>0</v>
      </c>
      <c r="BC74" s="57">
        <f t="shared" si="61"/>
        <v>0</v>
      </c>
      <c r="BD74" s="57">
        <f t="shared" si="61"/>
        <v>0</v>
      </c>
      <c r="BE74" s="57">
        <f t="shared" si="61"/>
        <v>0</v>
      </c>
      <c r="BF74" s="57">
        <f t="shared" ref="BF74" si="62">BF75+BF76+BF77+BF78+BF79+BF80</f>
        <v>122933.47</v>
      </c>
      <c r="BG74" s="57">
        <f t="shared" ref="BG74" si="63">BG75+BG76+BG77+BG78+BG79+BG80</f>
        <v>0</v>
      </c>
      <c r="BH74" s="57">
        <f t="shared" ref="BH74" si="64">BH75+BH76+BH77+BH78+BH79+BH80</f>
        <v>3574.92</v>
      </c>
      <c r="BI74" s="57">
        <f t="shared" ref="BI74" si="65">BI75+BI76+BI77+BI78+BI79+BI80</f>
        <v>119358.54999999999</v>
      </c>
    </row>
    <row r="75" spans="2:61" x14ac:dyDescent="0.25">
      <c r="C75">
        <v>580</v>
      </c>
      <c r="D75" t="s">
        <v>454</v>
      </c>
      <c r="E75" s="4">
        <v>0</v>
      </c>
      <c r="F75" s="4">
        <v>0</v>
      </c>
      <c r="G75" s="4">
        <v>0</v>
      </c>
      <c r="H75" s="4">
        <v>0</v>
      </c>
      <c r="I75" s="4">
        <v>0</v>
      </c>
      <c r="J75" s="4">
        <v>0</v>
      </c>
      <c r="K75" s="4">
        <v>0</v>
      </c>
      <c r="L75" s="4">
        <v>0</v>
      </c>
      <c r="M75" s="4">
        <v>0</v>
      </c>
      <c r="N75" s="4">
        <v>0</v>
      </c>
      <c r="O75" s="4">
        <v>0</v>
      </c>
      <c r="P75" s="4">
        <v>0</v>
      </c>
      <c r="Q75" s="4">
        <v>0</v>
      </c>
      <c r="R75" s="4">
        <v>0</v>
      </c>
      <c r="S75" s="4">
        <v>0</v>
      </c>
      <c r="T75" s="4">
        <v>0</v>
      </c>
      <c r="U75" s="4">
        <v>0</v>
      </c>
      <c r="V75" s="4">
        <v>0</v>
      </c>
      <c r="W75" s="4">
        <v>0</v>
      </c>
      <c r="X75" s="4">
        <v>0</v>
      </c>
      <c r="Y75" s="4">
        <v>0</v>
      </c>
      <c r="Z75" s="4">
        <v>0</v>
      </c>
      <c r="AA75" s="4">
        <v>0</v>
      </c>
      <c r="AB75" s="4">
        <v>0</v>
      </c>
      <c r="AC75" s="4">
        <v>0</v>
      </c>
      <c r="AD75" s="4">
        <v>3574.92</v>
      </c>
      <c r="AE75" s="4">
        <v>0</v>
      </c>
      <c r="AF75" s="4">
        <v>0</v>
      </c>
      <c r="AG75" s="4">
        <v>0</v>
      </c>
      <c r="AH75" s="4">
        <v>0</v>
      </c>
      <c r="AI75" s="4">
        <v>0</v>
      </c>
      <c r="AJ75" s="4">
        <v>0</v>
      </c>
      <c r="AK75" s="4">
        <v>0</v>
      </c>
      <c r="AL75" s="4">
        <v>0</v>
      </c>
      <c r="AM75" s="4">
        <v>0</v>
      </c>
      <c r="AN75" s="4">
        <v>0</v>
      </c>
      <c r="AO75" s="4">
        <v>0</v>
      </c>
      <c r="AP75" s="4">
        <v>0</v>
      </c>
      <c r="AQ75" s="4">
        <v>0</v>
      </c>
      <c r="AR75" s="4">
        <v>0</v>
      </c>
      <c r="AS75" s="4">
        <v>154026.65</v>
      </c>
      <c r="AT75" s="4">
        <v>0</v>
      </c>
      <c r="AU75" s="4">
        <v>0</v>
      </c>
      <c r="AV75" s="4">
        <v>0</v>
      </c>
      <c r="AW75" s="4">
        <v>0</v>
      </c>
      <c r="AX75" s="4">
        <v>0</v>
      </c>
      <c r="AY75" s="4">
        <v>0</v>
      </c>
      <c r="AZ75" s="4">
        <v>0</v>
      </c>
      <c r="BA75" s="4">
        <v>0</v>
      </c>
      <c r="BB75" s="4">
        <v>0</v>
      </c>
      <c r="BC75" s="4">
        <v>0</v>
      </c>
      <c r="BD75" s="4">
        <v>0</v>
      </c>
      <c r="BE75" s="4">
        <v>0</v>
      </c>
      <c r="BF75" s="4">
        <f t="shared" ref="BF75:BF80" si="66">SUM(E75:BE75)</f>
        <v>157601.57</v>
      </c>
      <c r="BG75" s="4">
        <f t="shared" ref="BG75:BG80" si="67">SUM(E75:W75)</f>
        <v>0</v>
      </c>
      <c r="BH75" s="4">
        <f t="shared" ref="BH75:BH80" si="68">SUM(X75:AJ75)</f>
        <v>3574.92</v>
      </c>
      <c r="BI75" s="4">
        <f t="shared" ref="BI75:BI80" si="69">SUM(AK75:BE75)</f>
        <v>154026.65</v>
      </c>
    </row>
    <row r="76" spans="2:61" x14ac:dyDescent="0.25">
      <c r="C76">
        <v>582</v>
      </c>
      <c r="D76" t="s">
        <v>464</v>
      </c>
      <c r="E76" s="4">
        <v>0</v>
      </c>
      <c r="F76" s="4">
        <v>0</v>
      </c>
      <c r="G76" s="4">
        <v>0</v>
      </c>
      <c r="H76" s="4">
        <v>0</v>
      </c>
      <c r="I76" s="4">
        <v>0</v>
      </c>
      <c r="J76" s="4">
        <v>0</v>
      </c>
      <c r="K76" s="4">
        <v>0</v>
      </c>
      <c r="L76" s="4">
        <v>0</v>
      </c>
      <c r="M76" s="4">
        <v>0</v>
      </c>
      <c r="N76" s="4">
        <v>0</v>
      </c>
      <c r="O76" s="4">
        <v>0</v>
      </c>
      <c r="P76" s="4">
        <v>0</v>
      </c>
      <c r="Q76" s="4">
        <v>0</v>
      </c>
      <c r="R76" s="4">
        <v>0</v>
      </c>
      <c r="S76" s="4">
        <v>0</v>
      </c>
      <c r="T76" s="4">
        <v>0</v>
      </c>
      <c r="U76" s="4">
        <v>0</v>
      </c>
      <c r="V76" s="4">
        <v>0</v>
      </c>
      <c r="W76" s="4">
        <v>0</v>
      </c>
      <c r="X76" s="4">
        <v>0</v>
      </c>
      <c r="Y76" s="4">
        <v>0</v>
      </c>
      <c r="Z76" s="4">
        <v>0</v>
      </c>
      <c r="AA76" s="4">
        <v>0</v>
      </c>
      <c r="AB76" s="4">
        <v>0</v>
      </c>
      <c r="AC76" s="4">
        <v>0</v>
      </c>
      <c r="AD76" s="4">
        <v>0</v>
      </c>
      <c r="AE76" s="4">
        <v>0</v>
      </c>
      <c r="AF76" s="4">
        <v>0</v>
      </c>
      <c r="AG76" s="4">
        <v>0</v>
      </c>
      <c r="AH76" s="4">
        <v>0</v>
      </c>
      <c r="AI76" s="4">
        <v>0</v>
      </c>
      <c r="AJ76" s="4">
        <v>0</v>
      </c>
      <c r="AK76" s="4">
        <v>0</v>
      </c>
      <c r="AL76" s="4">
        <v>0</v>
      </c>
      <c r="AM76" s="4">
        <v>0</v>
      </c>
      <c r="AN76" s="4">
        <v>0</v>
      </c>
      <c r="AO76" s="4">
        <v>0</v>
      </c>
      <c r="AP76" s="4">
        <v>0</v>
      </c>
      <c r="AQ76" s="4">
        <v>0</v>
      </c>
      <c r="AR76" s="4">
        <v>0</v>
      </c>
      <c r="AS76" s="4">
        <v>0</v>
      </c>
      <c r="AT76" s="4">
        <v>0</v>
      </c>
      <c r="AU76" s="4">
        <v>0</v>
      </c>
      <c r="AV76" s="4">
        <v>0</v>
      </c>
      <c r="AW76" s="4">
        <v>0</v>
      </c>
      <c r="AX76" s="4">
        <v>0</v>
      </c>
      <c r="AY76" s="4">
        <v>0</v>
      </c>
      <c r="AZ76" s="4">
        <v>0</v>
      </c>
      <c r="BA76" s="4">
        <v>0</v>
      </c>
      <c r="BB76" s="4">
        <v>0</v>
      </c>
      <c r="BC76" s="4">
        <v>0</v>
      </c>
      <c r="BD76" s="4">
        <v>0</v>
      </c>
      <c r="BE76" s="4">
        <v>0</v>
      </c>
      <c r="BF76" s="4">
        <f t="shared" si="66"/>
        <v>0</v>
      </c>
      <c r="BG76" s="4">
        <f t="shared" si="67"/>
        <v>0</v>
      </c>
      <c r="BH76" s="4">
        <f t="shared" si="68"/>
        <v>0</v>
      </c>
      <c r="BI76" s="4">
        <f t="shared" si="69"/>
        <v>0</v>
      </c>
    </row>
    <row r="77" spans="2:61" x14ac:dyDescent="0.25">
      <c r="C77">
        <v>584</v>
      </c>
      <c r="D77" t="s">
        <v>250</v>
      </c>
      <c r="E77" s="4">
        <v>0</v>
      </c>
      <c r="F77" s="4">
        <v>0</v>
      </c>
      <c r="G77" s="4">
        <v>0</v>
      </c>
      <c r="H77" s="4">
        <v>0</v>
      </c>
      <c r="I77" s="4">
        <v>0</v>
      </c>
      <c r="J77" s="4">
        <v>0</v>
      </c>
      <c r="K77" s="4">
        <v>0</v>
      </c>
      <c r="L77" s="4">
        <v>0</v>
      </c>
      <c r="M77" s="4">
        <v>0</v>
      </c>
      <c r="N77" s="4">
        <v>0</v>
      </c>
      <c r="O77" s="4">
        <v>0</v>
      </c>
      <c r="P77" s="4">
        <v>0</v>
      </c>
      <c r="Q77" s="4">
        <v>0</v>
      </c>
      <c r="R77" s="4">
        <v>0</v>
      </c>
      <c r="S77" s="4">
        <v>0</v>
      </c>
      <c r="T77" s="4">
        <v>0</v>
      </c>
      <c r="U77" s="4">
        <v>0</v>
      </c>
      <c r="V77" s="4">
        <v>0</v>
      </c>
      <c r="W77" s="4">
        <v>0</v>
      </c>
      <c r="X77" s="4">
        <v>0</v>
      </c>
      <c r="Y77" s="4">
        <v>0</v>
      </c>
      <c r="Z77" s="4">
        <v>0</v>
      </c>
      <c r="AA77" s="4">
        <v>0</v>
      </c>
      <c r="AB77" s="4">
        <v>0</v>
      </c>
      <c r="AC77" s="4">
        <v>0</v>
      </c>
      <c r="AD77" s="4">
        <v>0</v>
      </c>
      <c r="AE77" s="4">
        <v>0</v>
      </c>
      <c r="AF77" s="4">
        <v>0</v>
      </c>
      <c r="AG77" s="4">
        <v>0</v>
      </c>
      <c r="AH77" s="4">
        <v>0</v>
      </c>
      <c r="AI77" s="4">
        <v>0</v>
      </c>
      <c r="AJ77" s="4">
        <v>0</v>
      </c>
      <c r="AK77" s="4">
        <v>0</v>
      </c>
      <c r="AL77" s="4">
        <v>0</v>
      </c>
      <c r="AM77" s="4">
        <v>0</v>
      </c>
      <c r="AN77" s="4">
        <v>0</v>
      </c>
      <c r="AO77" s="4">
        <v>0</v>
      </c>
      <c r="AP77" s="4">
        <v>0</v>
      </c>
      <c r="AQ77" s="4">
        <v>0</v>
      </c>
      <c r="AR77" s="4">
        <v>0</v>
      </c>
      <c r="AS77" s="4">
        <v>0</v>
      </c>
      <c r="AT77" s="4">
        <v>0</v>
      </c>
      <c r="AU77" s="4">
        <v>0</v>
      </c>
      <c r="AV77" s="4">
        <v>0</v>
      </c>
      <c r="AW77" s="4">
        <v>0</v>
      </c>
      <c r="AX77" s="4">
        <v>0</v>
      </c>
      <c r="AY77" s="4">
        <v>0</v>
      </c>
      <c r="AZ77" s="4">
        <v>0</v>
      </c>
      <c r="BA77" s="4">
        <v>0</v>
      </c>
      <c r="BB77" s="4">
        <v>0</v>
      </c>
      <c r="BC77" s="4">
        <v>0</v>
      </c>
      <c r="BD77" s="4">
        <v>0</v>
      </c>
      <c r="BE77" s="4">
        <v>0</v>
      </c>
      <c r="BF77" s="4">
        <f t="shared" si="66"/>
        <v>0</v>
      </c>
      <c r="BG77" s="4">
        <f t="shared" si="67"/>
        <v>0</v>
      </c>
      <c r="BH77" s="4">
        <f t="shared" si="68"/>
        <v>0</v>
      </c>
      <c r="BI77" s="4">
        <f t="shared" si="69"/>
        <v>0</v>
      </c>
    </row>
    <row r="78" spans="2:61" x14ac:dyDescent="0.25">
      <c r="C78">
        <v>585</v>
      </c>
      <c r="D78" t="s">
        <v>379</v>
      </c>
      <c r="E78" s="4">
        <v>0</v>
      </c>
      <c r="F78" s="4">
        <v>0</v>
      </c>
      <c r="G78" s="4">
        <v>0</v>
      </c>
      <c r="H78" s="4">
        <v>0</v>
      </c>
      <c r="I78" s="4">
        <v>0</v>
      </c>
      <c r="J78" s="4">
        <v>0</v>
      </c>
      <c r="K78" s="4">
        <v>0</v>
      </c>
      <c r="L78" s="4">
        <v>0</v>
      </c>
      <c r="M78" s="4">
        <v>0</v>
      </c>
      <c r="N78" s="4">
        <v>0</v>
      </c>
      <c r="O78" s="4">
        <v>0</v>
      </c>
      <c r="P78" s="4">
        <v>0</v>
      </c>
      <c r="Q78" s="4">
        <v>0</v>
      </c>
      <c r="R78" s="4">
        <v>0</v>
      </c>
      <c r="S78" s="4">
        <v>0</v>
      </c>
      <c r="T78" s="4">
        <v>0</v>
      </c>
      <c r="U78" s="4">
        <v>0</v>
      </c>
      <c r="V78" s="4">
        <v>0</v>
      </c>
      <c r="W78" s="4">
        <v>0</v>
      </c>
      <c r="X78" s="4">
        <v>0</v>
      </c>
      <c r="Y78" s="4">
        <v>0</v>
      </c>
      <c r="Z78" s="4">
        <v>0</v>
      </c>
      <c r="AA78" s="4">
        <v>0</v>
      </c>
      <c r="AB78" s="4">
        <v>0</v>
      </c>
      <c r="AC78" s="4">
        <v>0</v>
      </c>
      <c r="AD78" s="4">
        <v>0</v>
      </c>
      <c r="AE78" s="4">
        <v>0</v>
      </c>
      <c r="AF78" s="4">
        <v>0</v>
      </c>
      <c r="AG78" s="4">
        <v>0</v>
      </c>
      <c r="AH78" s="4">
        <v>0</v>
      </c>
      <c r="AI78" s="4">
        <v>0</v>
      </c>
      <c r="AJ78" s="4">
        <v>0</v>
      </c>
      <c r="AK78" s="4">
        <v>0</v>
      </c>
      <c r="AL78" s="4">
        <v>0</v>
      </c>
      <c r="AM78" s="4">
        <v>0</v>
      </c>
      <c r="AN78" s="4">
        <v>0</v>
      </c>
      <c r="AO78" s="4">
        <v>0</v>
      </c>
      <c r="AP78" s="4">
        <v>0</v>
      </c>
      <c r="AQ78" s="4">
        <v>0</v>
      </c>
      <c r="AR78" s="4">
        <v>0</v>
      </c>
      <c r="AS78" s="4">
        <v>0</v>
      </c>
      <c r="AT78" s="4">
        <v>0</v>
      </c>
      <c r="AU78" s="4">
        <v>0</v>
      </c>
      <c r="AV78" s="4">
        <v>0</v>
      </c>
      <c r="AW78" s="4">
        <v>0</v>
      </c>
      <c r="AX78" s="4">
        <v>0</v>
      </c>
      <c r="AY78" s="4">
        <v>0</v>
      </c>
      <c r="AZ78" s="4">
        <v>0</v>
      </c>
      <c r="BA78" s="4">
        <v>0</v>
      </c>
      <c r="BB78" s="4">
        <v>0</v>
      </c>
      <c r="BC78" s="4">
        <v>0</v>
      </c>
      <c r="BD78" s="4">
        <v>0</v>
      </c>
      <c r="BE78" s="4">
        <v>0</v>
      </c>
      <c r="BF78" s="4">
        <f t="shared" si="66"/>
        <v>0</v>
      </c>
      <c r="BG78" s="4">
        <f t="shared" si="67"/>
        <v>0</v>
      </c>
      <c r="BH78" s="4">
        <f t="shared" si="68"/>
        <v>0</v>
      </c>
      <c r="BI78" s="4">
        <f t="shared" si="69"/>
        <v>0</v>
      </c>
    </row>
    <row r="79" spans="2:61" x14ac:dyDescent="0.25">
      <c r="C79">
        <v>586</v>
      </c>
      <c r="D79" t="s">
        <v>478</v>
      </c>
      <c r="E79" s="4">
        <v>0</v>
      </c>
      <c r="F79" s="4">
        <v>0</v>
      </c>
      <c r="G79" s="4">
        <v>0</v>
      </c>
      <c r="H79" s="4">
        <v>0</v>
      </c>
      <c r="I79" s="4">
        <v>0</v>
      </c>
      <c r="J79" s="4">
        <v>0</v>
      </c>
      <c r="K79" s="4">
        <v>0</v>
      </c>
      <c r="L79" s="4">
        <v>0</v>
      </c>
      <c r="M79" s="4">
        <v>0</v>
      </c>
      <c r="N79" s="4">
        <v>0</v>
      </c>
      <c r="O79" s="4">
        <v>0</v>
      </c>
      <c r="P79" s="4">
        <v>0</v>
      </c>
      <c r="Q79" s="4">
        <v>0</v>
      </c>
      <c r="R79" s="4">
        <v>0</v>
      </c>
      <c r="S79" s="4">
        <v>0</v>
      </c>
      <c r="T79" s="4">
        <v>0</v>
      </c>
      <c r="U79" s="4">
        <v>0</v>
      </c>
      <c r="V79" s="4">
        <v>0</v>
      </c>
      <c r="W79" s="4">
        <v>0</v>
      </c>
      <c r="X79" s="4">
        <v>0</v>
      </c>
      <c r="Y79" s="4">
        <v>0</v>
      </c>
      <c r="Z79" s="4">
        <v>0</v>
      </c>
      <c r="AA79" s="4">
        <v>0</v>
      </c>
      <c r="AB79" s="4">
        <v>0</v>
      </c>
      <c r="AC79" s="4">
        <v>0</v>
      </c>
      <c r="AD79" s="4">
        <v>0</v>
      </c>
      <c r="AE79" s="4">
        <v>0</v>
      </c>
      <c r="AF79" s="4">
        <v>0</v>
      </c>
      <c r="AG79" s="4">
        <v>0</v>
      </c>
      <c r="AH79" s="4">
        <v>0</v>
      </c>
      <c r="AI79" s="4">
        <v>0</v>
      </c>
      <c r="AJ79" s="4">
        <v>0</v>
      </c>
      <c r="AK79" s="4">
        <v>0</v>
      </c>
      <c r="AL79" s="4">
        <v>-38042.1</v>
      </c>
      <c r="AM79" s="4">
        <v>0</v>
      </c>
      <c r="AN79" s="4">
        <v>0</v>
      </c>
      <c r="AO79" s="4">
        <v>0</v>
      </c>
      <c r="AP79" s="4">
        <v>0</v>
      </c>
      <c r="AQ79" s="4">
        <v>0</v>
      </c>
      <c r="AR79" s="4">
        <v>0</v>
      </c>
      <c r="AS79" s="4">
        <v>0</v>
      </c>
      <c r="AT79" s="4">
        <v>0</v>
      </c>
      <c r="AU79" s="4">
        <v>0</v>
      </c>
      <c r="AV79" s="4">
        <v>0</v>
      </c>
      <c r="AW79" s="4">
        <v>0</v>
      </c>
      <c r="AX79" s="4">
        <v>0</v>
      </c>
      <c r="AY79" s="4">
        <v>0</v>
      </c>
      <c r="AZ79" s="4">
        <v>0</v>
      </c>
      <c r="BA79" s="4">
        <v>0</v>
      </c>
      <c r="BB79" s="4">
        <v>0</v>
      </c>
      <c r="BC79" s="4">
        <v>0</v>
      </c>
      <c r="BD79" s="4">
        <v>0</v>
      </c>
      <c r="BE79" s="4">
        <v>0</v>
      </c>
      <c r="BF79" s="4">
        <f t="shared" si="66"/>
        <v>-38042.1</v>
      </c>
      <c r="BG79" s="4">
        <f t="shared" si="67"/>
        <v>0</v>
      </c>
      <c r="BH79" s="4">
        <f t="shared" si="68"/>
        <v>0</v>
      </c>
      <c r="BI79" s="4">
        <f t="shared" si="69"/>
        <v>-38042.1</v>
      </c>
    </row>
    <row r="80" spans="2:61" x14ac:dyDescent="0.25">
      <c r="C80">
        <v>589</v>
      </c>
      <c r="D80" t="s">
        <v>479</v>
      </c>
      <c r="E80" s="4">
        <v>0</v>
      </c>
      <c r="F80" s="4">
        <v>0</v>
      </c>
      <c r="G80" s="4">
        <v>0</v>
      </c>
      <c r="H80" s="4">
        <v>0</v>
      </c>
      <c r="I80" s="4">
        <v>0</v>
      </c>
      <c r="J80" s="4">
        <v>0</v>
      </c>
      <c r="K80" s="4">
        <v>0</v>
      </c>
      <c r="L80" s="4">
        <v>0</v>
      </c>
      <c r="M80" s="4">
        <v>0</v>
      </c>
      <c r="N80" s="4">
        <v>0</v>
      </c>
      <c r="O80" s="4">
        <v>0</v>
      </c>
      <c r="P80" s="4">
        <v>0</v>
      </c>
      <c r="Q80" s="4">
        <v>0</v>
      </c>
      <c r="R80" s="4">
        <v>0</v>
      </c>
      <c r="S80" s="4">
        <v>0</v>
      </c>
      <c r="T80" s="4">
        <v>0</v>
      </c>
      <c r="U80" s="4">
        <v>0</v>
      </c>
      <c r="V80" s="4">
        <v>0</v>
      </c>
      <c r="W80" s="4">
        <v>0</v>
      </c>
      <c r="X80" s="4">
        <v>0</v>
      </c>
      <c r="Y80" s="4">
        <v>0</v>
      </c>
      <c r="Z80" s="4">
        <v>0</v>
      </c>
      <c r="AA80" s="4">
        <v>0</v>
      </c>
      <c r="AB80" s="4">
        <v>0</v>
      </c>
      <c r="AC80" s="4">
        <v>0</v>
      </c>
      <c r="AD80" s="4">
        <v>0</v>
      </c>
      <c r="AE80" s="4">
        <v>0</v>
      </c>
      <c r="AF80" s="4">
        <v>0</v>
      </c>
      <c r="AG80" s="4">
        <v>0</v>
      </c>
      <c r="AH80" s="4">
        <v>0</v>
      </c>
      <c r="AI80" s="4">
        <v>0</v>
      </c>
      <c r="AJ80" s="4">
        <v>0</v>
      </c>
      <c r="AK80" s="4">
        <v>0</v>
      </c>
      <c r="AL80" s="4">
        <v>0</v>
      </c>
      <c r="AM80" s="4">
        <v>0</v>
      </c>
      <c r="AN80" s="4">
        <v>0</v>
      </c>
      <c r="AO80" s="4">
        <v>0</v>
      </c>
      <c r="AP80" s="4">
        <v>0</v>
      </c>
      <c r="AQ80" s="4">
        <v>0</v>
      </c>
      <c r="AR80" s="4">
        <v>0</v>
      </c>
      <c r="AS80" s="4">
        <v>0</v>
      </c>
      <c r="AT80" s="4">
        <v>3374</v>
      </c>
      <c r="AU80" s="4">
        <v>0</v>
      </c>
      <c r="AV80" s="4">
        <v>0</v>
      </c>
      <c r="AW80" s="4">
        <v>0</v>
      </c>
      <c r="AX80" s="4">
        <v>0</v>
      </c>
      <c r="AY80" s="4">
        <v>0</v>
      </c>
      <c r="AZ80" s="4">
        <v>0</v>
      </c>
      <c r="BA80" s="4">
        <v>0</v>
      </c>
      <c r="BB80" s="4">
        <v>0</v>
      </c>
      <c r="BC80" s="4">
        <v>0</v>
      </c>
      <c r="BD80" s="4">
        <v>0</v>
      </c>
      <c r="BE80" s="4">
        <v>0</v>
      </c>
      <c r="BF80" s="4">
        <f t="shared" si="66"/>
        <v>3374</v>
      </c>
      <c r="BG80" s="4">
        <f t="shared" si="67"/>
        <v>0</v>
      </c>
      <c r="BH80" s="4">
        <f t="shared" si="68"/>
        <v>0</v>
      </c>
      <c r="BI80" s="4">
        <f t="shared" si="69"/>
        <v>3374</v>
      </c>
    </row>
    <row r="81" spans="1:61" x14ac:dyDescent="0.25">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row>
    <row r="82" spans="1:61" x14ac:dyDescent="0.25">
      <c r="B82" s="56">
        <v>59</v>
      </c>
      <c r="C82" s="56"/>
      <c r="D82" s="56" t="s">
        <v>480</v>
      </c>
      <c r="E82" s="57">
        <f>E83</f>
        <v>320010.90000000002</v>
      </c>
      <c r="F82" s="57">
        <f t="shared" ref="F82:BE82" si="70">F83</f>
        <v>202473.55</v>
      </c>
      <c r="G82" s="57">
        <f t="shared" si="70"/>
        <v>243621.8</v>
      </c>
      <c r="H82" s="57">
        <f t="shared" si="70"/>
        <v>0</v>
      </c>
      <c r="I82" s="57">
        <f t="shared" si="70"/>
        <v>144993.79999999999</v>
      </c>
      <c r="J82" s="57">
        <f t="shared" si="70"/>
        <v>1305025.21</v>
      </c>
      <c r="K82" s="57">
        <f t="shared" si="70"/>
        <v>390647.25</v>
      </c>
      <c r="L82" s="57">
        <f t="shared" si="70"/>
        <v>1561026.7</v>
      </c>
      <c r="M82" s="57">
        <f t="shared" si="70"/>
        <v>170087.9</v>
      </c>
      <c r="N82" s="57">
        <f t="shared" si="70"/>
        <v>0</v>
      </c>
      <c r="O82" s="57">
        <f t="shared" si="70"/>
        <v>668476.35</v>
      </c>
      <c r="P82" s="57">
        <f t="shared" si="70"/>
        <v>13158.1</v>
      </c>
      <c r="Q82" s="57">
        <f t="shared" si="70"/>
        <v>0</v>
      </c>
      <c r="R82" s="57">
        <f t="shared" si="70"/>
        <v>0</v>
      </c>
      <c r="S82" s="57">
        <f t="shared" si="70"/>
        <v>83953</v>
      </c>
      <c r="T82" s="57">
        <f t="shared" si="70"/>
        <v>0</v>
      </c>
      <c r="U82" s="57">
        <f t="shared" si="70"/>
        <v>406138.5</v>
      </c>
      <c r="V82" s="57">
        <f t="shared" si="70"/>
        <v>28103</v>
      </c>
      <c r="W82" s="57">
        <f t="shared" si="70"/>
        <v>1476429.1</v>
      </c>
      <c r="X82" s="57">
        <f t="shared" si="70"/>
        <v>60000</v>
      </c>
      <c r="Y82" s="57">
        <f t="shared" si="70"/>
        <v>712474.95</v>
      </c>
      <c r="Z82" s="57">
        <f t="shared" si="70"/>
        <v>0</v>
      </c>
      <c r="AA82" s="57">
        <f t="shared" si="70"/>
        <v>14730</v>
      </c>
      <c r="AB82" s="57">
        <f t="shared" si="70"/>
        <v>220439</v>
      </c>
      <c r="AC82" s="57">
        <f t="shared" si="70"/>
        <v>148468.4</v>
      </c>
      <c r="AD82" s="57">
        <f t="shared" si="70"/>
        <v>388199.1</v>
      </c>
      <c r="AE82" s="57">
        <f t="shared" si="70"/>
        <v>518846.5</v>
      </c>
      <c r="AF82" s="57">
        <f t="shared" si="70"/>
        <v>216238</v>
      </c>
      <c r="AG82" s="57">
        <f t="shared" si="70"/>
        <v>109279.25</v>
      </c>
      <c r="AH82" s="57">
        <f t="shared" si="70"/>
        <v>131687.75</v>
      </c>
      <c r="AI82" s="57">
        <f t="shared" si="70"/>
        <v>96348.43</v>
      </c>
      <c r="AJ82" s="57">
        <f t="shared" si="70"/>
        <v>204729</v>
      </c>
      <c r="AK82" s="57">
        <f t="shared" si="70"/>
        <v>1039322.15</v>
      </c>
      <c r="AL82" s="57">
        <f t="shared" si="70"/>
        <v>286701.09999999998</v>
      </c>
      <c r="AM82" s="57">
        <f t="shared" si="70"/>
        <v>139977</v>
      </c>
      <c r="AN82" s="57">
        <f t="shared" si="70"/>
        <v>744467.39</v>
      </c>
      <c r="AO82" s="57">
        <f t="shared" si="70"/>
        <v>88171.45</v>
      </c>
      <c r="AP82" s="57">
        <f t="shared" si="70"/>
        <v>97134.65</v>
      </c>
      <c r="AQ82" s="57">
        <f t="shared" si="70"/>
        <v>10888.5</v>
      </c>
      <c r="AR82" s="57">
        <f t="shared" si="70"/>
        <v>692740.3</v>
      </c>
      <c r="AS82" s="57">
        <f t="shared" si="70"/>
        <v>77000</v>
      </c>
      <c r="AT82" s="57">
        <f t="shared" si="70"/>
        <v>206000</v>
      </c>
      <c r="AU82" s="57">
        <f t="shared" si="70"/>
        <v>188423.5</v>
      </c>
      <c r="AV82" s="57">
        <f t="shared" si="70"/>
        <v>27500</v>
      </c>
      <c r="AW82" s="57">
        <f t="shared" si="70"/>
        <v>0</v>
      </c>
      <c r="AX82" s="57">
        <f t="shared" si="70"/>
        <v>0</v>
      </c>
      <c r="AY82" s="57">
        <f t="shared" si="70"/>
        <v>13795</v>
      </c>
      <c r="AZ82" s="57">
        <f t="shared" si="70"/>
        <v>4852.3500000000004</v>
      </c>
      <c r="BA82" s="57">
        <f t="shared" si="70"/>
        <v>160000</v>
      </c>
      <c r="BB82" s="57">
        <f t="shared" si="70"/>
        <v>9142</v>
      </c>
      <c r="BC82" s="57">
        <f t="shared" si="70"/>
        <v>0</v>
      </c>
      <c r="BD82" s="57">
        <f t="shared" si="70"/>
        <v>2524747.5</v>
      </c>
      <c r="BE82" s="57">
        <f t="shared" si="70"/>
        <v>0</v>
      </c>
      <c r="BF82" s="57">
        <f t="shared" ref="BF82" si="71">BF83</f>
        <v>16146448.430000002</v>
      </c>
      <c r="BG82" s="57">
        <f t="shared" ref="BG82" si="72">BG83</f>
        <v>7014145.1600000001</v>
      </c>
      <c r="BH82" s="57">
        <f t="shared" ref="BH82" si="73">BH83</f>
        <v>2821440.38</v>
      </c>
      <c r="BI82" s="57">
        <f t="shared" ref="BI82" si="74">BI83</f>
        <v>6310862.8900000006</v>
      </c>
    </row>
    <row r="83" spans="1:61" x14ac:dyDescent="0.25">
      <c r="C83">
        <v>590</v>
      </c>
      <c r="D83" t="s">
        <v>480</v>
      </c>
      <c r="E83" s="4">
        <v>320010.90000000002</v>
      </c>
      <c r="F83" s="4">
        <v>202473.55</v>
      </c>
      <c r="G83" s="4">
        <v>243621.8</v>
      </c>
      <c r="H83" s="4">
        <v>0</v>
      </c>
      <c r="I83" s="4">
        <v>144993.79999999999</v>
      </c>
      <c r="J83" s="4">
        <v>1305025.21</v>
      </c>
      <c r="K83" s="4">
        <v>390647.25</v>
      </c>
      <c r="L83" s="4">
        <v>1561026.7</v>
      </c>
      <c r="M83" s="4">
        <v>170087.9</v>
      </c>
      <c r="N83" s="4">
        <v>0</v>
      </c>
      <c r="O83" s="4">
        <v>668476.35</v>
      </c>
      <c r="P83" s="4">
        <v>13158.1</v>
      </c>
      <c r="Q83" s="4">
        <v>0</v>
      </c>
      <c r="R83" s="4">
        <v>0</v>
      </c>
      <c r="S83" s="4">
        <v>83953</v>
      </c>
      <c r="T83" s="4">
        <v>0</v>
      </c>
      <c r="U83" s="4">
        <v>406138.5</v>
      </c>
      <c r="V83" s="4">
        <v>28103</v>
      </c>
      <c r="W83" s="4">
        <v>1476429.1</v>
      </c>
      <c r="X83" s="4">
        <v>60000</v>
      </c>
      <c r="Y83" s="4">
        <v>712474.95</v>
      </c>
      <c r="Z83" s="4">
        <v>0</v>
      </c>
      <c r="AA83" s="4">
        <v>14730</v>
      </c>
      <c r="AB83" s="4">
        <v>220439</v>
      </c>
      <c r="AC83" s="4">
        <v>148468.4</v>
      </c>
      <c r="AD83" s="4">
        <v>388199.1</v>
      </c>
      <c r="AE83" s="4">
        <v>518846.5</v>
      </c>
      <c r="AF83" s="4">
        <v>216238</v>
      </c>
      <c r="AG83" s="4">
        <v>109279.25</v>
      </c>
      <c r="AH83" s="4">
        <v>131687.75</v>
      </c>
      <c r="AI83" s="4">
        <v>96348.43</v>
      </c>
      <c r="AJ83" s="4">
        <v>204729</v>
      </c>
      <c r="AK83" s="4">
        <v>1039322.15</v>
      </c>
      <c r="AL83" s="4">
        <v>286701.09999999998</v>
      </c>
      <c r="AM83" s="4">
        <v>139977</v>
      </c>
      <c r="AN83" s="4">
        <v>744467.39</v>
      </c>
      <c r="AO83" s="4">
        <v>88171.45</v>
      </c>
      <c r="AP83" s="4">
        <v>97134.65</v>
      </c>
      <c r="AQ83" s="4">
        <v>10888.5</v>
      </c>
      <c r="AR83" s="4">
        <v>692740.3</v>
      </c>
      <c r="AS83" s="4">
        <v>77000</v>
      </c>
      <c r="AT83" s="4">
        <v>206000</v>
      </c>
      <c r="AU83" s="4">
        <v>188423.5</v>
      </c>
      <c r="AV83" s="4">
        <v>27500</v>
      </c>
      <c r="AW83" s="4">
        <v>0</v>
      </c>
      <c r="AX83" s="4">
        <v>0</v>
      </c>
      <c r="AY83" s="4">
        <v>13795</v>
      </c>
      <c r="AZ83" s="4">
        <v>4852.3500000000004</v>
      </c>
      <c r="BA83" s="4">
        <v>160000</v>
      </c>
      <c r="BB83" s="4">
        <v>9142</v>
      </c>
      <c r="BC83" s="4">
        <v>0</v>
      </c>
      <c r="BD83" s="4">
        <v>2524747.5</v>
      </c>
      <c r="BE83" s="4">
        <v>0</v>
      </c>
      <c r="BF83" s="4">
        <f t="shared" ref="BF83" si="75">SUM(E83:BE83)</f>
        <v>16146448.430000002</v>
      </c>
      <c r="BG83" s="4">
        <f t="shared" ref="BG83" si="76">SUM(E83:W83)</f>
        <v>7014145.1600000001</v>
      </c>
      <c r="BH83" s="4">
        <f t="shared" ref="BH83" si="77">SUM(X83:AJ83)</f>
        <v>2821440.38</v>
      </c>
      <c r="BI83" s="4">
        <f t="shared" ref="BI83" si="78">SUM(AK83:BE83)</f>
        <v>6310862.8900000006</v>
      </c>
    </row>
    <row r="84" spans="1:61" x14ac:dyDescent="0.25">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row>
    <row r="85" spans="1:61" x14ac:dyDescent="0.25">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row>
    <row r="86" spans="1:61" x14ac:dyDescent="0.25">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row>
    <row r="87" spans="1:61" ht="21" x14ac:dyDescent="0.35">
      <c r="A87" s="86">
        <v>6</v>
      </c>
      <c r="B87" s="86"/>
      <c r="C87" s="86"/>
      <c r="D87" s="86" t="s">
        <v>481</v>
      </c>
      <c r="E87" s="77">
        <f>E88+E98+E108+E113+E124+E135+E146+E157+E168</f>
        <v>320010.90000000002</v>
      </c>
      <c r="F87" s="77">
        <f t="shared" ref="F87:BI87" si="79">F88+F98+F108+F113+F124+F135+F146+F157+F168</f>
        <v>202473.55</v>
      </c>
      <c r="G87" s="77">
        <f t="shared" si="79"/>
        <v>243621.8</v>
      </c>
      <c r="H87" s="77">
        <f t="shared" si="79"/>
        <v>0</v>
      </c>
      <c r="I87" s="77">
        <f t="shared" si="79"/>
        <v>144993.79999999999</v>
      </c>
      <c r="J87" s="77">
        <f t="shared" si="79"/>
        <v>1300890.3099999998</v>
      </c>
      <c r="K87" s="77">
        <f t="shared" si="79"/>
        <v>390647.25</v>
      </c>
      <c r="L87" s="77">
        <f t="shared" si="79"/>
        <v>1561026.7</v>
      </c>
      <c r="M87" s="77">
        <f t="shared" si="79"/>
        <v>170087.90000000002</v>
      </c>
      <c r="N87" s="77">
        <f t="shared" si="79"/>
        <v>0</v>
      </c>
      <c r="O87" s="77">
        <f t="shared" si="79"/>
        <v>668476.35000000009</v>
      </c>
      <c r="P87" s="77">
        <f t="shared" si="79"/>
        <v>13158.1</v>
      </c>
      <c r="Q87" s="77">
        <f t="shared" si="79"/>
        <v>0</v>
      </c>
      <c r="R87" s="77">
        <f t="shared" si="79"/>
        <v>0</v>
      </c>
      <c r="S87" s="77">
        <f t="shared" si="79"/>
        <v>83953</v>
      </c>
      <c r="T87" s="77">
        <f t="shared" si="79"/>
        <v>0</v>
      </c>
      <c r="U87" s="77">
        <f t="shared" si="79"/>
        <v>406138.55</v>
      </c>
      <c r="V87" s="77">
        <f t="shared" si="79"/>
        <v>28103</v>
      </c>
      <c r="W87" s="77">
        <f t="shared" si="79"/>
        <v>1476429.1</v>
      </c>
      <c r="X87" s="77">
        <f t="shared" si="79"/>
        <v>60000</v>
      </c>
      <c r="Y87" s="77">
        <f t="shared" si="79"/>
        <v>712474.95</v>
      </c>
      <c r="Z87" s="77">
        <f t="shared" si="79"/>
        <v>42760</v>
      </c>
      <c r="AA87" s="77">
        <f t="shared" si="79"/>
        <v>14730</v>
      </c>
      <c r="AB87" s="77">
        <f t="shared" si="79"/>
        <v>220439</v>
      </c>
      <c r="AC87" s="77">
        <f t="shared" si="79"/>
        <v>148468.4</v>
      </c>
      <c r="AD87" s="77">
        <f t="shared" si="79"/>
        <v>388199.1</v>
      </c>
      <c r="AE87" s="77">
        <f t="shared" si="79"/>
        <v>515846.5</v>
      </c>
      <c r="AF87" s="77">
        <f t="shared" si="79"/>
        <v>216238</v>
      </c>
      <c r="AG87" s="77">
        <f t="shared" si="79"/>
        <v>109279.25</v>
      </c>
      <c r="AH87" s="77">
        <f t="shared" si="79"/>
        <v>131687.75</v>
      </c>
      <c r="AI87" s="77">
        <f t="shared" si="79"/>
        <v>96348.43</v>
      </c>
      <c r="AJ87" s="77">
        <f t="shared" si="79"/>
        <v>204729</v>
      </c>
      <c r="AK87" s="77">
        <f t="shared" si="79"/>
        <v>1039322.15</v>
      </c>
      <c r="AL87" s="77">
        <f t="shared" si="79"/>
        <v>286701.09999999998</v>
      </c>
      <c r="AM87" s="77">
        <f t="shared" si="79"/>
        <v>139977</v>
      </c>
      <c r="AN87" s="77">
        <f t="shared" si="79"/>
        <v>744467.39</v>
      </c>
      <c r="AO87" s="77">
        <f t="shared" si="79"/>
        <v>88171.45</v>
      </c>
      <c r="AP87" s="77">
        <f t="shared" si="79"/>
        <v>98063.15</v>
      </c>
      <c r="AQ87" s="77">
        <f t="shared" si="79"/>
        <v>10888.5</v>
      </c>
      <c r="AR87" s="77">
        <f t="shared" si="79"/>
        <v>692740.3</v>
      </c>
      <c r="AS87" s="77">
        <f t="shared" si="79"/>
        <v>77000</v>
      </c>
      <c r="AT87" s="77">
        <f t="shared" si="79"/>
        <v>206000</v>
      </c>
      <c r="AU87" s="77">
        <f t="shared" si="79"/>
        <v>188423.5</v>
      </c>
      <c r="AV87" s="77">
        <f t="shared" si="79"/>
        <v>27500</v>
      </c>
      <c r="AW87" s="77">
        <f t="shared" si="79"/>
        <v>0</v>
      </c>
      <c r="AX87" s="77">
        <f t="shared" si="79"/>
        <v>0</v>
      </c>
      <c r="AY87" s="77">
        <f t="shared" si="79"/>
        <v>13795</v>
      </c>
      <c r="AZ87" s="77">
        <f t="shared" si="79"/>
        <v>4852.3500000000004</v>
      </c>
      <c r="BA87" s="77">
        <f t="shared" si="79"/>
        <v>160000</v>
      </c>
      <c r="BB87" s="77">
        <f t="shared" si="79"/>
        <v>9142</v>
      </c>
      <c r="BC87" s="77">
        <f t="shared" si="79"/>
        <v>0</v>
      </c>
      <c r="BD87" s="77">
        <f t="shared" si="79"/>
        <v>2529747.5</v>
      </c>
      <c r="BE87" s="77">
        <f t="shared" si="79"/>
        <v>0</v>
      </c>
      <c r="BF87" s="77">
        <f t="shared" si="79"/>
        <v>16188002.08</v>
      </c>
      <c r="BG87" s="77">
        <f t="shared" si="79"/>
        <v>7010010.3100000005</v>
      </c>
      <c r="BH87" s="77">
        <f t="shared" si="79"/>
        <v>2861200.3800000004</v>
      </c>
      <c r="BI87" s="77">
        <f t="shared" si="79"/>
        <v>6316791.3900000006</v>
      </c>
    </row>
    <row r="88" spans="1:61" x14ac:dyDescent="0.25">
      <c r="A88" s="7"/>
      <c r="B88" s="87">
        <v>60</v>
      </c>
      <c r="C88" s="87"/>
      <c r="D88" s="87" t="s">
        <v>482</v>
      </c>
      <c r="E88" s="85">
        <f>E89+E90+E91+E92+E93+E94+E95+E96</f>
        <v>118640</v>
      </c>
      <c r="F88" s="85">
        <f t="shared" ref="F88:BI88" si="80">F89+F90+F91+F92+F93+F94+F95+F96</f>
        <v>0</v>
      </c>
      <c r="G88" s="85">
        <f t="shared" si="80"/>
        <v>0</v>
      </c>
      <c r="H88" s="85">
        <f t="shared" si="80"/>
        <v>0</v>
      </c>
      <c r="I88" s="85">
        <f t="shared" si="80"/>
        <v>0</v>
      </c>
      <c r="J88" s="85">
        <f t="shared" si="80"/>
        <v>0</v>
      </c>
      <c r="K88" s="85">
        <f t="shared" si="80"/>
        <v>0</v>
      </c>
      <c r="L88" s="85">
        <f t="shared" si="80"/>
        <v>1561026.7</v>
      </c>
      <c r="M88" s="85">
        <f t="shared" si="80"/>
        <v>0</v>
      </c>
      <c r="N88" s="85">
        <f t="shared" si="80"/>
        <v>0</v>
      </c>
      <c r="O88" s="85">
        <f t="shared" si="80"/>
        <v>0</v>
      </c>
      <c r="P88" s="85">
        <f t="shared" si="80"/>
        <v>13158.1</v>
      </c>
      <c r="Q88" s="85">
        <f t="shared" si="80"/>
        <v>0</v>
      </c>
      <c r="R88" s="85">
        <f t="shared" si="80"/>
        <v>0</v>
      </c>
      <c r="S88" s="85">
        <f t="shared" si="80"/>
        <v>83953</v>
      </c>
      <c r="T88" s="85">
        <f t="shared" si="80"/>
        <v>0</v>
      </c>
      <c r="U88" s="85">
        <f t="shared" si="80"/>
        <v>0</v>
      </c>
      <c r="V88" s="85">
        <f t="shared" si="80"/>
        <v>0</v>
      </c>
      <c r="W88" s="85">
        <f t="shared" si="80"/>
        <v>0</v>
      </c>
      <c r="X88" s="85">
        <f t="shared" si="80"/>
        <v>0</v>
      </c>
      <c r="Y88" s="85">
        <f t="shared" si="80"/>
        <v>2139.1999999999998</v>
      </c>
      <c r="Z88" s="85">
        <f t="shared" si="80"/>
        <v>0</v>
      </c>
      <c r="AA88" s="85">
        <f t="shared" si="80"/>
        <v>14730</v>
      </c>
      <c r="AB88" s="85">
        <f t="shared" si="80"/>
        <v>0</v>
      </c>
      <c r="AC88" s="85">
        <f t="shared" si="80"/>
        <v>140075</v>
      </c>
      <c r="AD88" s="85">
        <f t="shared" si="80"/>
        <v>8760</v>
      </c>
      <c r="AE88" s="85">
        <f t="shared" si="80"/>
        <v>0</v>
      </c>
      <c r="AF88" s="85">
        <f t="shared" si="80"/>
        <v>0</v>
      </c>
      <c r="AG88" s="85">
        <f t="shared" si="80"/>
        <v>0</v>
      </c>
      <c r="AH88" s="85">
        <f t="shared" si="80"/>
        <v>17168.55</v>
      </c>
      <c r="AI88" s="85">
        <f t="shared" si="80"/>
        <v>0</v>
      </c>
      <c r="AJ88" s="85">
        <f t="shared" si="80"/>
        <v>41250</v>
      </c>
      <c r="AK88" s="85">
        <f t="shared" si="80"/>
        <v>0</v>
      </c>
      <c r="AL88" s="85">
        <f t="shared" si="80"/>
        <v>100000</v>
      </c>
      <c r="AM88" s="85">
        <f t="shared" si="80"/>
        <v>0</v>
      </c>
      <c r="AN88" s="85">
        <f t="shared" si="80"/>
        <v>0</v>
      </c>
      <c r="AO88" s="85">
        <f t="shared" si="80"/>
        <v>0</v>
      </c>
      <c r="AP88" s="85">
        <f t="shared" si="80"/>
        <v>0</v>
      </c>
      <c r="AQ88" s="85">
        <f t="shared" si="80"/>
        <v>953.5</v>
      </c>
      <c r="AR88" s="85">
        <f t="shared" si="80"/>
        <v>0</v>
      </c>
      <c r="AS88" s="85">
        <f t="shared" si="80"/>
        <v>0</v>
      </c>
      <c r="AT88" s="85">
        <f t="shared" si="80"/>
        <v>0</v>
      </c>
      <c r="AU88" s="85">
        <f t="shared" si="80"/>
        <v>0</v>
      </c>
      <c r="AV88" s="85">
        <f t="shared" si="80"/>
        <v>0</v>
      </c>
      <c r="AW88" s="85">
        <f t="shared" si="80"/>
        <v>0</v>
      </c>
      <c r="AX88" s="85">
        <f t="shared" si="80"/>
        <v>0</v>
      </c>
      <c r="AY88" s="85">
        <f t="shared" si="80"/>
        <v>0</v>
      </c>
      <c r="AZ88" s="85">
        <f t="shared" si="80"/>
        <v>0</v>
      </c>
      <c r="BA88" s="85">
        <f t="shared" si="80"/>
        <v>0</v>
      </c>
      <c r="BB88" s="85">
        <f t="shared" si="80"/>
        <v>0</v>
      </c>
      <c r="BC88" s="85">
        <f t="shared" si="80"/>
        <v>0</v>
      </c>
      <c r="BD88" s="85">
        <f t="shared" si="80"/>
        <v>1295969.8500000001</v>
      </c>
      <c r="BE88" s="85">
        <f t="shared" si="80"/>
        <v>0</v>
      </c>
      <c r="BF88" s="85">
        <f t="shared" si="80"/>
        <v>3397823.9000000004</v>
      </c>
      <c r="BG88" s="85">
        <f t="shared" si="80"/>
        <v>1776777.8</v>
      </c>
      <c r="BH88" s="85">
        <f t="shared" si="80"/>
        <v>224122.75</v>
      </c>
      <c r="BI88" s="85">
        <f t="shared" si="80"/>
        <v>1396923.35</v>
      </c>
    </row>
    <row r="89" spans="1:61" x14ac:dyDescent="0.25">
      <c r="C89">
        <v>600</v>
      </c>
      <c r="D89" t="s">
        <v>456</v>
      </c>
      <c r="E89" s="4">
        <v>0</v>
      </c>
      <c r="F89" s="4">
        <v>0</v>
      </c>
      <c r="G89" s="4">
        <v>0</v>
      </c>
      <c r="H89" s="4">
        <v>0</v>
      </c>
      <c r="I89" s="4">
        <v>0</v>
      </c>
      <c r="J89" s="4">
        <v>0</v>
      </c>
      <c r="K89" s="4">
        <v>0</v>
      </c>
      <c r="L89" s="4">
        <v>1561026.7</v>
      </c>
      <c r="M89" s="4">
        <v>0</v>
      </c>
      <c r="N89" s="4">
        <v>0</v>
      </c>
      <c r="O89" s="4">
        <v>0</v>
      </c>
      <c r="P89" s="4">
        <v>0</v>
      </c>
      <c r="Q89" s="4">
        <v>0</v>
      </c>
      <c r="R89" s="4">
        <v>0</v>
      </c>
      <c r="S89" s="4">
        <v>0</v>
      </c>
      <c r="T89" s="4">
        <v>0</v>
      </c>
      <c r="U89" s="4">
        <v>0</v>
      </c>
      <c r="V89" s="4">
        <v>0</v>
      </c>
      <c r="W89" s="4">
        <v>0</v>
      </c>
      <c r="X89" s="4">
        <v>0</v>
      </c>
      <c r="Y89" s="4">
        <v>0</v>
      </c>
      <c r="Z89" s="4">
        <v>0</v>
      </c>
      <c r="AA89" s="4">
        <v>0</v>
      </c>
      <c r="AB89" s="4">
        <v>0</v>
      </c>
      <c r="AC89" s="4">
        <v>140075</v>
      </c>
      <c r="AD89" s="4">
        <v>0</v>
      </c>
      <c r="AE89" s="4">
        <v>0</v>
      </c>
      <c r="AF89" s="4">
        <v>0</v>
      </c>
      <c r="AG89" s="4">
        <v>0</v>
      </c>
      <c r="AH89" s="4">
        <v>0</v>
      </c>
      <c r="AI89" s="4">
        <v>0</v>
      </c>
      <c r="AJ89" s="4">
        <v>0</v>
      </c>
      <c r="AK89" s="4">
        <v>0</v>
      </c>
      <c r="AL89" s="4">
        <v>0</v>
      </c>
      <c r="AM89" s="4">
        <v>0</v>
      </c>
      <c r="AN89" s="4">
        <v>0</v>
      </c>
      <c r="AO89" s="4">
        <v>0</v>
      </c>
      <c r="AP89" s="4">
        <v>0</v>
      </c>
      <c r="AQ89" s="4">
        <v>0</v>
      </c>
      <c r="AR89" s="4">
        <v>0</v>
      </c>
      <c r="AS89" s="4">
        <v>0</v>
      </c>
      <c r="AT89" s="4">
        <v>0</v>
      </c>
      <c r="AU89" s="4">
        <v>0</v>
      </c>
      <c r="AV89" s="4">
        <v>0</v>
      </c>
      <c r="AW89" s="4">
        <v>0</v>
      </c>
      <c r="AX89" s="4">
        <v>0</v>
      </c>
      <c r="AY89" s="4">
        <v>0</v>
      </c>
      <c r="AZ89" s="4">
        <v>0</v>
      </c>
      <c r="BA89" s="4">
        <v>0</v>
      </c>
      <c r="BB89" s="4">
        <v>0</v>
      </c>
      <c r="BC89" s="4">
        <v>0</v>
      </c>
      <c r="BD89" s="4">
        <v>1232235</v>
      </c>
      <c r="BE89" s="4">
        <v>0</v>
      </c>
      <c r="BF89" s="4">
        <f t="shared" ref="BF89:BF96" si="81">SUM(E89:BE89)</f>
        <v>2933336.7</v>
      </c>
      <c r="BG89" s="4">
        <f t="shared" ref="BG89:BG96" si="82">SUM(E89:W89)</f>
        <v>1561026.7</v>
      </c>
      <c r="BH89" s="4">
        <f t="shared" ref="BH89:BH96" si="83">SUM(X89:AJ89)</f>
        <v>140075</v>
      </c>
      <c r="BI89" s="4">
        <f t="shared" ref="BI89:BI96" si="84">SUM(AK89:BE89)</f>
        <v>1232235</v>
      </c>
    </row>
    <row r="90" spans="1:61" x14ac:dyDescent="0.25">
      <c r="C90">
        <v>601</v>
      </c>
      <c r="D90" t="s">
        <v>457</v>
      </c>
      <c r="E90" s="4">
        <v>118640</v>
      </c>
      <c r="F90" s="4">
        <v>0</v>
      </c>
      <c r="G90" s="4">
        <v>0</v>
      </c>
      <c r="H90" s="4">
        <v>0</v>
      </c>
      <c r="I90" s="4">
        <v>0</v>
      </c>
      <c r="J90" s="4">
        <v>0</v>
      </c>
      <c r="K90" s="4">
        <v>0</v>
      </c>
      <c r="L90" s="4">
        <v>0</v>
      </c>
      <c r="M90" s="4">
        <v>0</v>
      </c>
      <c r="N90" s="4">
        <v>0</v>
      </c>
      <c r="O90" s="4">
        <v>0</v>
      </c>
      <c r="P90" s="4">
        <v>13158.1</v>
      </c>
      <c r="Q90" s="4">
        <v>0</v>
      </c>
      <c r="R90" s="4">
        <v>0</v>
      </c>
      <c r="S90" s="4">
        <v>0</v>
      </c>
      <c r="T90" s="4">
        <v>0</v>
      </c>
      <c r="U90" s="4">
        <v>0</v>
      </c>
      <c r="V90" s="4">
        <v>0</v>
      </c>
      <c r="W90" s="4">
        <v>0</v>
      </c>
      <c r="X90" s="4">
        <v>0</v>
      </c>
      <c r="Y90" s="4">
        <v>0</v>
      </c>
      <c r="Z90" s="4">
        <v>0</v>
      </c>
      <c r="AA90" s="4">
        <v>0</v>
      </c>
      <c r="AB90" s="4">
        <v>0</v>
      </c>
      <c r="AC90" s="4">
        <v>0</v>
      </c>
      <c r="AD90" s="4">
        <v>0</v>
      </c>
      <c r="AE90" s="4">
        <v>0</v>
      </c>
      <c r="AF90" s="4">
        <v>0</v>
      </c>
      <c r="AG90" s="4">
        <v>0</v>
      </c>
      <c r="AH90" s="4">
        <v>0</v>
      </c>
      <c r="AI90" s="4">
        <v>0</v>
      </c>
      <c r="AJ90" s="4">
        <v>41250</v>
      </c>
      <c r="AK90" s="4">
        <v>0</v>
      </c>
      <c r="AL90" s="4">
        <v>0</v>
      </c>
      <c r="AM90" s="4">
        <v>0</v>
      </c>
      <c r="AN90" s="4">
        <v>0</v>
      </c>
      <c r="AO90" s="4">
        <v>0</v>
      </c>
      <c r="AP90" s="4">
        <v>0</v>
      </c>
      <c r="AQ90" s="4">
        <v>0</v>
      </c>
      <c r="AR90" s="4">
        <v>0</v>
      </c>
      <c r="AS90" s="4">
        <v>0</v>
      </c>
      <c r="AT90" s="4">
        <v>0</v>
      </c>
      <c r="AU90" s="4">
        <v>0</v>
      </c>
      <c r="AV90" s="4">
        <v>0</v>
      </c>
      <c r="AW90" s="4">
        <v>0</v>
      </c>
      <c r="AX90" s="4">
        <v>0</v>
      </c>
      <c r="AY90" s="4">
        <v>0</v>
      </c>
      <c r="AZ90" s="4">
        <v>0</v>
      </c>
      <c r="BA90" s="4">
        <v>0</v>
      </c>
      <c r="BB90" s="4">
        <v>0</v>
      </c>
      <c r="BC90" s="4">
        <v>0</v>
      </c>
      <c r="BD90" s="4">
        <v>0</v>
      </c>
      <c r="BE90" s="4">
        <v>0</v>
      </c>
      <c r="BF90" s="4">
        <f t="shared" si="81"/>
        <v>173048.1</v>
      </c>
      <c r="BG90" s="4">
        <f t="shared" si="82"/>
        <v>131798.1</v>
      </c>
      <c r="BH90" s="4">
        <f t="shared" si="83"/>
        <v>41250</v>
      </c>
      <c r="BI90" s="4">
        <f t="shared" si="84"/>
        <v>0</v>
      </c>
    </row>
    <row r="91" spans="1:61" x14ac:dyDescent="0.25">
      <c r="C91">
        <v>602</v>
      </c>
      <c r="D91" t="s">
        <v>458</v>
      </c>
      <c r="E91" s="4">
        <v>0</v>
      </c>
      <c r="F91" s="4">
        <v>0</v>
      </c>
      <c r="G91" s="4">
        <v>0</v>
      </c>
      <c r="H91" s="4">
        <v>0</v>
      </c>
      <c r="I91" s="4">
        <v>0</v>
      </c>
      <c r="J91" s="4">
        <v>0</v>
      </c>
      <c r="K91" s="4">
        <v>0</v>
      </c>
      <c r="L91" s="4">
        <v>0</v>
      </c>
      <c r="M91" s="4">
        <v>0</v>
      </c>
      <c r="N91" s="4">
        <v>0</v>
      </c>
      <c r="O91" s="4">
        <v>0</v>
      </c>
      <c r="P91" s="4">
        <v>0</v>
      </c>
      <c r="Q91" s="4">
        <v>0</v>
      </c>
      <c r="R91" s="4">
        <v>0</v>
      </c>
      <c r="S91" s="4">
        <v>0</v>
      </c>
      <c r="T91" s="4">
        <v>0</v>
      </c>
      <c r="U91" s="4">
        <v>0</v>
      </c>
      <c r="V91" s="4">
        <v>0</v>
      </c>
      <c r="W91" s="4">
        <v>0</v>
      </c>
      <c r="X91" s="4">
        <v>0</v>
      </c>
      <c r="Y91" s="4">
        <v>0</v>
      </c>
      <c r="Z91" s="4">
        <v>0</v>
      </c>
      <c r="AA91" s="4">
        <v>0</v>
      </c>
      <c r="AB91" s="4">
        <v>0</v>
      </c>
      <c r="AC91" s="4">
        <v>0</v>
      </c>
      <c r="AD91" s="4">
        <v>0</v>
      </c>
      <c r="AE91" s="4">
        <v>0</v>
      </c>
      <c r="AF91" s="4">
        <v>0</v>
      </c>
      <c r="AG91" s="4">
        <v>0</v>
      </c>
      <c r="AH91" s="4">
        <v>0</v>
      </c>
      <c r="AI91" s="4">
        <v>0</v>
      </c>
      <c r="AJ91" s="4">
        <v>0</v>
      </c>
      <c r="AK91" s="4">
        <v>0</v>
      </c>
      <c r="AL91" s="4">
        <v>0</v>
      </c>
      <c r="AM91" s="4">
        <v>0</v>
      </c>
      <c r="AN91" s="4">
        <v>0</v>
      </c>
      <c r="AO91" s="4">
        <v>0</v>
      </c>
      <c r="AP91" s="4">
        <v>0</v>
      </c>
      <c r="AQ91" s="4">
        <v>0</v>
      </c>
      <c r="AR91" s="4">
        <v>0</v>
      </c>
      <c r="AS91" s="4">
        <v>0</v>
      </c>
      <c r="AT91" s="4">
        <v>0</v>
      </c>
      <c r="AU91" s="4">
        <v>0</v>
      </c>
      <c r="AV91" s="4">
        <v>0</v>
      </c>
      <c r="AW91" s="4">
        <v>0</v>
      </c>
      <c r="AX91" s="4">
        <v>0</v>
      </c>
      <c r="AY91" s="4">
        <v>0</v>
      </c>
      <c r="AZ91" s="4">
        <v>0</v>
      </c>
      <c r="BA91" s="4">
        <v>0</v>
      </c>
      <c r="BB91" s="4">
        <v>0</v>
      </c>
      <c r="BC91" s="4">
        <v>0</v>
      </c>
      <c r="BD91" s="4">
        <v>0</v>
      </c>
      <c r="BE91" s="4">
        <v>0</v>
      </c>
      <c r="BF91" s="4">
        <f t="shared" si="81"/>
        <v>0</v>
      </c>
      <c r="BG91" s="4">
        <f t="shared" si="82"/>
        <v>0</v>
      </c>
      <c r="BH91" s="4">
        <f t="shared" si="83"/>
        <v>0</v>
      </c>
      <c r="BI91" s="4">
        <f t="shared" si="84"/>
        <v>0</v>
      </c>
    </row>
    <row r="92" spans="1:61" x14ac:dyDescent="0.25">
      <c r="C92">
        <v>603</v>
      </c>
      <c r="D92" t="s">
        <v>459</v>
      </c>
      <c r="E92" s="4">
        <v>0</v>
      </c>
      <c r="F92" s="4">
        <v>0</v>
      </c>
      <c r="G92" s="4">
        <v>0</v>
      </c>
      <c r="H92" s="4">
        <v>0</v>
      </c>
      <c r="I92" s="4">
        <v>0</v>
      </c>
      <c r="J92" s="4">
        <v>0</v>
      </c>
      <c r="K92" s="4">
        <v>0</v>
      </c>
      <c r="L92" s="4">
        <v>0</v>
      </c>
      <c r="M92" s="4">
        <v>0</v>
      </c>
      <c r="N92" s="4">
        <v>0</v>
      </c>
      <c r="O92" s="4">
        <v>0</v>
      </c>
      <c r="P92" s="4">
        <v>0</v>
      </c>
      <c r="Q92" s="4">
        <v>0</v>
      </c>
      <c r="R92" s="4">
        <v>0</v>
      </c>
      <c r="S92" s="4">
        <v>83953</v>
      </c>
      <c r="T92" s="4">
        <v>0</v>
      </c>
      <c r="U92" s="4">
        <v>0</v>
      </c>
      <c r="V92" s="4">
        <v>0</v>
      </c>
      <c r="W92" s="4">
        <v>0</v>
      </c>
      <c r="X92" s="4">
        <v>0</v>
      </c>
      <c r="Y92" s="4">
        <v>0</v>
      </c>
      <c r="Z92" s="4">
        <v>0</v>
      </c>
      <c r="AA92" s="4">
        <v>14730</v>
      </c>
      <c r="AB92" s="4">
        <v>0</v>
      </c>
      <c r="AC92" s="4">
        <v>0</v>
      </c>
      <c r="AD92" s="4">
        <v>0</v>
      </c>
      <c r="AE92" s="4">
        <v>0</v>
      </c>
      <c r="AF92" s="4">
        <v>0</v>
      </c>
      <c r="AG92" s="4">
        <v>0</v>
      </c>
      <c r="AH92" s="4">
        <v>0</v>
      </c>
      <c r="AI92" s="4">
        <v>0</v>
      </c>
      <c r="AJ92" s="4">
        <v>0</v>
      </c>
      <c r="AK92" s="4">
        <v>0</v>
      </c>
      <c r="AL92" s="4">
        <v>100000</v>
      </c>
      <c r="AM92" s="4">
        <v>0</v>
      </c>
      <c r="AN92" s="4">
        <v>0</v>
      </c>
      <c r="AO92" s="4">
        <v>0</v>
      </c>
      <c r="AP92" s="4">
        <v>0</v>
      </c>
      <c r="AQ92" s="4">
        <v>0</v>
      </c>
      <c r="AR92" s="4">
        <v>0</v>
      </c>
      <c r="AS92" s="4">
        <v>0</v>
      </c>
      <c r="AT92" s="4">
        <v>0</v>
      </c>
      <c r="AU92" s="4">
        <v>0</v>
      </c>
      <c r="AV92" s="4">
        <v>0</v>
      </c>
      <c r="AW92" s="4">
        <v>0</v>
      </c>
      <c r="AX92" s="4">
        <v>0</v>
      </c>
      <c r="AY92" s="4">
        <v>0</v>
      </c>
      <c r="AZ92" s="4">
        <v>0</v>
      </c>
      <c r="BA92" s="4">
        <v>0</v>
      </c>
      <c r="BB92" s="4">
        <v>0</v>
      </c>
      <c r="BC92" s="4">
        <v>0</v>
      </c>
      <c r="BD92" s="4">
        <v>0</v>
      </c>
      <c r="BE92" s="4">
        <v>0</v>
      </c>
      <c r="BF92" s="4">
        <f t="shared" si="81"/>
        <v>198683</v>
      </c>
      <c r="BG92" s="4">
        <f t="shared" si="82"/>
        <v>83953</v>
      </c>
      <c r="BH92" s="4">
        <f t="shared" si="83"/>
        <v>14730</v>
      </c>
      <c r="BI92" s="4">
        <f t="shared" si="84"/>
        <v>100000</v>
      </c>
    </row>
    <row r="93" spans="1:61" x14ac:dyDescent="0.25">
      <c r="C93">
        <v>604</v>
      </c>
      <c r="D93" t="s">
        <v>460</v>
      </c>
      <c r="E93" s="4">
        <v>0</v>
      </c>
      <c r="F93" s="4">
        <v>0</v>
      </c>
      <c r="G93" s="4">
        <v>0</v>
      </c>
      <c r="H93" s="4">
        <v>0</v>
      </c>
      <c r="I93" s="4">
        <v>0</v>
      </c>
      <c r="J93" s="4">
        <v>0</v>
      </c>
      <c r="K93" s="4">
        <v>0</v>
      </c>
      <c r="L93" s="4">
        <v>0</v>
      </c>
      <c r="M93" s="4">
        <v>0</v>
      </c>
      <c r="N93" s="4">
        <v>0</v>
      </c>
      <c r="O93" s="4">
        <v>0</v>
      </c>
      <c r="P93" s="4">
        <v>0</v>
      </c>
      <c r="Q93" s="4">
        <v>0</v>
      </c>
      <c r="R93" s="4">
        <v>0</v>
      </c>
      <c r="S93" s="4">
        <v>0</v>
      </c>
      <c r="T93" s="4">
        <v>0</v>
      </c>
      <c r="U93" s="4">
        <v>0</v>
      </c>
      <c r="V93" s="4">
        <v>0</v>
      </c>
      <c r="W93" s="4">
        <v>0</v>
      </c>
      <c r="X93" s="4">
        <v>0</v>
      </c>
      <c r="Y93" s="4">
        <v>0</v>
      </c>
      <c r="Z93" s="4">
        <v>0</v>
      </c>
      <c r="AA93" s="4">
        <v>0</v>
      </c>
      <c r="AB93" s="4">
        <v>0</v>
      </c>
      <c r="AC93" s="4">
        <v>0</v>
      </c>
      <c r="AD93" s="4">
        <v>8760</v>
      </c>
      <c r="AE93" s="4">
        <v>0</v>
      </c>
      <c r="AF93" s="4">
        <v>0</v>
      </c>
      <c r="AG93" s="4">
        <v>0</v>
      </c>
      <c r="AH93" s="4">
        <v>0</v>
      </c>
      <c r="AI93" s="4">
        <v>0</v>
      </c>
      <c r="AJ93" s="4">
        <v>0</v>
      </c>
      <c r="AK93" s="4">
        <v>0</v>
      </c>
      <c r="AL93" s="4">
        <v>0</v>
      </c>
      <c r="AM93" s="4">
        <v>0</v>
      </c>
      <c r="AN93" s="4">
        <v>0</v>
      </c>
      <c r="AO93" s="4">
        <v>0</v>
      </c>
      <c r="AP93" s="4">
        <v>0</v>
      </c>
      <c r="AQ93" s="4">
        <v>0</v>
      </c>
      <c r="AR93" s="4">
        <v>0</v>
      </c>
      <c r="AS93" s="4">
        <v>0</v>
      </c>
      <c r="AT93" s="4">
        <v>0</v>
      </c>
      <c r="AU93" s="4">
        <v>0</v>
      </c>
      <c r="AV93" s="4">
        <v>0</v>
      </c>
      <c r="AW93" s="4">
        <v>0</v>
      </c>
      <c r="AX93" s="4">
        <v>0</v>
      </c>
      <c r="AY93" s="4">
        <v>0</v>
      </c>
      <c r="AZ93" s="4">
        <v>0</v>
      </c>
      <c r="BA93" s="4">
        <v>0</v>
      </c>
      <c r="BB93" s="4">
        <v>0</v>
      </c>
      <c r="BC93" s="4">
        <v>0</v>
      </c>
      <c r="BD93" s="4">
        <v>63734.85</v>
      </c>
      <c r="BE93" s="4">
        <v>0</v>
      </c>
      <c r="BF93" s="4">
        <f t="shared" si="81"/>
        <v>72494.850000000006</v>
      </c>
      <c r="BG93" s="4">
        <f t="shared" si="82"/>
        <v>0</v>
      </c>
      <c r="BH93" s="4">
        <f t="shared" si="83"/>
        <v>8760</v>
      </c>
      <c r="BI93" s="4">
        <f t="shared" si="84"/>
        <v>63734.85</v>
      </c>
    </row>
    <row r="94" spans="1:61" x14ac:dyDescent="0.25">
      <c r="C94">
        <v>605</v>
      </c>
      <c r="D94" t="s">
        <v>461</v>
      </c>
      <c r="E94" s="4">
        <v>0</v>
      </c>
      <c r="F94" s="4">
        <v>0</v>
      </c>
      <c r="G94" s="4">
        <v>0</v>
      </c>
      <c r="H94" s="4">
        <v>0</v>
      </c>
      <c r="I94" s="4">
        <v>0</v>
      </c>
      <c r="J94" s="4">
        <v>0</v>
      </c>
      <c r="K94" s="4">
        <v>0</v>
      </c>
      <c r="L94" s="4">
        <v>0</v>
      </c>
      <c r="M94" s="4">
        <v>0</v>
      </c>
      <c r="N94" s="4">
        <v>0</v>
      </c>
      <c r="O94" s="4">
        <v>0</v>
      </c>
      <c r="P94" s="4">
        <v>0</v>
      </c>
      <c r="Q94" s="4">
        <v>0</v>
      </c>
      <c r="R94" s="4">
        <v>0</v>
      </c>
      <c r="S94" s="4">
        <v>0</v>
      </c>
      <c r="T94" s="4">
        <v>0</v>
      </c>
      <c r="U94" s="4">
        <v>0</v>
      </c>
      <c r="V94" s="4">
        <v>0</v>
      </c>
      <c r="W94" s="4">
        <v>0</v>
      </c>
      <c r="X94" s="4">
        <v>0</v>
      </c>
      <c r="Y94" s="4">
        <v>0</v>
      </c>
      <c r="Z94" s="4">
        <v>0</v>
      </c>
      <c r="AA94" s="4">
        <v>0</v>
      </c>
      <c r="AB94" s="4">
        <v>0</v>
      </c>
      <c r="AC94" s="4">
        <v>0</v>
      </c>
      <c r="AD94" s="4">
        <v>0</v>
      </c>
      <c r="AE94" s="4">
        <v>0</v>
      </c>
      <c r="AF94" s="4">
        <v>0</v>
      </c>
      <c r="AG94" s="4">
        <v>0</v>
      </c>
      <c r="AH94" s="4">
        <v>0</v>
      </c>
      <c r="AI94" s="4">
        <v>0</v>
      </c>
      <c r="AJ94" s="4">
        <v>0</v>
      </c>
      <c r="AK94" s="4">
        <v>0</v>
      </c>
      <c r="AL94" s="4">
        <v>0</v>
      </c>
      <c r="AM94" s="4">
        <v>0</v>
      </c>
      <c r="AN94" s="4">
        <v>0</v>
      </c>
      <c r="AO94" s="4">
        <v>0</v>
      </c>
      <c r="AP94" s="4">
        <v>0</v>
      </c>
      <c r="AQ94" s="4">
        <v>0</v>
      </c>
      <c r="AR94" s="4">
        <v>0</v>
      </c>
      <c r="AS94" s="4">
        <v>0</v>
      </c>
      <c r="AT94" s="4">
        <v>0</v>
      </c>
      <c r="AU94" s="4">
        <v>0</v>
      </c>
      <c r="AV94" s="4">
        <v>0</v>
      </c>
      <c r="AW94" s="4">
        <v>0</v>
      </c>
      <c r="AX94" s="4">
        <v>0</v>
      </c>
      <c r="AY94" s="4">
        <v>0</v>
      </c>
      <c r="AZ94" s="4">
        <v>0</v>
      </c>
      <c r="BA94" s="4">
        <v>0</v>
      </c>
      <c r="BB94" s="4">
        <v>0</v>
      </c>
      <c r="BC94" s="4">
        <v>0</v>
      </c>
      <c r="BD94" s="4">
        <v>0</v>
      </c>
      <c r="BE94" s="4">
        <v>0</v>
      </c>
      <c r="BF94" s="4">
        <f t="shared" si="81"/>
        <v>0</v>
      </c>
      <c r="BG94" s="4">
        <f t="shared" si="82"/>
        <v>0</v>
      </c>
      <c r="BH94" s="4">
        <f t="shared" si="83"/>
        <v>0</v>
      </c>
      <c r="BI94" s="4">
        <f t="shared" si="84"/>
        <v>0</v>
      </c>
    </row>
    <row r="95" spans="1:61" x14ac:dyDescent="0.25">
      <c r="C95">
        <v>606</v>
      </c>
      <c r="D95" t="s">
        <v>462</v>
      </c>
      <c r="E95" s="4">
        <v>0</v>
      </c>
      <c r="F95" s="4">
        <v>0</v>
      </c>
      <c r="G95" s="4">
        <v>0</v>
      </c>
      <c r="H95" s="4">
        <v>0</v>
      </c>
      <c r="I95" s="4">
        <v>0</v>
      </c>
      <c r="J95" s="4">
        <v>0</v>
      </c>
      <c r="K95" s="4">
        <v>0</v>
      </c>
      <c r="L95" s="4">
        <v>0</v>
      </c>
      <c r="M95" s="4">
        <v>0</v>
      </c>
      <c r="N95" s="4">
        <v>0</v>
      </c>
      <c r="O95" s="4">
        <v>0</v>
      </c>
      <c r="P95" s="4">
        <v>0</v>
      </c>
      <c r="Q95" s="4">
        <v>0</v>
      </c>
      <c r="R95" s="4">
        <v>0</v>
      </c>
      <c r="S95" s="4">
        <v>0</v>
      </c>
      <c r="T95" s="4">
        <v>0</v>
      </c>
      <c r="U95" s="4">
        <v>0</v>
      </c>
      <c r="V95" s="4">
        <v>0</v>
      </c>
      <c r="W95" s="4">
        <v>0</v>
      </c>
      <c r="X95" s="4">
        <v>0</v>
      </c>
      <c r="Y95" s="4">
        <v>0</v>
      </c>
      <c r="Z95" s="4">
        <v>0</v>
      </c>
      <c r="AA95" s="4">
        <v>0</v>
      </c>
      <c r="AB95" s="4">
        <v>0</v>
      </c>
      <c r="AC95" s="4">
        <v>0</v>
      </c>
      <c r="AD95" s="4">
        <v>0</v>
      </c>
      <c r="AE95" s="4">
        <v>0</v>
      </c>
      <c r="AF95" s="4">
        <v>0</v>
      </c>
      <c r="AG95" s="4">
        <v>0</v>
      </c>
      <c r="AH95" s="4">
        <v>17168.55</v>
      </c>
      <c r="AI95" s="4">
        <v>0</v>
      </c>
      <c r="AJ95" s="4">
        <v>0</v>
      </c>
      <c r="AK95" s="4">
        <v>0</v>
      </c>
      <c r="AL95" s="4">
        <v>0</v>
      </c>
      <c r="AM95" s="4">
        <v>0</v>
      </c>
      <c r="AN95" s="4">
        <v>0</v>
      </c>
      <c r="AO95" s="4">
        <v>0</v>
      </c>
      <c r="AP95" s="4">
        <v>0</v>
      </c>
      <c r="AQ95" s="4">
        <v>953.5</v>
      </c>
      <c r="AR95" s="4">
        <v>0</v>
      </c>
      <c r="AS95" s="4">
        <v>0</v>
      </c>
      <c r="AT95" s="4">
        <v>0</v>
      </c>
      <c r="AU95" s="4">
        <v>0</v>
      </c>
      <c r="AV95" s="4">
        <v>0</v>
      </c>
      <c r="AW95" s="4">
        <v>0</v>
      </c>
      <c r="AX95" s="4">
        <v>0</v>
      </c>
      <c r="AY95" s="4">
        <v>0</v>
      </c>
      <c r="AZ95" s="4">
        <v>0</v>
      </c>
      <c r="BA95" s="4">
        <v>0</v>
      </c>
      <c r="BB95" s="4">
        <v>0</v>
      </c>
      <c r="BC95" s="4">
        <v>0</v>
      </c>
      <c r="BD95" s="4">
        <v>0</v>
      </c>
      <c r="BE95" s="4">
        <v>0</v>
      </c>
      <c r="BF95" s="4">
        <f t="shared" si="81"/>
        <v>18122.05</v>
      </c>
      <c r="BG95" s="4">
        <f t="shared" si="82"/>
        <v>0</v>
      </c>
      <c r="BH95" s="4">
        <f t="shared" si="83"/>
        <v>17168.55</v>
      </c>
      <c r="BI95" s="4">
        <f t="shared" si="84"/>
        <v>953.5</v>
      </c>
    </row>
    <row r="96" spans="1:61" x14ac:dyDescent="0.25">
      <c r="C96">
        <v>609</v>
      </c>
      <c r="D96" t="s">
        <v>463</v>
      </c>
      <c r="E96" s="4">
        <v>0</v>
      </c>
      <c r="F96" s="4">
        <v>0</v>
      </c>
      <c r="G96" s="4">
        <v>0</v>
      </c>
      <c r="H96" s="4">
        <v>0</v>
      </c>
      <c r="I96" s="4">
        <v>0</v>
      </c>
      <c r="J96" s="4">
        <v>0</v>
      </c>
      <c r="K96" s="4">
        <v>0</v>
      </c>
      <c r="L96" s="4">
        <v>0</v>
      </c>
      <c r="M96" s="4">
        <v>0</v>
      </c>
      <c r="N96" s="4">
        <v>0</v>
      </c>
      <c r="O96" s="4">
        <v>0</v>
      </c>
      <c r="P96" s="4">
        <v>0</v>
      </c>
      <c r="Q96" s="4">
        <v>0</v>
      </c>
      <c r="R96" s="4">
        <v>0</v>
      </c>
      <c r="S96" s="4">
        <v>0</v>
      </c>
      <c r="T96" s="4">
        <v>0</v>
      </c>
      <c r="U96" s="4">
        <v>0</v>
      </c>
      <c r="V96" s="4">
        <v>0</v>
      </c>
      <c r="W96" s="4">
        <v>0</v>
      </c>
      <c r="X96" s="4">
        <v>0</v>
      </c>
      <c r="Y96" s="4">
        <v>2139.1999999999998</v>
      </c>
      <c r="Z96" s="4">
        <v>0</v>
      </c>
      <c r="AA96" s="4">
        <v>0</v>
      </c>
      <c r="AB96" s="4">
        <v>0</v>
      </c>
      <c r="AC96" s="4">
        <v>0</v>
      </c>
      <c r="AD96" s="4">
        <v>0</v>
      </c>
      <c r="AE96" s="4">
        <v>0</v>
      </c>
      <c r="AF96" s="4">
        <v>0</v>
      </c>
      <c r="AG96" s="4">
        <v>0</v>
      </c>
      <c r="AH96" s="4">
        <v>0</v>
      </c>
      <c r="AI96" s="4">
        <v>0</v>
      </c>
      <c r="AJ96" s="4">
        <v>0</v>
      </c>
      <c r="AK96" s="4">
        <v>0</v>
      </c>
      <c r="AL96" s="4">
        <v>0</v>
      </c>
      <c r="AM96" s="4">
        <v>0</v>
      </c>
      <c r="AN96" s="4">
        <v>0</v>
      </c>
      <c r="AO96" s="4">
        <v>0</v>
      </c>
      <c r="AP96" s="4">
        <v>0</v>
      </c>
      <c r="AQ96" s="4">
        <v>0</v>
      </c>
      <c r="AR96" s="4">
        <v>0</v>
      </c>
      <c r="AS96" s="4">
        <v>0</v>
      </c>
      <c r="AT96" s="4">
        <v>0</v>
      </c>
      <c r="AU96" s="4">
        <v>0</v>
      </c>
      <c r="AV96" s="4">
        <v>0</v>
      </c>
      <c r="AW96" s="4">
        <v>0</v>
      </c>
      <c r="AX96" s="4">
        <v>0</v>
      </c>
      <c r="AY96" s="4">
        <v>0</v>
      </c>
      <c r="AZ96" s="4">
        <v>0</v>
      </c>
      <c r="BA96" s="4">
        <v>0</v>
      </c>
      <c r="BB96" s="4">
        <v>0</v>
      </c>
      <c r="BC96" s="4">
        <v>0</v>
      </c>
      <c r="BD96" s="4">
        <v>0</v>
      </c>
      <c r="BE96" s="4">
        <v>0</v>
      </c>
      <c r="BF96" s="4">
        <f t="shared" si="81"/>
        <v>2139.1999999999998</v>
      </c>
      <c r="BG96" s="4">
        <f t="shared" si="82"/>
        <v>0</v>
      </c>
      <c r="BH96" s="4">
        <f t="shared" si="83"/>
        <v>2139.1999999999998</v>
      </c>
      <c r="BI96" s="4">
        <f t="shared" si="84"/>
        <v>0</v>
      </c>
    </row>
    <row r="97" spans="2:61" x14ac:dyDescent="0.25">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row>
    <row r="98" spans="2:61" x14ac:dyDescent="0.25">
      <c r="B98" s="87">
        <v>61</v>
      </c>
      <c r="C98" s="87"/>
      <c r="D98" s="87" t="s">
        <v>483</v>
      </c>
      <c r="E98" s="85">
        <f>E99+E100+E101+E102+E103+E104+E105+E106</f>
        <v>0</v>
      </c>
      <c r="F98" s="85">
        <f t="shared" ref="F98:BI98" si="85">F99+F100+F101+F102+F103+F104+F105+F106</f>
        <v>180202</v>
      </c>
      <c r="G98" s="85">
        <f t="shared" si="85"/>
        <v>0</v>
      </c>
      <c r="H98" s="85">
        <f t="shared" si="85"/>
        <v>0</v>
      </c>
      <c r="I98" s="85">
        <f t="shared" si="85"/>
        <v>0</v>
      </c>
      <c r="J98" s="85">
        <f t="shared" si="85"/>
        <v>0</v>
      </c>
      <c r="K98" s="85">
        <f t="shared" si="85"/>
        <v>0</v>
      </c>
      <c r="L98" s="85">
        <f t="shared" si="85"/>
        <v>0</v>
      </c>
      <c r="M98" s="85">
        <f t="shared" si="85"/>
        <v>3798.2</v>
      </c>
      <c r="N98" s="85">
        <f t="shared" si="85"/>
        <v>0</v>
      </c>
      <c r="O98" s="85">
        <f t="shared" si="85"/>
        <v>172175.3</v>
      </c>
      <c r="P98" s="85">
        <f t="shared" si="85"/>
        <v>0</v>
      </c>
      <c r="Q98" s="85">
        <f t="shared" si="85"/>
        <v>0</v>
      </c>
      <c r="R98" s="85">
        <f t="shared" si="85"/>
        <v>0</v>
      </c>
      <c r="S98" s="85">
        <f t="shared" si="85"/>
        <v>0</v>
      </c>
      <c r="T98" s="85">
        <f t="shared" si="85"/>
        <v>0</v>
      </c>
      <c r="U98" s="85">
        <f t="shared" si="85"/>
        <v>406138.55</v>
      </c>
      <c r="V98" s="85">
        <f t="shared" si="85"/>
        <v>0</v>
      </c>
      <c r="W98" s="85">
        <f t="shared" si="85"/>
        <v>173500</v>
      </c>
      <c r="X98" s="85">
        <f t="shared" si="85"/>
        <v>60000</v>
      </c>
      <c r="Y98" s="85">
        <f t="shared" si="85"/>
        <v>4000</v>
      </c>
      <c r="Z98" s="85">
        <f t="shared" si="85"/>
        <v>42760</v>
      </c>
      <c r="AA98" s="85">
        <f t="shared" si="85"/>
        <v>0</v>
      </c>
      <c r="AB98" s="85">
        <f t="shared" si="85"/>
        <v>0</v>
      </c>
      <c r="AC98" s="85">
        <f t="shared" si="85"/>
        <v>0</v>
      </c>
      <c r="AD98" s="85">
        <f t="shared" si="85"/>
        <v>16386.989999999998</v>
      </c>
      <c r="AE98" s="85">
        <f t="shared" si="85"/>
        <v>500730.5</v>
      </c>
      <c r="AF98" s="85">
        <f t="shared" si="85"/>
        <v>0</v>
      </c>
      <c r="AG98" s="85">
        <f t="shared" si="85"/>
        <v>91137.25</v>
      </c>
      <c r="AH98" s="85">
        <f t="shared" si="85"/>
        <v>91789.2</v>
      </c>
      <c r="AI98" s="85">
        <f t="shared" si="85"/>
        <v>85000</v>
      </c>
      <c r="AJ98" s="85">
        <f t="shared" si="85"/>
        <v>0</v>
      </c>
      <c r="AK98" s="85">
        <f t="shared" si="85"/>
        <v>0</v>
      </c>
      <c r="AL98" s="85">
        <f t="shared" si="85"/>
        <v>0</v>
      </c>
      <c r="AM98" s="85">
        <f t="shared" si="85"/>
        <v>77025</v>
      </c>
      <c r="AN98" s="85">
        <f t="shared" si="85"/>
        <v>0</v>
      </c>
      <c r="AO98" s="85">
        <f t="shared" si="85"/>
        <v>0</v>
      </c>
      <c r="AP98" s="85">
        <f t="shared" si="85"/>
        <v>928.5</v>
      </c>
      <c r="AQ98" s="85">
        <f t="shared" si="85"/>
        <v>0</v>
      </c>
      <c r="AR98" s="85">
        <f t="shared" si="85"/>
        <v>18500</v>
      </c>
      <c r="AS98" s="85">
        <f t="shared" si="85"/>
        <v>0</v>
      </c>
      <c r="AT98" s="85">
        <f t="shared" si="85"/>
        <v>0</v>
      </c>
      <c r="AU98" s="85">
        <f t="shared" si="85"/>
        <v>178423.5</v>
      </c>
      <c r="AV98" s="85">
        <f t="shared" si="85"/>
        <v>0</v>
      </c>
      <c r="AW98" s="85">
        <f t="shared" si="85"/>
        <v>0</v>
      </c>
      <c r="AX98" s="85">
        <f t="shared" si="85"/>
        <v>0</v>
      </c>
      <c r="AY98" s="85">
        <f t="shared" si="85"/>
        <v>0</v>
      </c>
      <c r="AZ98" s="85">
        <f t="shared" si="85"/>
        <v>0</v>
      </c>
      <c r="BA98" s="85">
        <f t="shared" si="85"/>
        <v>0</v>
      </c>
      <c r="BB98" s="85">
        <f t="shared" si="85"/>
        <v>0</v>
      </c>
      <c r="BC98" s="85">
        <f t="shared" si="85"/>
        <v>0</v>
      </c>
      <c r="BD98" s="85">
        <f t="shared" si="85"/>
        <v>19312.849999999999</v>
      </c>
      <c r="BE98" s="85">
        <f t="shared" si="85"/>
        <v>0</v>
      </c>
      <c r="BF98" s="85">
        <f t="shared" si="85"/>
        <v>2121807.84</v>
      </c>
      <c r="BG98" s="85">
        <f t="shared" si="85"/>
        <v>935814.04999999993</v>
      </c>
      <c r="BH98" s="85">
        <f t="shared" si="85"/>
        <v>891803.94000000006</v>
      </c>
      <c r="BI98" s="85">
        <f t="shared" si="85"/>
        <v>294189.84999999998</v>
      </c>
    </row>
    <row r="99" spans="2:61" x14ac:dyDescent="0.25">
      <c r="C99">
        <v>610</v>
      </c>
      <c r="D99" t="s">
        <v>456</v>
      </c>
      <c r="E99" s="4">
        <v>0</v>
      </c>
      <c r="F99" s="4">
        <v>0</v>
      </c>
      <c r="G99" s="4">
        <v>0</v>
      </c>
      <c r="H99" s="4">
        <v>0</v>
      </c>
      <c r="I99" s="4">
        <v>0</v>
      </c>
      <c r="J99" s="4">
        <v>0</v>
      </c>
      <c r="K99" s="4">
        <v>0</v>
      </c>
      <c r="L99" s="4">
        <v>0</v>
      </c>
      <c r="M99" s="4">
        <v>0</v>
      </c>
      <c r="N99" s="4">
        <v>0</v>
      </c>
      <c r="O99" s="4">
        <v>0</v>
      </c>
      <c r="P99" s="4">
        <v>0</v>
      </c>
      <c r="Q99" s="4">
        <v>0</v>
      </c>
      <c r="R99" s="4">
        <v>0</v>
      </c>
      <c r="S99" s="4">
        <v>0</v>
      </c>
      <c r="T99" s="4">
        <v>0</v>
      </c>
      <c r="U99" s="4">
        <v>0</v>
      </c>
      <c r="V99" s="4">
        <v>0</v>
      </c>
      <c r="W99" s="4">
        <v>0</v>
      </c>
      <c r="X99" s="4">
        <v>0</v>
      </c>
      <c r="Y99" s="4">
        <v>0</v>
      </c>
      <c r="Z99" s="4">
        <v>0</v>
      </c>
      <c r="AA99" s="4">
        <v>0</v>
      </c>
      <c r="AB99" s="4">
        <v>0</v>
      </c>
      <c r="AC99" s="4">
        <v>0</v>
      </c>
      <c r="AD99" s="4">
        <v>0</v>
      </c>
      <c r="AE99" s="4">
        <v>0</v>
      </c>
      <c r="AF99" s="4">
        <v>0</v>
      </c>
      <c r="AG99" s="4">
        <v>0</v>
      </c>
      <c r="AH99" s="4">
        <v>91789.2</v>
      </c>
      <c r="AI99" s="4">
        <v>0</v>
      </c>
      <c r="AJ99" s="4">
        <v>0</v>
      </c>
      <c r="AK99" s="4">
        <v>0</v>
      </c>
      <c r="AL99" s="4">
        <v>0</v>
      </c>
      <c r="AM99" s="4">
        <v>77025</v>
      </c>
      <c r="AN99" s="4">
        <v>0</v>
      </c>
      <c r="AO99" s="4">
        <v>0</v>
      </c>
      <c r="AP99" s="4">
        <v>0</v>
      </c>
      <c r="AQ99" s="4">
        <v>0</v>
      </c>
      <c r="AR99" s="4">
        <v>0</v>
      </c>
      <c r="AS99" s="4">
        <v>0</v>
      </c>
      <c r="AT99" s="4">
        <v>0</v>
      </c>
      <c r="AU99" s="4">
        <v>178423.5</v>
      </c>
      <c r="AV99" s="4">
        <v>0</v>
      </c>
      <c r="AW99" s="4">
        <v>0</v>
      </c>
      <c r="AX99" s="4">
        <v>0</v>
      </c>
      <c r="AY99" s="4">
        <v>0</v>
      </c>
      <c r="AZ99" s="4">
        <v>0</v>
      </c>
      <c r="BA99" s="4">
        <v>0</v>
      </c>
      <c r="BB99" s="4">
        <v>0</v>
      </c>
      <c r="BC99" s="4">
        <v>0</v>
      </c>
      <c r="BD99" s="4">
        <v>0</v>
      </c>
      <c r="BE99" s="4">
        <v>0</v>
      </c>
      <c r="BF99" s="4">
        <f t="shared" ref="BF99:BF106" si="86">SUM(E99:BE99)</f>
        <v>347237.7</v>
      </c>
      <c r="BG99" s="4">
        <f t="shared" ref="BG99:BG106" si="87">SUM(E99:W99)</f>
        <v>0</v>
      </c>
      <c r="BH99" s="4">
        <f t="shared" ref="BH99:BH106" si="88">SUM(X99:AJ99)</f>
        <v>91789.2</v>
      </c>
      <c r="BI99" s="4">
        <f t="shared" ref="BI99:BI106" si="89">SUM(AK99:BE99)</f>
        <v>255448.5</v>
      </c>
    </row>
    <row r="100" spans="2:61" x14ac:dyDescent="0.25">
      <c r="C100">
        <v>611</v>
      </c>
      <c r="D100" t="s">
        <v>457</v>
      </c>
      <c r="E100" s="4">
        <v>0</v>
      </c>
      <c r="F100" s="4">
        <v>180202</v>
      </c>
      <c r="G100" s="4">
        <v>0</v>
      </c>
      <c r="H100" s="4">
        <v>0</v>
      </c>
      <c r="I100" s="4">
        <v>0</v>
      </c>
      <c r="J100" s="4">
        <v>0</v>
      </c>
      <c r="K100" s="4">
        <v>0</v>
      </c>
      <c r="L100" s="4">
        <v>0</v>
      </c>
      <c r="M100" s="4">
        <v>0</v>
      </c>
      <c r="N100" s="4">
        <v>0</v>
      </c>
      <c r="O100" s="4">
        <v>59314.400000000001</v>
      </c>
      <c r="P100" s="4">
        <v>0</v>
      </c>
      <c r="Q100" s="4">
        <v>0</v>
      </c>
      <c r="R100" s="4">
        <v>0</v>
      </c>
      <c r="S100" s="4">
        <v>0</v>
      </c>
      <c r="T100" s="4">
        <v>0</v>
      </c>
      <c r="U100" s="4">
        <v>406138.55</v>
      </c>
      <c r="V100" s="4">
        <v>0</v>
      </c>
      <c r="W100" s="4">
        <v>0</v>
      </c>
      <c r="X100" s="4">
        <v>0</v>
      </c>
      <c r="Y100" s="4">
        <v>0</v>
      </c>
      <c r="Z100" s="4">
        <v>0</v>
      </c>
      <c r="AA100" s="4">
        <v>0</v>
      </c>
      <c r="AB100" s="4">
        <v>0</v>
      </c>
      <c r="AC100" s="4">
        <v>0</v>
      </c>
      <c r="AD100" s="4">
        <v>0</v>
      </c>
      <c r="AE100" s="4">
        <v>46655</v>
      </c>
      <c r="AF100" s="4">
        <v>0</v>
      </c>
      <c r="AG100" s="4">
        <v>0</v>
      </c>
      <c r="AH100" s="4">
        <v>0</v>
      </c>
      <c r="AI100" s="4">
        <v>0</v>
      </c>
      <c r="AJ100" s="4">
        <v>0</v>
      </c>
      <c r="AK100" s="4">
        <v>0</v>
      </c>
      <c r="AL100" s="4">
        <v>0</v>
      </c>
      <c r="AM100" s="4">
        <v>0</v>
      </c>
      <c r="AN100" s="4">
        <v>0</v>
      </c>
      <c r="AO100" s="4">
        <v>0</v>
      </c>
      <c r="AP100" s="4">
        <v>0</v>
      </c>
      <c r="AQ100" s="4">
        <v>0</v>
      </c>
      <c r="AR100" s="4">
        <v>18500</v>
      </c>
      <c r="AS100" s="4">
        <v>0</v>
      </c>
      <c r="AT100" s="4">
        <v>0</v>
      </c>
      <c r="AU100" s="4">
        <v>0</v>
      </c>
      <c r="AV100" s="4">
        <v>0</v>
      </c>
      <c r="AW100" s="4">
        <v>0</v>
      </c>
      <c r="AX100" s="4">
        <v>0</v>
      </c>
      <c r="AY100" s="4">
        <v>0</v>
      </c>
      <c r="AZ100" s="4">
        <v>0</v>
      </c>
      <c r="BA100" s="4">
        <v>0</v>
      </c>
      <c r="BB100" s="4">
        <v>0</v>
      </c>
      <c r="BC100" s="4">
        <v>0</v>
      </c>
      <c r="BD100" s="4">
        <v>0</v>
      </c>
      <c r="BE100" s="4">
        <v>0</v>
      </c>
      <c r="BF100" s="4">
        <f t="shared" si="86"/>
        <v>710809.95</v>
      </c>
      <c r="BG100" s="4">
        <f t="shared" si="87"/>
        <v>645654.94999999995</v>
      </c>
      <c r="BH100" s="4">
        <f t="shared" si="88"/>
        <v>46655</v>
      </c>
      <c r="BI100" s="4">
        <f t="shared" si="89"/>
        <v>18500</v>
      </c>
    </row>
    <row r="101" spans="2:61" x14ac:dyDescent="0.25">
      <c r="C101">
        <v>612</v>
      </c>
      <c r="D101" t="s">
        <v>458</v>
      </c>
      <c r="E101" s="4">
        <v>0</v>
      </c>
      <c r="F101" s="4">
        <v>0</v>
      </c>
      <c r="G101" s="4">
        <v>0</v>
      </c>
      <c r="H101" s="4">
        <v>0</v>
      </c>
      <c r="I101" s="4">
        <v>0</v>
      </c>
      <c r="J101" s="4">
        <v>0</v>
      </c>
      <c r="K101" s="4">
        <v>0</v>
      </c>
      <c r="L101" s="4">
        <v>0</v>
      </c>
      <c r="M101" s="4">
        <v>0</v>
      </c>
      <c r="N101" s="4">
        <v>0</v>
      </c>
      <c r="O101" s="4">
        <v>112860.9</v>
      </c>
      <c r="P101" s="4">
        <v>0</v>
      </c>
      <c r="Q101" s="4">
        <v>0</v>
      </c>
      <c r="R101" s="4">
        <v>0</v>
      </c>
      <c r="S101" s="4">
        <v>0</v>
      </c>
      <c r="T101" s="4">
        <v>0</v>
      </c>
      <c r="U101" s="4">
        <v>0</v>
      </c>
      <c r="V101" s="4">
        <v>0</v>
      </c>
      <c r="W101" s="4">
        <v>135500</v>
      </c>
      <c r="X101" s="4">
        <v>0</v>
      </c>
      <c r="Y101" s="4">
        <v>0</v>
      </c>
      <c r="Z101" s="4">
        <v>0</v>
      </c>
      <c r="AA101" s="4">
        <v>0</v>
      </c>
      <c r="AB101" s="4">
        <v>0</v>
      </c>
      <c r="AC101" s="4">
        <v>0</v>
      </c>
      <c r="AD101" s="4">
        <v>0</v>
      </c>
      <c r="AE101" s="4">
        <v>0</v>
      </c>
      <c r="AF101" s="4">
        <v>0</v>
      </c>
      <c r="AG101" s="4">
        <v>91137.25</v>
      </c>
      <c r="AH101" s="4">
        <v>0</v>
      </c>
      <c r="AI101" s="4">
        <v>0</v>
      </c>
      <c r="AJ101" s="4">
        <v>0</v>
      </c>
      <c r="AK101" s="4">
        <v>0</v>
      </c>
      <c r="AL101" s="4">
        <v>0</v>
      </c>
      <c r="AM101" s="4">
        <v>0</v>
      </c>
      <c r="AN101" s="4">
        <v>0</v>
      </c>
      <c r="AO101" s="4">
        <v>0</v>
      </c>
      <c r="AP101" s="4">
        <v>0</v>
      </c>
      <c r="AQ101" s="4">
        <v>0</v>
      </c>
      <c r="AR101" s="4">
        <v>0</v>
      </c>
      <c r="AS101" s="4">
        <v>0</v>
      </c>
      <c r="AT101" s="4">
        <v>0</v>
      </c>
      <c r="AU101" s="4">
        <v>0</v>
      </c>
      <c r="AV101" s="4">
        <v>0</v>
      </c>
      <c r="AW101" s="4">
        <v>0</v>
      </c>
      <c r="AX101" s="4">
        <v>0</v>
      </c>
      <c r="AY101" s="4">
        <v>0</v>
      </c>
      <c r="AZ101" s="4">
        <v>0</v>
      </c>
      <c r="BA101" s="4">
        <v>0</v>
      </c>
      <c r="BB101" s="4">
        <v>0</v>
      </c>
      <c r="BC101" s="4">
        <v>0</v>
      </c>
      <c r="BD101" s="4">
        <v>0</v>
      </c>
      <c r="BE101" s="4">
        <v>0</v>
      </c>
      <c r="BF101" s="4">
        <f t="shared" si="86"/>
        <v>339498.15</v>
      </c>
      <c r="BG101" s="4">
        <f t="shared" si="87"/>
        <v>248360.9</v>
      </c>
      <c r="BH101" s="4">
        <f t="shared" si="88"/>
        <v>91137.25</v>
      </c>
      <c r="BI101" s="4">
        <f t="shared" si="89"/>
        <v>0</v>
      </c>
    </row>
    <row r="102" spans="2:61" x14ac:dyDescent="0.25">
      <c r="C102">
        <v>613</v>
      </c>
      <c r="D102" t="s">
        <v>459</v>
      </c>
      <c r="E102" s="4">
        <v>0</v>
      </c>
      <c r="F102" s="4">
        <v>0</v>
      </c>
      <c r="G102" s="4">
        <v>0</v>
      </c>
      <c r="H102" s="4">
        <v>0</v>
      </c>
      <c r="I102" s="4">
        <v>0</v>
      </c>
      <c r="J102" s="4">
        <v>0</v>
      </c>
      <c r="K102" s="4">
        <v>0</v>
      </c>
      <c r="L102" s="4">
        <v>0</v>
      </c>
      <c r="M102" s="4">
        <v>3358.2</v>
      </c>
      <c r="N102" s="4">
        <v>0</v>
      </c>
      <c r="O102" s="4">
        <v>0</v>
      </c>
      <c r="P102" s="4">
        <v>0</v>
      </c>
      <c r="Q102" s="4">
        <v>0</v>
      </c>
      <c r="R102" s="4">
        <v>0</v>
      </c>
      <c r="S102" s="4">
        <v>0</v>
      </c>
      <c r="T102" s="4">
        <v>0</v>
      </c>
      <c r="U102" s="4">
        <v>0</v>
      </c>
      <c r="V102" s="4">
        <v>0</v>
      </c>
      <c r="W102" s="4">
        <v>30000</v>
      </c>
      <c r="X102" s="4">
        <v>0</v>
      </c>
      <c r="Y102" s="4">
        <v>4000</v>
      </c>
      <c r="Z102" s="4">
        <v>0</v>
      </c>
      <c r="AA102" s="4">
        <v>0</v>
      </c>
      <c r="AB102" s="4">
        <v>0</v>
      </c>
      <c r="AC102" s="4">
        <v>0</v>
      </c>
      <c r="AD102" s="4">
        <v>250.85</v>
      </c>
      <c r="AE102" s="4">
        <v>454075.5</v>
      </c>
      <c r="AF102" s="4">
        <v>0</v>
      </c>
      <c r="AG102" s="4">
        <v>0</v>
      </c>
      <c r="AH102" s="4">
        <v>0</v>
      </c>
      <c r="AI102" s="4">
        <v>0</v>
      </c>
      <c r="AJ102" s="4">
        <v>0</v>
      </c>
      <c r="AK102" s="4">
        <v>0</v>
      </c>
      <c r="AL102" s="4">
        <v>0</v>
      </c>
      <c r="AM102" s="4">
        <v>0</v>
      </c>
      <c r="AN102" s="4">
        <v>0</v>
      </c>
      <c r="AO102" s="4">
        <v>0</v>
      </c>
      <c r="AP102" s="4">
        <v>928.5</v>
      </c>
      <c r="AQ102" s="4">
        <v>0</v>
      </c>
      <c r="AR102" s="4">
        <v>0</v>
      </c>
      <c r="AS102" s="4">
        <v>0</v>
      </c>
      <c r="AT102" s="4">
        <v>0</v>
      </c>
      <c r="AU102" s="4">
        <v>0</v>
      </c>
      <c r="AV102" s="4">
        <v>0</v>
      </c>
      <c r="AW102" s="4">
        <v>0</v>
      </c>
      <c r="AX102" s="4">
        <v>0</v>
      </c>
      <c r="AY102" s="4">
        <v>0</v>
      </c>
      <c r="AZ102" s="4">
        <v>0</v>
      </c>
      <c r="BA102" s="4">
        <v>0</v>
      </c>
      <c r="BB102" s="4">
        <v>0</v>
      </c>
      <c r="BC102" s="4">
        <v>0</v>
      </c>
      <c r="BD102" s="4">
        <v>19312.849999999999</v>
      </c>
      <c r="BE102" s="4">
        <v>0</v>
      </c>
      <c r="BF102" s="4">
        <f t="shared" si="86"/>
        <v>511925.89999999997</v>
      </c>
      <c r="BG102" s="4">
        <f t="shared" si="87"/>
        <v>33358.199999999997</v>
      </c>
      <c r="BH102" s="4">
        <f t="shared" si="88"/>
        <v>458326.35</v>
      </c>
      <c r="BI102" s="4">
        <f t="shared" si="89"/>
        <v>20241.349999999999</v>
      </c>
    </row>
    <row r="103" spans="2:61" x14ac:dyDescent="0.25">
      <c r="C103">
        <v>614</v>
      </c>
      <c r="D103" t="s">
        <v>460</v>
      </c>
      <c r="E103" s="4">
        <v>0</v>
      </c>
      <c r="F103" s="4">
        <v>0</v>
      </c>
      <c r="G103" s="4">
        <v>0</v>
      </c>
      <c r="H103" s="4">
        <v>0</v>
      </c>
      <c r="I103" s="4">
        <v>0</v>
      </c>
      <c r="J103" s="4">
        <v>0</v>
      </c>
      <c r="K103" s="4">
        <v>0</v>
      </c>
      <c r="L103" s="4">
        <v>0</v>
      </c>
      <c r="M103" s="4">
        <v>0</v>
      </c>
      <c r="N103" s="4">
        <v>0</v>
      </c>
      <c r="O103" s="4">
        <v>0</v>
      </c>
      <c r="P103" s="4">
        <v>0</v>
      </c>
      <c r="Q103" s="4">
        <v>0</v>
      </c>
      <c r="R103" s="4">
        <v>0</v>
      </c>
      <c r="S103" s="4">
        <v>0</v>
      </c>
      <c r="T103" s="4">
        <v>0</v>
      </c>
      <c r="U103" s="4">
        <v>0</v>
      </c>
      <c r="V103" s="4">
        <v>0</v>
      </c>
      <c r="W103" s="4">
        <v>8000</v>
      </c>
      <c r="X103" s="4">
        <v>60000</v>
      </c>
      <c r="Y103" s="4">
        <v>0</v>
      </c>
      <c r="Z103" s="4">
        <v>0</v>
      </c>
      <c r="AA103" s="4">
        <v>0</v>
      </c>
      <c r="AB103" s="4">
        <v>0</v>
      </c>
      <c r="AC103" s="4">
        <v>0</v>
      </c>
      <c r="AD103" s="4">
        <v>16136.14</v>
      </c>
      <c r="AE103" s="4">
        <v>0</v>
      </c>
      <c r="AF103" s="4">
        <v>0</v>
      </c>
      <c r="AG103" s="4">
        <v>0</v>
      </c>
      <c r="AH103" s="4">
        <v>0</v>
      </c>
      <c r="AI103" s="4">
        <v>60000</v>
      </c>
      <c r="AJ103" s="4">
        <v>0</v>
      </c>
      <c r="AK103" s="4">
        <v>0</v>
      </c>
      <c r="AL103" s="4">
        <v>0</v>
      </c>
      <c r="AM103" s="4">
        <v>0</v>
      </c>
      <c r="AN103" s="4">
        <v>0</v>
      </c>
      <c r="AO103" s="4">
        <v>0</v>
      </c>
      <c r="AP103" s="4">
        <v>0</v>
      </c>
      <c r="AQ103" s="4">
        <v>0</v>
      </c>
      <c r="AR103" s="4">
        <v>0</v>
      </c>
      <c r="AS103" s="4">
        <v>0</v>
      </c>
      <c r="AT103" s="4">
        <v>0</v>
      </c>
      <c r="AU103" s="4">
        <v>0</v>
      </c>
      <c r="AV103" s="4">
        <v>0</v>
      </c>
      <c r="AW103" s="4">
        <v>0</v>
      </c>
      <c r="AX103" s="4">
        <v>0</v>
      </c>
      <c r="AY103" s="4">
        <v>0</v>
      </c>
      <c r="AZ103" s="4">
        <v>0</v>
      </c>
      <c r="BA103" s="4">
        <v>0</v>
      </c>
      <c r="BB103" s="4">
        <v>0</v>
      </c>
      <c r="BC103" s="4">
        <v>0</v>
      </c>
      <c r="BD103" s="4">
        <v>0</v>
      </c>
      <c r="BE103" s="4">
        <v>0</v>
      </c>
      <c r="BF103" s="4">
        <f t="shared" si="86"/>
        <v>144136.14000000001</v>
      </c>
      <c r="BG103" s="4">
        <f t="shared" si="87"/>
        <v>8000</v>
      </c>
      <c r="BH103" s="4">
        <f t="shared" si="88"/>
        <v>136136.14000000001</v>
      </c>
      <c r="BI103" s="4">
        <f t="shared" si="89"/>
        <v>0</v>
      </c>
    </row>
    <row r="104" spans="2:61" x14ac:dyDescent="0.25">
      <c r="C104">
        <v>615</v>
      </c>
      <c r="D104" t="s">
        <v>461</v>
      </c>
      <c r="E104" s="4">
        <v>0</v>
      </c>
      <c r="F104" s="4">
        <v>0</v>
      </c>
      <c r="G104" s="4">
        <v>0</v>
      </c>
      <c r="H104" s="4">
        <v>0</v>
      </c>
      <c r="I104" s="4">
        <v>0</v>
      </c>
      <c r="J104" s="4">
        <v>0</v>
      </c>
      <c r="K104" s="4">
        <v>0</v>
      </c>
      <c r="L104" s="4">
        <v>0</v>
      </c>
      <c r="M104" s="4">
        <v>0</v>
      </c>
      <c r="N104" s="4">
        <v>0</v>
      </c>
      <c r="O104" s="4">
        <v>0</v>
      </c>
      <c r="P104" s="4">
        <v>0</v>
      </c>
      <c r="Q104" s="4">
        <v>0</v>
      </c>
      <c r="R104" s="4">
        <v>0</v>
      </c>
      <c r="S104" s="4">
        <v>0</v>
      </c>
      <c r="T104" s="4">
        <v>0</v>
      </c>
      <c r="U104" s="4">
        <v>0</v>
      </c>
      <c r="V104" s="4">
        <v>0</v>
      </c>
      <c r="W104" s="4">
        <v>0</v>
      </c>
      <c r="X104" s="4">
        <v>0</v>
      </c>
      <c r="Y104" s="4">
        <v>0</v>
      </c>
      <c r="Z104" s="4">
        <v>42760</v>
      </c>
      <c r="AA104" s="4">
        <v>0</v>
      </c>
      <c r="AB104" s="4">
        <v>0</v>
      </c>
      <c r="AC104" s="4">
        <v>0</v>
      </c>
      <c r="AD104" s="4">
        <v>0</v>
      </c>
      <c r="AE104" s="4">
        <v>0</v>
      </c>
      <c r="AF104" s="4">
        <v>0</v>
      </c>
      <c r="AG104" s="4">
        <v>0</v>
      </c>
      <c r="AH104" s="4">
        <v>0</v>
      </c>
      <c r="AI104" s="4">
        <v>0</v>
      </c>
      <c r="AJ104" s="4">
        <v>0</v>
      </c>
      <c r="AK104" s="4">
        <v>0</v>
      </c>
      <c r="AL104" s="4">
        <v>0</v>
      </c>
      <c r="AM104" s="4">
        <v>0</v>
      </c>
      <c r="AN104" s="4">
        <v>0</v>
      </c>
      <c r="AO104" s="4">
        <v>0</v>
      </c>
      <c r="AP104" s="4">
        <v>0</v>
      </c>
      <c r="AQ104" s="4">
        <v>0</v>
      </c>
      <c r="AR104" s="4">
        <v>0</v>
      </c>
      <c r="AS104" s="4">
        <v>0</v>
      </c>
      <c r="AT104" s="4">
        <v>0</v>
      </c>
      <c r="AU104" s="4">
        <v>0</v>
      </c>
      <c r="AV104" s="4">
        <v>0</v>
      </c>
      <c r="AW104" s="4">
        <v>0</v>
      </c>
      <c r="AX104" s="4">
        <v>0</v>
      </c>
      <c r="AY104" s="4">
        <v>0</v>
      </c>
      <c r="AZ104" s="4">
        <v>0</v>
      </c>
      <c r="BA104" s="4">
        <v>0</v>
      </c>
      <c r="BB104" s="4">
        <v>0</v>
      </c>
      <c r="BC104" s="4">
        <v>0</v>
      </c>
      <c r="BD104" s="4">
        <v>0</v>
      </c>
      <c r="BE104" s="4">
        <v>0</v>
      </c>
      <c r="BF104" s="4">
        <f t="shared" si="86"/>
        <v>42760</v>
      </c>
      <c r="BG104" s="4">
        <f t="shared" si="87"/>
        <v>0</v>
      </c>
      <c r="BH104" s="4">
        <f t="shared" si="88"/>
        <v>42760</v>
      </c>
      <c r="BI104" s="4">
        <f t="shared" si="89"/>
        <v>0</v>
      </c>
    </row>
    <row r="105" spans="2:61" x14ac:dyDescent="0.25">
      <c r="C105">
        <v>616</v>
      </c>
      <c r="D105" t="s">
        <v>462</v>
      </c>
      <c r="E105" s="4">
        <v>0</v>
      </c>
      <c r="F105" s="4">
        <v>0</v>
      </c>
      <c r="G105" s="4">
        <v>0</v>
      </c>
      <c r="H105" s="4">
        <v>0</v>
      </c>
      <c r="I105" s="4">
        <v>0</v>
      </c>
      <c r="J105" s="4">
        <v>0</v>
      </c>
      <c r="K105" s="4">
        <v>0</v>
      </c>
      <c r="L105" s="4">
        <v>0</v>
      </c>
      <c r="M105" s="4">
        <v>440</v>
      </c>
      <c r="N105" s="4">
        <v>0</v>
      </c>
      <c r="O105" s="4">
        <v>0</v>
      </c>
      <c r="P105" s="4">
        <v>0</v>
      </c>
      <c r="Q105" s="4">
        <v>0</v>
      </c>
      <c r="R105" s="4">
        <v>0</v>
      </c>
      <c r="S105" s="4">
        <v>0</v>
      </c>
      <c r="T105" s="4">
        <v>0</v>
      </c>
      <c r="U105" s="4">
        <v>0</v>
      </c>
      <c r="V105" s="4">
        <v>0</v>
      </c>
      <c r="W105" s="4">
        <v>0</v>
      </c>
      <c r="X105" s="4">
        <v>0</v>
      </c>
      <c r="Y105" s="4">
        <v>0</v>
      </c>
      <c r="Z105" s="4">
        <v>0</v>
      </c>
      <c r="AA105" s="4">
        <v>0</v>
      </c>
      <c r="AB105" s="4">
        <v>0</v>
      </c>
      <c r="AC105" s="4">
        <v>0</v>
      </c>
      <c r="AD105" s="4">
        <v>0</v>
      </c>
      <c r="AE105" s="4">
        <v>0</v>
      </c>
      <c r="AF105" s="4">
        <v>0</v>
      </c>
      <c r="AG105" s="4">
        <v>0</v>
      </c>
      <c r="AH105" s="4">
        <v>0</v>
      </c>
      <c r="AI105" s="4">
        <v>25000</v>
      </c>
      <c r="AJ105" s="4">
        <v>0</v>
      </c>
      <c r="AK105" s="4">
        <v>0</v>
      </c>
      <c r="AL105" s="4">
        <v>0</v>
      </c>
      <c r="AM105" s="4">
        <v>0</v>
      </c>
      <c r="AN105" s="4">
        <v>0</v>
      </c>
      <c r="AO105" s="4">
        <v>0</v>
      </c>
      <c r="AP105" s="4">
        <v>0</v>
      </c>
      <c r="AQ105" s="4">
        <v>0</v>
      </c>
      <c r="AR105" s="4">
        <v>0</v>
      </c>
      <c r="AS105" s="4">
        <v>0</v>
      </c>
      <c r="AT105" s="4">
        <v>0</v>
      </c>
      <c r="AU105" s="4">
        <v>0</v>
      </c>
      <c r="AV105" s="4">
        <v>0</v>
      </c>
      <c r="AW105" s="4">
        <v>0</v>
      </c>
      <c r="AX105" s="4">
        <v>0</v>
      </c>
      <c r="AY105" s="4">
        <v>0</v>
      </c>
      <c r="AZ105" s="4">
        <v>0</v>
      </c>
      <c r="BA105" s="4">
        <v>0</v>
      </c>
      <c r="BB105" s="4">
        <v>0</v>
      </c>
      <c r="BC105" s="4">
        <v>0</v>
      </c>
      <c r="BD105" s="4">
        <v>0</v>
      </c>
      <c r="BE105" s="4">
        <v>0</v>
      </c>
      <c r="BF105" s="4">
        <f t="shared" si="86"/>
        <v>25440</v>
      </c>
      <c r="BG105" s="4">
        <f t="shared" si="87"/>
        <v>440</v>
      </c>
      <c r="BH105" s="4">
        <f t="shared" si="88"/>
        <v>25000</v>
      </c>
      <c r="BI105" s="4">
        <f t="shared" si="89"/>
        <v>0</v>
      </c>
    </row>
    <row r="106" spans="2:61" x14ac:dyDescent="0.25">
      <c r="C106">
        <v>619</v>
      </c>
      <c r="D106" t="s">
        <v>463</v>
      </c>
      <c r="E106" s="4">
        <v>0</v>
      </c>
      <c r="F106" s="4">
        <v>0</v>
      </c>
      <c r="G106" s="4">
        <v>0</v>
      </c>
      <c r="H106" s="4">
        <v>0</v>
      </c>
      <c r="I106" s="4">
        <v>0</v>
      </c>
      <c r="J106" s="4">
        <v>0</v>
      </c>
      <c r="K106" s="4">
        <v>0</v>
      </c>
      <c r="L106" s="4">
        <v>0</v>
      </c>
      <c r="M106" s="4">
        <v>0</v>
      </c>
      <c r="N106" s="4">
        <v>0</v>
      </c>
      <c r="O106" s="4">
        <v>0</v>
      </c>
      <c r="P106" s="4">
        <v>0</v>
      </c>
      <c r="Q106" s="4">
        <v>0</v>
      </c>
      <c r="R106" s="4">
        <v>0</v>
      </c>
      <c r="S106" s="4">
        <v>0</v>
      </c>
      <c r="T106" s="4">
        <v>0</v>
      </c>
      <c r="U106" s="4">
        <v>0</v>
      </c>
      <c r="V106" s="4">
        <v>0</v>
      </c>
      <c r="W106" s="4">
        <v>0</v>
      </c>
      <c r="X106" s="4">
        <v>0</v>
      </c>
      <c r="Y106" s="4">
        <v>0</v>
      </c>
      <c r="Z106" s="4">
        <v>0</v>
      </c>
      <c r="AA106" s="4">
        <v>0</v>
      </c>
      <c r="AB106" s="4">
        <v>0</v>
      </c>
      <c r="AC106" s="4">
        <v>0</v>
      </c>
      <c r="AD106" s="4">
        <v>0</v>
      </c>
      <c r="AE106" s="4">
        <v>0</v>
      </c>
      <c r="AF106" s="4">
        <v>0</v>
      </c>
      <c r="AG106" s="4">
        <v>0</v>
      </c>
      <c r="AH106" s="4">
        <v>0</v>
      </c>
      <c r="AI106" s="4">
        <v>0</v>
      </c>
      <c r="AJ106" s="4">
        <v>0</v>
      </c>
      <c r="AK106" s="4">
        <v>0</v>
      </c>
      <c r="AL106" s="4">
        <v>0</v>
      </c>
      <c r="AM106" s="4">
        <v>0</v>
      </c>
      <c r="AN106" s="4">
        <v>0</v>
      </c>
      <c r="AO106" s="4">
        <v>0</v>
      </c>
      <c r="AP106" s="4">
        <v>0</v>
      </c>
      <c r="AQ106" s="4">
        <v>0</v>
      </c>
      <c r="AR106" s="4">
        <v>0</v>
      </c>
      <c r="AS106" s="4">
        <v>0</v>
      </c>
      <c r="AT106" s="4">
        <v>0</v>
      </c>
      <c r="AU106" s="4">
        <v>0</v>
      </c>
      <c r="AV106" s="4">
        <v>0</v>
      </c>
      <c r="AW106" s="4">
        <v>0</v>
      </c>
      <c r="AX106" s="4">
        <v>0</v>
      </c>
      <c r="AY106" s="4">
        <v>0</v>
      </c>
      <c r="AZ106" s="4">
        <v>0</v>
      </c>
      <c r="BA106" s="4">
        <v>0</v>
      </c>
      <c r="BB106" s="4">
        <v>0</v>
      </c>
      <c r="BC106" s="4">
        <v>0</v>
      </c>
      <c r="BD106" s="4">
        <v>0</v>
      </c>
      <c r="BE106" s="4">
        <v>0</v>
      </c>
      <c r="BF106" s="4">
        <f t="shared" si="86"/>
        <v>0</v>
      </c>
      <c r="BG106" s="4">
        <f t="shared" si="87"/>
        <v>0</v>
      </c>
      <c r="BH106" s="4">
        <f t="shared" si="88"/>
        <v>0</v>
      </c>
      <c r="BI106" s="4">
        <f t="shared" si="89"/>
        <v>0</v>
      </c>
    </row>
    <row r="107" spans="2:61" x14ac:dyDescent="0.25">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row>
    <row r="108" spans="2:61" x14ac:dyDescent="0.25">
      <c r="B108" s="87">
        <v>62</v>
      </c>
      <c r="C108" s="87"/>
      <c r="D108" s="87" t="s">
        <v>484</v>
      </c>
      <c r="E108" s="85">
        <f>E109+E110+E111</f>
        <v>0</v>
      </c>
      <c r="F108" s="85">
        <f t="shared" ref="F108:BI108" si="90">F109+F110+F111</f>
        <v>0</v>
      </c>
      <c r="G108" s="85">
        <f t="shared" si="90"/>
        <v>0</v>
      </c>
      <c r="H108" s="85">
        <f t="shared" si="90"/>
        <v>0</v>
      </c>
      <c r="I108" s="85">
        <f t="shared" si="90"/>
        <v>0</v>
      </c>
      <c r="J108" s="85">
        <f t="shared" si="90"/>
        <v>0</v>
      </c>
      <c r="K108" s="85">
        <f t="shared" si="90"/>
        <v>0</v>
      </c>
      <c r="L108" s="85">
        <f t="shared" si="90"/>
        <v>0</v>
      </c>
      <c r="M108" s="85">
        <f t="shared" si="90"/>
        <v>0</v>
      </c>
      <c r="N108" s="85">
        <f t="shared" si="90"/>
        <v>0</v>
      </c>
      <c r="O108" s="85">
        <f t="shared" si="90"/>
        <v>0</v>
      </c>
      <c r="P108" s="85">
        <f t="shared" si="90"/>
        <v>0</v>
      </c>
      <c r="Q108" s="85">
        <f t="shared" si="90"/>
        <v>0</v>
      </c>
      <c r="R108" s="85">
        <f t="shared" si="90"/>
        <v>0</v>
      </c>
      <c r="S108" s="85">
        <f t="shared" si="90"/>
        <v>0</v>
      </c>
      <c r="T108" s="85">
        <f t="shared" si="90"/>
        <v>0</v>
      </c>
      <c r="U108" s="85">
        <f t="shared" si="90"/>
        <v>0</v>
      </c>
      <c r="V108" s="85">
        <f t="shared" si="90"/>
        <v>0</v>
      </c>
      <c r="W108" s="85">
        <f t="shared" si="90"/>
        <v>0</v>
      </c>
      <c r="X108" s="85">
        <f t="shared" si="90"/>
        <v>0</v>
      </c>
      <c r="Y108" s="85">
        <f t="shared" si="90"/>
        <v>0</v>
      </c>
      <c r="Z108" s="85">
        <f t="shared" si="90"/>
        <v>0</v>
      </c>
      <c r="AA108" s="85">
        <f t="shared" si="90"/>
        <v>0</v>
      </c>
      <c r="AB108" s="85">
        <f t="shared" si="90"/>
        <v>0</v>
      </c>
      <c r="AC108" s="85">
        <f t="shared" si="90"/>
        <v>0</v>
      </c>
      <c r="AD108" s="85">
        <f t="shared" si="90"/>
        <v>0</v>
      </c>
      <c r="AE108" s="85">
        <f t="shared" si="90"/>
        <v>0</v>
      </c>
      <c r="AF108" s="85">
        <f t="shared" si="90"/>
        <v>0</v>
      </c>
      <c r="AG108" s="85">
        <f t="shared" si="90"/>
        <v>0</v>
      </c>
      <c r="AH108" s="85">
        <f t="shared" si="90"/>
        <v>0</v>
      </c>
      <c r="AI108" s="85">
        <f t="shared" si="90"/>
        <v>0</v>
      </c>
      <c r="AJ108" s="85">
        <f t="shared" si="90"/>
        <v>0</v>
      </c>
      <c r="AK108" s="85">
        <f t="shared" si="90"/>
        <v>0</v>
      </c>
      <c r="AL108" s="85">
        <f t="shared" si="90"/>
        <v>0</v>
      </c>
      <c r="AM108" s="85">
        <f t="shared" si="90"/>
        <v>0</v>
      </c>
      <c r="AN108" s="85">
        <f t="shared" si="90"/>
        <v>0</v>
      </c>
      <c r="AO108" s="85">
        <f t="shared" si="90"/>
        <v>0</v>
      </c>
      <c r="AP108" s="85">
        <f t="shared" si="90"/>
        <v>0</v>
      </c>
      <c r="AQ108" s="85">
        <f t="shared" si="90"/>
        <v>0</v>
      </c>
      <c r="AR108" s="85">
        <f t="shared" si="90"/>
        <v>0</v>
      </c>
      <c r="AS108" s="85">
        <f t="shared" si="90"/>
        <v>0</v>
      </c>
      <c r="AT108" s="85">
        <f t="shared" si="90"/>
        <v>0</v>
      </c>
      <c r="AU108" s="85">
        <f t="shared" si="90"/>
        <v>0</v>
      </c>
      <c r="AV108" s="85">
        <f t="shared" si="90"/>
        <v>0</v>
      </c>
      <c r="AW108" s="85">
        <f t="shared" si="90"/>
        <v>0</v>
      </c>
      <c r="AX108" s="85">
        <f t="shared" si="90"/>
        <v>0</v>
      </c>
      <c r="AY108" s="85">
        <f t="shared" si="90"/>
        <v>0</v>
      </c>
      <c r="AZ108" s="85">
        <f t="shared" si="90"/>
        <v>0</v>
      </c>
      <c r="BA108" s="85">
        <f t="shared" si="90"/>
        <v>0</v>
      </c>
      <c r="BB108" s="85">
        <f t="shared" si="90"/>
        <v>0</v>
      </c>
      <c r="BC108" s="85">
        <f t="shared" si="90"/>
        <v>0</v>
      </c>
      <c r="BD108" s="85">
        <f t="shared" si="90"/>
        <v>0</v>
      </c>
      <c r="BE108" s="85">
        <f t="shared" si="90"/>
        <v>0</v>
      </c>
      <c r="BF108" s="85">
        <f t="shared" si="90"/>
        <v>0</v>
      </c>
      <c r="BG108" s="85">
        <f t="shared" si="90"/>
        <v>0</v>
      </c>
      <c r="BH108" s="85">
        <f t="shared" si="90"/>
        <v>0</v>
      </c>
      <c r="BI108" s="85">
        <f t="shared" si="90"/>
        <v>0</v>
      </c>
    </row>
    <row r="109" spans="2:61" x14ac:dyDescent="0.25">
      <c r="C109">
        <v>620</v>
      </c>
      <c r="D109" t="s">
        <v>366</v>
      </c>
      <c r="E109" s="4">
        <v>0</v>
      </c>
      <c r="F109" s="4">
        <v>0</v>
      </c>
      <c r="G109" s="4">
        <v>0</v>
      </c>
      <c r="H109" s="4">
        <v>0</v>
      </c>
      <c r="I109" s="4">
        <v>0</v>
      </c>
      <c r="J109" s="4">
        <v>0</v>
      </c>
      <c r="K109" s="4">
        <v>0</v>
      </c>
      <c r="L109" s="4">
        <v>0</v>
      </c>
      <c r="M109" s="4">
        <v>0</v>
      </c>
      <c r="N109" s="4">
        <v>0</v>
      </c>
      <c r="O109" s="4">
        <v>0</v>
      </c>
      <c r="P109" s="4">
        <v>0</v>
      </c>
      <c r="Q109" s="4">
        <v>0</v>
      </c>
      <c r="R109" s="4">
        <v>0</v>
      </c>
      <c r="S109" s="4">
        <v>0</v>
      </c>
      <c r="T109" s="4">
        <v>0</v>
      </c>
      <c r="U109" s="4">
        <v>0</v>
      </c>
      <c r="V109" s="4">
        <v>0</v>
      </c>
      <c r="W109" s="4">
        <v>0</v>
      </c>
      <c r="X109" s="4">
        <v>0</v>
      </c>
      <c r="Y109" s="4">
        <v>0</v>
      </c>
      <c r="Z109" s="4">
        <v>0</v>
      </c>
      <c r="AA109" s="4">
        <v>0</v>
      </c>
      <c r="AB109" s="4">
        <v>0</v>
      </c>
      <c r="AC109" s="4">
        <v>0</v>
      </c>
      <c r="AD109" s="4">
        <v>0</v>
      </c>
      <c r="AE109" s="4">
        <v>0</v>
      </c>
      <c r="AF109" s="4">
        <v>0</v>
      </c>
      <c r="AG109" s="4">
        <v>0</v>
      </c>
      <c r="AH109" s="4">
        <v>0</v>
      </c>
      <c r="AI109" s="4">
        <v>0</v>
      </c>
      <c r="AJ109" s="4">
        <v>0</v>
      </c>
      <c r="AK109" s="4">
        <v>0</v>
      </c>
      <c r="AL109" s="4">
        <v>0</v>
      </c>
      <c r="AM109" s="4">
        <v>0</v>
      </c>
      <c r="AN109" s="4">
        <v>0</v>
      </c>
      <c r="AO109" s="4">
        <v>0</v>
      </c>
      <c r="AP109" s="4">
        <v>0</v>
      </c>
      <c r="AQ109" s="4">
        <v>0</v>
      </c>
      <c r="AR109" s="4">
        <v>0</v>
      </c>
      <c r="AS109" s="4">
        <v>0</v>
      </c>
      <c r="AT109" s="4">
        <v>0</v>
      </c>
      <c r="AU109" s="4">
        <v>0</v>
      </c>
      <c r="AV109" s="4">
        <v>0</v>
      </c>
      <c r="AW109" s="4">
        <v>0</v>
      </c>
      <c r="AX109" s="4">
        <v>0</v>
      </c>
      <c r="AY109" s="4">
        <v>0</v>
      </c>
      <c r="AZ109" s="4">
        <v>0</v>
      </c>
      <c r="BA109" s="4">
        <v>0</v>
      </c>
      <c r="BB109" s="4">
        <v>0</v>
      </c>
      <c r="BC109" s="4">
        <v>0</v>
      </c>
      <c r="BD109" s="4">
        <v>0</v>
      </c>
      <c r="BE109" s="4">
        <v>0</v>
      </c>
      <c r="BF109" s="4">
        <f t="shared" ref="BF109:BF111" si="91">SUM(E109:BE109)</f>
        <v>0</v>
      </c>
      <c r="BG109" s="4">
        <f t="shared" ref="BG109:BG111" si="92">SUM(E109:W109)</f>
        <v>0</v>
      </c>
      <c r="BH109" s="4">
        <f t="shared" ref="BH109:BH111" si="93">SUM(X109:AJ109)</f>
        <v>0</v>
      </c>
      <c r="BI109" s="4">
        <f t="shared" ref="BI109:BI111" si="94">SUM(AK109:BE109)</f>
        <v>0</v>
      </c>
    </row>
    <row r="110" spans="2:61" x14ac:dyDescent="0.25">
      <c r="C110">
        <v>621</v>
      </c>
      <c r="D110" t="s">
        <v>367</v>
      </c>
      <c r="E110" s="4">
        <v>0</v>
      </c>
      <c r="F110" s="4">
        <v>0</v>
      </c>
      <c r="G110" s="4">
        <v>0</v>
      </c>
      <c r="H110" s="4">
        <v>0</v>
      </c>
      <c r="I110" s="4">
        <v>0</v>
      </c>
      <c r="J110" s="4">
        <v>0</v>
      </c>
      <c r="K110" s="4">
        <v>0</v>
      </c>
      <c r="L110" s="4">
        <v>0</v>
      </c>
      <c r="M110" s="4">
        <v>0</v>
      </c>
      <c r="N110" s="4">
        <v>0</v>
      </c>
      <c r="O110" s="4">
        <v>0</v>
      </c>
      <c r="P110" s="4">
        <v>0</v>
      </c>
      <c r="Q110" s="4">
        <v>0</v>
      </c>
      <c r="R110" s="4">
        <v>0</v>
      </c>
      <c r="S110" s="4">
        <v>0</v>
      </c>
      <c r="T110" s="4">
        <v>0</v>
      </c>
      <c r="U110" s="4">
        <v>0</v>
      </c>
      <c r="V110" s="4">
        <v>0</v>
      </c>
      <c r="W110" s="4">
        <v>0</v>
      </c>
      <c r="X110" s="4">
        <v>0</v>
      </c>
      <c r="Y110" s="4">
        <v>0</v>
      </c>
      <c r="Z110" s="4">
        <v>0</v>
      </c>
      <c r="AA110" s="4">
        <v>0</v>
      </c>
      <c r="AB110" s="4">
        <v>0</v>
      </c>
      <c r="AC110" s="4">
        <v>0</v>
      </c>
      <c r="AD110" s="4">
        <v>0</v>
      </c>
      <c r="AE110" s="4">
        <v>0</v>
      </c>
      <c r="AF110" s="4">
        <v>0</v>
      </c>
      <c r="AG110" s="4">
        <v>0</v>
      </c>
      <c r="AH110" s="4">
        <v>0</v>
      </c>
      <c r="AI110" s="4">
        <v>0</v>
      </c>
      <c r="AJ110" s="4">
        <v>0</v>
      </c>
      <c r="AK110" s="4">
        <v>0</v>
      </c>
      <c r="AL110" s="4">
        <v>0</v>
      </c>
      <c r="AM110" s="4">
        <v>0</v>
      </c>
      <c r="AN110" s="4">
        <v>0</v>
      </c>
      <c r="AO110" s="4">
        <v>0</v>
      </c>
      <c r="AP110" s="4">
        <v>0</v>
      </c>
      <c r="AQ110" s="4">
        <v>0</v>
      </c>
      <c r="AR110" s="4">
        <v>0</v>
      </c>
      <c r="AS110" s="4">
        <v>0</v>
      </c>
      <c r="AT110" s="4">
        <v>0</v>
      </c>
      <c r="AU110" s="4">
        <v>0</v>
      </c>
      <c r="AV110" s="4">
        <v>0</v>
      </c>
      <c r="AW110" s="4">
        <v>0</v>
      </c>
      <c r="AX110" s="4">
        <v>0</v>
      </c>
      <c r="AY110" s="4">
        <v>0</v>
      </c>
      <c r="AZ110" s="4">
        <v>0</v>
      </c>
      <c r="BA110" s="4">
        <v>0</v>
      </c>
      <c r="BB110" s="4">
        <v>0</v>
      </c>
      <c r="BC110" s="4">
        <v>0</v>
      </c>
      <c r="BD110" s="4">
        <v>0</v>
      </c>
      <c r="BE110" s="4">
        <v>0</v>
      </c>
      <c r="BF110" s="4">
        <f t="shared" si="91"/>
        <v>0</v>
      </c>
      <c r="BG110" s="4">
        <f t="shared" si="92"/>
        <v>0</v>
      </c>
      <c r="BH110" s="4">
        <f t="shared" si="93"/>
        <v>0</v>
      </c>
      <c r="BI110" s="4">
        <f t="shared" si="94"/>
        <v>0</v>
      </c>
    </row>
    <row r="111" spans="2:61" x14ac:dyDescent="0.25">
      <c r="C111">
        <v>629</v>
      </c>
      <c r="D111" t="s">
        <v>465</v>
      </c>
      <c r="E111" s="4">
        <v>0</v>
      </c>
      <c r="F111" s="4">
        <v>0</v>
      </c>
      <c r="G111" s="4">
        <v>0</v>
      </c>
      <c r="H111" s="4">
        <v>0</v>
      </c>
      <c r="I111" s="4">
        <v>0</v>
      </c>
      <c r="J111" s="4">
        <v>0</v>
      </c>
      <c r="K111" s="4">
        <v>0</v>
      </c>
      <c r="L111" s="4">
        <v>0</v>
      </c>
      <c r="M111" s="4">
        <v>0</v>
      </c>
      <c r="N111" s="4">
        <v>0</v>
      </c>
      <c r="O111" s="4">
        <v>0</v>
      </c>
      <c r="P111" s="4">
        <v>0</v>
      </c>
      <c r="Q111" s="4">
        <v>0</v>
      </c>
      <c r="R111" s="4">
        <v>0</v>
      </c>
      <c r="S111" s="4">
        <v>0</v>
      </c>
      <c r="T111" s="4">
        <v>0</v>
      </c>
      <c r="U111" s="4">
        <v>0</v>
      </c>
      <c r="V111" s="4">
        <v>0</v>
      </c>
      <c r="W111" s="4">
        <v>0</v>
      </c>
      <c r="X111" s="4">
        <v>0</v>
      </c>
      <c r="Y111" s="4">
        <v>0</v>
      </c>
      <c r="Z111" s="4">
        <v>0</v>
      </c>
      <c r="AA111" s="4">
        <v>0</v>
      </c>
      <c r="AB111" s="4">
        <v>0</v>
      </c>
      <c r="AC111" s="4">
        <v>0</v>
      </c>
      <c r="AD111" s="4">
        <v>0</v>
      </c>
      <c r="AE111" s="4">
        <v>0</v>
      </c>
      <c r="AF111" s="4">
        <v>0</v>
      </c>
      <c r="AG111" s="4">
        <v>0</v>
      </c>
      <c r="AH111" s="4">
        <v>0</v>
      </c>
      <c r="AI111" s="4">
        <v>0</v>
      </c>
      <c r="AJ111" s="4">
        <v>0</v>
      </c>
      <c r="AK111" s="4">
        <v>0</v>
      </c>
      <c r="AL111" s="4">
        <v>0</v>
      </c>
      <c r="AM111" s="4">
        <v>0</v>
      </c>
      <c r="AN111" s="4">
        <v>0</v>
      </c>
      <c r="AO111" s="4">
        <v>0</v>
      </c>
      <c r="AP111" s="4">
        <v>0</v>
      </c>
      <c r="AQ111" s="4">
        <v>0</v>
      </c>
      <c r="AR111" s="4">
        <v>0</v>
      </c>
      <c r="AS111" s="4">
        <v>0</v>
      </c>
      <c r="AT111" s="4">
        <v>0</v>
      </c>
      <c r="AU111" s="4">
        <v>0</v>
      </c>
      <c r="AV111" s="4">
        <v>0</v>
      </c>
      <c r="AW111" s="4">
        <v>0</v>
      </c>
      <c r="AX111" s="4">
        <v>0</v>
      </c>
      <c r="AY111" s="4">
        <v>0</v>
      </c>
      <c r="AZ111" s="4">
        <v>0</v>
      </c>
      <c r="BA111" s="4">
        <v>0</v>
      </c>
      <c r="BB111" s="4">
        <v>0</v>
      </c>
      <c r="BC111" s="4">
        <v>0</v>
      </c>
      <c r="BD111" s="4">
        <v>0</v>
      </c>
      <c r="BE111" s="4">
        <v>0</v>
      </c>
      <c r="BF111" s="4">
        <f t="shared" si="91"/>
        <v>0</v>
      </c>
      <c r="BG111" s="4">
        <f t="shared" si="92"/>
        <v>0</v>
      </c>
      <c r="BH111" s="4">
        <f t="shared" si="93"/>
        <v>0</v>
      </c>
      <c r="BI111" s="4">
        <f t="shared" si="94"/>
        <v>0</v>
      </c>
    </row>
    <row r="112" spans="2:61" x14ac:dyDescent="0.25">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row>
    <row r="113" spans="2:61" x14ac:dyDescent="0.25">
      <c r="B113" s="87">
        <v>63</v>
      </c>
      <c r="C113" s="87"/>
      <c r="D113" s="87" t="s">
        <v>743</v>
      </c>
      <c r="E113" s="85">
        <f>E114+E115+E116+E117+E118+E119+E120+E121+E122</f>
        <v>143994</v>
      </c>
      <c r="F113" s="85">
        <f t="shared" ref="F113:BI113" si="95">F114+F115+F116+F117+F118+F119+F120+F121+F122</f>
        <v>22271.55</v>
      </c>
      <c r="G113" s="85">
        <f t="shared" si="95"/>
        <v>243621.8</v>
      </c>
      <c r="H113" s="85">
        <f t="shared" si="95"/>
        <v>0</v>
      </c>
      <c r="I113" s="85">
        <f t="shared" si="95"/>
        <v>144993.79999999999</v>
      </c>
      <c r="J113" s="85">
        <f t="shared" si="95"/>
        <v>1300890.3099999998</v>
      </c>
      <c r="K113" s="85">
        <f t="shared" si="95"/>
        <v>390647.25</v>
      </c>
      <c r="L113" s="85">
        <f t="shared" si="95"/>
        <v>0</v>
      </c>
      <c r="M113" s="85">
        <f>M114+M115+M116+M117+M118+M119+M120+M121+M122</f>
        <v>166289.70000000001</v>
      </c>
      <c r="N113" s="85">
        <f t="shared" si="95"/>
        <v>0</v>
      </c>
      <c r="O113" s="85">
        <f t="shared" si="95"/>
        <v>496301.05000000005</v>
      </c>
      <c r="P113" s="85">
        <f t="shared" si="95"/>
        <v>0</v>
      </c>
      <c r="Q113" s="85">
        <f t="shared" si="95"/>
        <v>0</v>
      </c>
      <c r="R113" s="85">
        <f t="shared" si="95"/>
        <v>0</v>
      </c>
      <c r="S113" s="85">
        <f t="shared" si="95"/>
        <v>0</v>
      </c>
      <c r="T113" s="85">
        <f t="shared" si="95"/>
        <v>0</v>
      </c>
      <c r="U113" s="85">
        <f t="shared" si="95"/>
        <v>0</v>
      </c>
      <c r="V113" s="85">
        <f t="shared" si="95"/>
        <v>28103</v>
      </c>
      <c r="W113" s="85">
        <f t="shared" si="95"/>
        <v>1302929.1000000001</v>
      </c>
      <c r="X113" s="85">
        <f t="shared" si="95"/>
        <v>0</v>
      </c>
      <c r="Y113" s="85">
        <f t="shared" si="95"/>
        <v>462765.2</v>
      </c>
      <c r="Z113" s="85">
        <f t="shared" si="95"/>
        <v>0</v>
      </c>
      <c r="AA113" s="85">
        <f t="shared" si="95"/>
        <v>0</v>
      </c>
      <c r="AB113" s="85">
        <f t="shared" si="95"/>
        <v>220439</v>
      </c>
      <c r="AC113" s="85">
        <f t="shared" si="95"/>
        <v>8393.4</v>
      </c>
      <c r="AD113" s="85">
        <f t="shared" si="95"/>
        <v>106350</v>
      </c>
      <c r="AE113" s="85">
        <f t="shared" si="95"/>
        <v>15116</v>
      </c>
      <c r="AF113" s="85">
        <f t="shared" si="95"/>
        <v>216238</v>
      </c>
      <c r="AG113" s="85">
        <f t="shared" si="95"/>
        <v>18142</v>
      </c>
      <c r="AH113" s="85">
        <f t="shared" si="95"/>
        <v>22730</v>
      </c>
      <c r="AI113" s="85">
        <f t="shared" si="95"/>
        <v>0</v>
      </c>
      <c r="AJ113" s="85">
        <f t="shared" si="95"/>
        <v>163479</v>
      </c>
      <c r="AK113" s="85">
        <f t="shared" si="95"/>
        <v>1039322.15</v>
      </c>
      <c r="AL113" s="85">
        <f t="shared" si="95"/>
        <v>186701.1</v>
      </c>
      <c r="AM113" s="85">
        <f t="shared" si="95"/>
        <v>24221</v>
      </c>
      <c r="AN113" s="85">
        <f t="shared" si="95"/>
        <v>744467.39</v>
      </c>
      <c r="AO113" s="85">
        <f t="shared" si="95"/>
        <v>88171.45</v>
      </c>
      <c r="AP113" s="85">
        <f t="shared" si="95"/>
        <v>97134.65</v>
      </c>
      <c r="AQ113" s="85">
        <f t="shared" si="95"/>
        <v>9935</v>
      </c>
      <c r="AR113" s="85">
        <f t="shared" si="95"/>
        <v>651623.30000000005</v>
      </c>
      <c r="AS113" s="85">
        <f t="shared" si="95"/>
        <v>0</v>
      </c>
      <c r="AT113" s="85">
        <f t="shared" si="95"/>
        <v>200000</v>
      </c>
      <c r="AU113" s="85">
        <f t="shared" si="95"/>
        <v>10000</v>
      </c>
      <c r="AV113" s="85">
        <f t="shared" si="95"/>
        <v>27500</v>
      </c>
      <c r="AW113" s="85">
        <f t="shared" si="95"/>
        <v>0</v>
      </c>
      <c r="AX113" s="85">
        <f t="shared" si="95"/>
        <v>0</v>
      </c>
      <c r="AY113" s="85">
        <f t="shared" si="95"/>
        <v>13795</v>
      </c>
      <c r="AZ113" s="85">
        <f t="shared" si="95"/>
        <v>4852.3500000000004</v>
      </c>
      <c r="BA113" s="85">
        <f t="shared" si="95"/>
        <v>160000</v>
      </c>
      <c r="BB113" s="85">
        <f t="shared" si="95"/>
        <v>9142</v>
      </c>
      <c r="BC113" s="85">
        <f t="shared" si="95"/>
        <v>0</v>
      </c>
      <c r="BD113" s="85">
        <f t="shared" si="95"/>
        <v>1214464.8</v>
      </c>
      <c r="BE113" s="85">
        <f t="shared" si="95"/>
        <v>0</v>
      </c>
      <c r="BF113" s="85">
        <f t="shared" si="95"/>
        <v>9955024.3499999996</v>
      </c>
      <c r="BG113" s="85">
        <f t="shared" si="95"/>
        <v>4240041.5599999996</v>
      </c>
      <c r="BH113" s="85">
        <f t="shared" si="95"/>
        <v>1233652.6000000001</v>
      </c>
      <c r="BI113" s="85">
        <f t="shared" si="95"/>
        <v>4481330.1900000004</v>
      </c>
    </row>
    <row r="114" spans="2:61" x14ac:dyDescent="0.25">
      <c r="C114">
        <v>630</v>
      </c>
      <c r="D114" t="s">
        <v>466</v>
      </c>
      <c r="E114" s="4">
        <v>0</v>
      </c>
      <c r="F114" s="4">
        <v>0</v>
      </c>
      <c r="G114" s="4">
        <v>0</v>
      </c>
      <c r="H114" s="4">
        <v>0</v>
      </c>
      <c r="I114" s="4">
        <v>66333</v>
      </c>
      <c r="J114" s="4">
        <v>573181.69999999995</v>
      </c>
      <c r="K114" s="4">
        <v>0</v>
      </c>
      <c r="L114" s="4">
        <v>0</v>
      </c>
      <c r="M114" s="4">
        <v>0</v>
      </c>
      <c r="N114" s="4">
        <v>0</v>
      </c>
      <c r="O114" s="4">
        <v>0</v>
      </c>
      <c r="P114" s="4">
        <v>0</v>
      </c>
      <c r="Q114" s="4">
        <v>0</v>
      </c>
      <c r="R114" s="4">
        <v>0</v>
      </c>
      <c r="S114" s="4">
        <v>0</v>
      </c>
      <c r="T114" s="4">
        <v>0</v>
      </c>
      <c r="U114" s="4">
        <v>0</v>
      </c>
      <c r="V114" s="4">
        <v>0</v>
      </c>
      <c r="W114" s="4">
        <v>1043864.25</v>
      </c>
      <c r="X114" s="4">
        <v>0</v>
      </c>
      <c r="Y114" s="4">
        <v>0</v>
      </c>
      <c r="Z114" s="4">
        <v>0</v>
      </c>
      <c r="AA114" s="4">
        <v>0</v>
      </c>
      <c r="AB114" s="4">
        <v>40492</v>
      </c>
      <c r="AC114" s="4">
        <v>0</v>
      </c>
      <c r="AD114" s="4">
        <v>0</v>
      </c>
      <c r="AE114" s="4">
        <v>0</v>
      </c>
      <c r="AF114" s="4">
        <v>157480</v>
      </c>
      <c r="AG114" s="4">
        <v>0</v>
      </c>
      <c r="AH114" s="4">
        <v>0</v>
      </c>
      <c r="AI114" s="4">
        <v>0</v>
      </c>
      <c r="AJ114" s="4">
        <v>89098</v>
      </c>
      <c r="AK114" s="4">
        <v>0</v>
      </c>
      <c r="AL114" s="4">
        <v>186701.1</v>
      </c>
      <c r="AM114" s="4">
        <v>0</v>
      </c>
      <c r="AN114" s="4">
        <v>0</v>
      </c>
      <c r="AO114" s="4">
        <v>0</v>
      </c>
      <c r="AP114" s="4">
        <v>0</v>
      </c>
      <c r="AQ114" s="4">
        <v>0</v>
      </c>
      <c r="AR114" s="4">
        <v>50000</v>
      </c>
      <c r="AS114" s="4">
        <v>0</v>
      </c>
      <c r="AT114" s="4">
        <v>0</v>
      </c>
      <c r="AU114" s="4">
        <v>0</v>
      </c>
      <c r="AV114" s="4">
        <v>0</v>
      </c>
      <c r="AW114" s="4">
        <v>0</v>
      </c>
      <c r="AX114" s="4">
        <v>0</v>
      </c>
      <c r="AY114" s="4">
        <v>0</v>
      </c>
      <c r="AZ114" s="4">
        <v>0</v>
      </c>
      <c r="BA114" s="4">
        <v>25000</v>
      </c>
      <c r="BB114" s="4">
        <v>0</v>
      </c>
      <c r="BC114" s="4">
        <v>0</v>
      </c>
      <c r="BD114" s="4">
        <v>9382</v>
      </c>
      <c r="BE114" s="4">
        <v>0</v>
      </c>
      <c r="BF114" s="4">
        <f t="shared" ref="BF114:BF122" si="96">SUM(E114:BE114)</f>
        <v>2241532.0499999998</v>
      </c>
      <c r="BG114" s="4">
        <f t="shared" ref="BG114:BG122" si="97">SUM(E114:W114)</f>
        <v>1683378.95</v>
      </c>
      <c r="BH114" s="4">
        <f t="shared" ref="BH114:BH122" si="98">SUM(X114:AJ114)</f>
        <v>287070</v>
      </c>
      <c r="BI114" s="4">
        <f t="shared" ref="BI114:BI123" si="99">SUM(AK114:BE114)</f>
        <v>271083.09999999998</v>
      </c>
    </row>
    <row r="115" spans="2:61" x14ac:dyDescent="0.25">
      <c r="C115">
        <v>631</v>
      </c>
      <c r="D115" t="s">
        <v>467</v>
      </c>
      <c r="E115" s="4">
        <v>0</v>
      </c>
      <c r="F115" s="4">
        <v>22271.55</v>
      </c>
      <c r="G115" s="4">
        <v>-4478.2</v>
      </c>
      <c r="H115" s="4">
        <v>0</v>
      </c>
      <c r="I115" s="4">
        <v>78660.800000000003</v>
      </c>
      <c r="J115" s="4">
        <v>108302.7</v>
      </c>
      <c r="K115" s="4">
        <v>328647.25</v>
      </c>
      <c r="L115" s="4">
        <v>0</v>
      </c>
      <c r="M115" s="4">
        <v>166289.70000000001</v>
      </c>
      <c r="N115" s="4">
        <v>0</v>
      </c>
      <c r="O115" s="4">
        <v>417771.2</v>
      </c>
      <c r="P115" s="4">
        <v>0</v>
      </c>
      <c r="Q115" s="4">
        <v>0</v>
      </c>
      <c r="R115" s="4">
        <v>0</v>
      </c>
      <c r="S115" s="4">
        <v>0</v>
      </c>
      <c r="T115" s="4">
        <v>0</v>
      </c>
      <c r="U115" s="4">
        <v>0</v>
      </c>
      <c r="V115" s="4">
        <v>0</v>
      </c>
      <c r="W115" s="4">
        <v>117022.85</v>
      </c>
      <c r="X115" s="4">
        <v>0</v>
      </c>
      <c r="Y115" s="4">
        <v>218420.6</v>
      </c>
      <c r="Z115" s="4">
        <v>0</v>
      </c>
      <c r="AA115" s="4">
        <v>0</v>
      </c>
      <c r="AB115" s="4">
        <v>179547</v>
      </c>
      <c r="AC115" s="4">
        <v>8393.4</v>
      </c>
      <c r="AD115" s="4">
        <v>6350</v>
      </c>
      <c r="AE115" s="4">
        <v>15116</v>
      </c>
      <c r="AF115" s="4">
        <v>58758</v>
      </c>
      <c r="AG115" s="4">
        <v>18142</v>
      </c>
      <c r="AH115" s="4">
        <v>17480</v>
      </c>
      <c r="AI115" s="4">
        <v>0</v>
      </c>
      <c r="AJ115" s="4">
        <v>74381</v>
      </c>
      <c r="AK115" s="4">
        <v>88600</v>
      </c>
      <c r="AL115" s="4">
        <v>0</v>
      </c>
      <c r="AM115" s="4">
        <v>24221</v>
      </c>
      <c r="AN115" s="4">
        <v>301664.5</v>
      </c>
      <c r="AO115" s="4">
        <v>48656</v>
      </c>
      <c r="AP115" s="4">
        <v>22134.65</v>
      </c>
      <c r="AQ115" s="4">
        <v>9935</v>
      </c>
      <c r="AR115" s="4">
        <v>253918.25</v>
      </c>
      <c r="AS115" s="4">
        <v>0</v>
      </c>
      <c r="AT115" s="4">
        <v>0</v>
      </c>
      <c r="AU115" s="4">
        <v>0</v>
      </c>
      <c r="AV115" s="4">
        <v>17500</v>
      </c>
      <c r="AW115" s="4">
        <v>0</v>
      </c>
      <c r="AX115" s="4">
        <v>0</v>
      </c>
      <c r="AY115" s="4">
        <v>13795</v>
      </c>
      <c r="AZ115" s="4">
        <v>4852.3500000000004</v>
      </c>
      <c r="BA115" s="4">
        <v>15000</v>
      </c>
      <c r="BB115" s="4">
        <v>9142</v>
      </c>
      <c r="BC115" s="4">
        <v>0</v>
      </c>
      <c r="BD115" s="4">
        <v>1129222.8</v>
      </c>
      <c r="BE115" s="4">
        <v>0</v>
      </c>
      <c r="BF115" s="4">
        <f t="shared" si="96"/>
        <v>3769717.4000000004</v>
      </c>
      <c r="BG115" s="4">
        <f t="shared" si="97"/>
        <v>1234487.8500000001</v>
      </c>
      <c r="BH115" s="4">
        <f t="shared" si="98"/>
        <v>596588</v>
      </c>
      <c r="BI115" s="4">
        <f t="shared" si="99"/>
        <v>1938641.55</v>
      </c>
    </row>
    <row r="116" spans="2:61" x14ac:dyDescent="0.25">
      <c r="C116">
        <v>632</v>
      </c>
      <c r="D116" t="s">
        <v>468</v>
      </c>
      <c r="E116" s="4">
        <v>143994</v>
      </c>
      <c r="F116" s="4">
        <v>0</v>
      </c>
      <c r="G116" s="4">
        <v>0</v>
      </c>
      <c r="H116" s="4">
        <v>0</v>
      </c>
      <c r="I116" s="4">
        <v>0</v>
      </c>
      <c r="J116" s="4">
        <v>556395.86</v>
      </c>
      <c r="K116" s="4">
        <v>0</v>
      </c>
      <c r="L116" s="4">
        <v>0</v>
      </c>
      <c r="M116" s="4">
        <v>0</v>
      </c>
      <c r="N116" s="4">
        <v>0</v>
      </c>
      <c r="O116" s="4">
        <v>36211.699999999997</v>
      </c>
      <c r="P116" s="4">
        <v>0</v>
      </c>
      <c r="Q116" s="4">
        <v>0</v>
      </c>
      <c r="R116" s="4">
        <v>0</v>
      </c>
      <c r="S116" s="4">
        <v>0</v>
      </c>
      <c r="T116" s="4">
        <v>0</v>
      </c>
      <c r="U116" s="4">
        <v>0</v>
      </c>
      <c r="V116" s="4">
        <v>0</v>
      </c>
      <c r="W116" s="4">
        <v>50000</v>
      </c>
      <c r="X116" s="4">
        <v>0</v>
      </c>
      <c r="Y116" s="4">
        <v>0</v>
      </c>
      <c r="Z116" s="4">
        <v>0</v>
      </c>
      <c r="AA116" s="4">
        <v>0</v>
      </c>
      <c r="AB116" s="4">
        <v>0</v>
      </c>
      <c r="AC116" s="4">
        <v>0</v>
      </c>
      <c r="AD116" s="4">
        <v>0</v>
      </c>
      <c r="AE116" s="4">
        <v>0</v>
      </c>
      <c r="AF116" s="4">
        <v>0</v>
      </c>
      <c r="AG116" s="4">
        <v>0</v>
      </c>
      <c r="AH116" s="4">
        <v>0</v>
      </c>
      <c r="AI116" s="4">
        <v>0</v>
      </c>
      <c r="AJ116" s="4">
        <v>0</v>
      </c>
      <c r="AK116" s="4">
        <v>882941</v>
      </c>
      <c r="AL116" s="4">
        <v>0</v>
      </c>
      <c r="AM116" s="4">
        <v>0</v>
      </c>
      <c r="AN116" s="4">
        <v>442802.89</v>
      </c>
      <c r="AO116" s="4">
        <v>6415.45</v>
      </c>
      <c r="AP116" s="4">
        <v>75000</v>
      </c>
      <c r="AQ116" s="4">
        <v>0</v>
      </c>
      <c r="AR116" s="4">
        <v>0</v>
      </c>
      <c r="AS116" s="4">
        <v>0</v>
      </c>
      <c r="AT116" s="4">
        <v>0</v>
      </c>
      <c r="AU116" s="4">
        <v>10000</v>
      </c>
      <c r="AV116" s="4">
        <v>0</v>
      </c>
      <c r="AW116" s="4">
        <v>0</v>
      </c>
      <c r="AX116" s="4">
        <v>0</v>
      </c>
      <c r="AY116" s="4">
        <v>0</v>
      </c>
      <c r="AZ116" s="4">
        <v>0</v>
      </c>
      <c r="BA116" s="4">
        <v>0</v>
      </c>
      <c r="BB116" s="4">
        <v>0</v>
      </c>
      <c r="BC116" s="4">
        <v>0</v>
      </c>
      <c r="BD116" s="4">
        <v>75860</v>
      </c>
      <c r="BE116" s="4">
        <v>0</v>
      </c>
      <c r="BF116" s="4">
        <f t="shared" si="96"/>
        <v>2279620.9000000004</v>
      </c>
      <c r="BG116" s="4">
        <f t="shared" si="97"/>
        <v>786601.55999999994</v>
      </c>
      <c r="BH116" s="4">
        <f t="shared" si="98"/>
        <v>0</v>
      </c>
      <c r="BI116" s="4">
        <f t="shared" si="99"/>
        <v>1493019.34</v>
      </c>
    </row>
    <row r="117" spans="2:61" x14ac:dyDescent="0.25">
      <c r="C117">
        <v>633</v>
      </c>
      <c r="D117" t="s">
        <v>469</v>
      </c>
      <c r="E117" s="4">
        <v>0</v>
      </c>
      <c r="F117" s="4">
        <v>0</v>
      </c>
      <c r="G117" s="4">
        <v>0</v>
      </c>
      <c r="H117" s="4">
        <v>0</v>
      </c>
      <c r="I117" s="4">
        <v>0</v>
      </c>
      <c r="J117" s="4">
        <v>0</v>
      </c>
      <c r="K117" s="4">
        <v>0</v>
      </c>
      <c r="L117" s="4">
        <v>0</v>
      </c>
      <c r="M117" s="4">
        <v>0</v>
      </c>
      <c r="N117" s="4">
        <v>0</v>
      </c>
      <c r="O117" s="4">
        <v>0</v>
      </c>
      <c r="P117" s="4">
        <v>0</v>
      </c>
      <c r="Q117" s="4">
        <v>0</v>
      </c>
      <c r="R117" s="4">
        <v>0</v>
      </c>
      <c r="S117" s="4">
        <v>0</v>
      </c>
      <c r="T117" s="4">
        <v>0</v>
      </c>
      <c r="U117" s="4">
        <v>0</v>
      </c>
      <c r="V117" s="4">
        <v>0</v>
      </c>
      <c r="W117" s="4">
        <v>0</v>
      </c>
      <c r="X117" s="4">
        <v>0</v>
      </c>
      <c r="Y117" s="4">
        <v>0</v>
      </c>
      <c r="Z117" s="4">
        <v>0</v>
      </c>
      <c r="AA117" s="4">
        <v>0</v>
      </c>
      <c r="AB117" s="4">
        <v>0</v>
      </c>
      <c r="AC117" s="4">
        <v>0</v>
      </c>
      <c r="AD117" s="4">
        <v>0</v>
      </c>
      <c r="AE117" s="4">
        <v>0</v>
      </c>
      <c r="AF117" s="4">
        <v>0</v>
      </c>
      <c r="AG117" s="4">
        <v>0</v>
      </c>
      <c r="AH117" s="4">
        <v>0</v>
      </c>
      <c r="AI117" s="4">
        <v>0</v>
      </c>
      <c r="AJ117" s="4">
        <v>0</v>
      </c>
      <c r="AK117" s="4">
        <v>0</v>
      </c>
      <c r="AL117" s="4">
        <v>0</v>
      </c>
      <c r="AM117" s="4">
        <v>0</v>
      </c>
      <c r="AN117" s="4">
        <v>0</v>
      </c>
      <c r="AO117" s="4">
        <v>0</v>
      </c>
      <c r="AP117" s="4">
        <v>0</v>
      </c>
      <c r="AQ117" s="4">
        <v>0</v>
      </c>
      <c r="AR117" s="4">
        <v>0</v>
      </c>
      <c r="AS117" s="4">
        <v>0</v>
      </c>
      <c r="AT117" s="4">
        <v>0</v>
      </c>
      <c r="AU117" s="4">
        <v>0</v>
      </c>
      <c r="AV117" s="4">
        <v>0</v>
      </c>
      <c r="AW117" s="4">
        <v>0</v>
      </c>
      <c r="AX117" s="4">
        <v>0</v>
      </c>
      <c r="AY117" s="4">
        <v>0</v>
      </c>
      <c r="AZ117" s="4">
        <v>0</v>
      </c>
      <c r="BA117" s="4">
        <v>0</v>
      </c>
      <c r="BB117" s="4">
        <v>0</v>
      </c>
      <c r="BC117" s="4">
        <v>0</v>
      </c>
      <c r="BD117" s="4">
        <v>0</v>
      </c>
      <c r="BE117" s="4">
        <v>0</v>
      </c>
      <c r="BF117" s="4">
        <f t="shared" si="96"/>
        <v>0</v>
      </c>
      <c r="BG117" s="4">
        <f t="shared" si="97"/>
        <v>0</v>
      </c>
      <c r="BH117" s="4">
        <f t="shared" si="98"/>
        <v>0</v>
      </c>
      <c r="BI117" s="4">
        <f t="shared" si="99"/>
        <v>0</v>
      </c>
    </row>
    <row r="118" spans="2:61" x14ac:dyDescent="0.25">
      <c r="C118">
        <v>634</v>
      </c>
      <c r="D118" t="s">
        <v>470</v>
      </c>
      <c r="E118" s="4">
        <v>0</v>
      </c>
      <c r="F118" s="4">
        <v>0</v>
      </c>
      <c r="G118" s="4">
        <v>248100</v>
      </c>
      <c r="H118" s="4">
        <v>0</v>
      </c>
      <c r="I118" s="4">
        <v>0</v>
      </c>
      <c r="J118" s="4">
        <v>20575.650000000001</v>
      </c>
      <c r="K118" s="4">
        <v>0</v>
      </c>
      <c r="L118" s="4">
        <v>0</v>
      </c>
      <c r="M118" s="4">
        <v>0</v>
      </c>
      <c r="N118" s="4">
        <v>0</v>
      </c>
      <c r="O118" s="4">
        <v>0</v>
      </c>
      <c r="P118" s="4">
        <v>0</v>
      </c>
      <c r="Q118" s="4">
        <v>0</v>
      </c>
      <c r="R118" s="4">
        <v>0</v>
      </c>
      <c r="S118" s="4">
        <v>0</v>
      </c>
      <c r="T118" s="4">
        <v>0</v>
      </c>
      <c r="U118" s="4">
        <v>0</v>
      </c>
      <c r="V118" s="4">
        <v>0</v>
      </c>
      <c r="W118" s="4">
        <v>0</v>
      </c>
      <c r="X118" s="4">
        <v>0</v>
      </c>
      <c r="Y118" s="4">
        <v>0</v>
      </c>
      <c r="Z118" s="4">
        <v>0</v>
      </c>
      <c r="AA118" s="4">
        <v>0</v>
      </c>
      <c r="AB118" s="4">
        <v>0</v>
      </c>
      <c r="AC118" s="4">
        <v>0</v>
      </c>
      <c r="AD118" s="4">
        <v>0</v>
      </c>
      <c r="AE118" s="4">
        <v>0</v>
      </c>
      <c r="AF118" s="4">
        <v>0</v>
      </c>
      <c r="AG118" s="4">
        <v>0</v>
      </c>
      <c r="AH118" s="4">
        <v>5250</v>
      </c>
      <c r="AI118" s="4">
        <v>0</v>
      </c>
      <c r="AJ118" s="4">
        <v>0</v>
      </c>
      <c r="AK118" s="4">
        <v>50000</v>
      </c>
      <c r="AL118" s="4">
        <v>0</v>
      </c>
      <c r="AM118" s="4">
        <v>0</v>
      </c>
      <c r="AN118" s="4">
        <v>0</v>
      </c>
      <c r="AO118" s="4">
        <v>33100</v>
      </c>
      <c r="AP118" s="4">
        <v>0</v>
      </c>
      <c r="AQ118" s="4">
        <v>0</v>
      </c>
      <c r="AR118" s="4">
        <v>0</v>
      </c>
      <c r="AS118" s="4">
        <v>0</v>
      </c>
      <c r="AT118" s="4">
        <v>0</v>
      </c>
      <c r="AU118" s="4">
        <v>0</v>
      </c>
      <c r="AV118" s="4">
        <v>0</v>
      </c>
      <c r="AW118" s="4">
        <v>0</v>
      </c>
      <c r="AX118" s="4">
        <v>0</v>
      </c>
      <c r="AY118" s="4">
        <v>0</v>
      </c>
      <c r="AZ118" s="4">
        <v>0</v>
      </c>
      <c r="BA118" s="4">
        <v>0</v>
      </c>
      <c r="BB118" s="4">
        <v>0</v>
      </c>
      <c r="BC118" s="4">
        <v>0</v>
      </c>
      <c r="BD118" s="4">
        <v>0</v>
      </c>
      <c r="BE118" s="4">
        <v>0</v>
      </c>
      <c r="BF118" s="4">
        <f t="shared" si="96"/>
        <v>357025.65</v>
      </c>
      <c r="BG118" s="4">
        <f t="shared" si="97"/>
        <v>268675.65000000002</v>
      </c>
      <c r="BH118" s="4">
        <f t="shared" si="98"/>
        <v>5250</v>
      </c>
      <c r="BI118" s="4">
        <f t="shared" si="99"/>
        <v>83100</v>
      </c>
    </row>
    <row r="119" spans="2:61" x14ac:dyDescent="0.25">
      <c r="C119">
        <v>635</v>
      </c>
      <c r="D119" t="s">
        <v>471</v>
      </c>
      <c r="E119" s="4">
        <v>0</v>
      </c>
      <c r="F119" s="4">
        <v>0</v>
      </c>
      <c r="G119" s="4">
        <v>0</v>
      </c>
      <c r="H119" s="4">
        <v>0</v>
      </c>
      <c r="I119" s="4">
        <v>0</v>
      </c>
      <c r="J119" s="4">
        <v>0</v>
      </c>
      <c r="K119" s="4">
        <v>0</v>
      </c>
      <c r="L119" s="4">
        <v>0</v>
      </c>
      <c r="M119" s="4">
        <v>0</v>
      </c>
      <c r="N119" s="4">
        <v>0</v>
      </c>
      <c r="O119" s="4">
        <v>37000</v>
      </c>
      <c r="P119" s="4">
        <v>0</v>
      </c>
      <c r="Q119" s="4">
        <v>0</v>
      </c>
      <c r="R119" s="4">
        <v>0</v>
      </c>
      <c r="S119" s="4">
        <v>0</v>
      </c>
      <c r="T119" s="4">
        <v>0</v>
      </c>
      <c r="U119" s="4">
        <v>0</v>
      </c>
      <c r="V119" s="4">
        <v>28103</v>
      </c>
      <c r="W119" s="4">
        <v>27948</v>
      </c>
      <c r="X119" s="4">
        <v>0</v>
      </c>
      <c r="Y119" s="4">
        <v>0</v>
      </c>
      <c r="Z119" s="4">
        <v>0</v>
      </c>
      <c r="AA119" s="4">
        <v>0</v>
      </c>
      <c r="AB119" s="4">
        <v>0</v>
      </c>
      <c r="AC119" s="4">
        <v>0</v>
      </c>
      <c r="AD119" s="4">
        <v>0</v>
      </c>
      <c r="AE119" s="4">
        <v>0</v>
      </c>
      <c r="AF119" s="4">
        <v>0</v>
      </c>
      <c r="AG119" s="4">
        <v>0</v>
      </c>
      <c r="AH119" s="4">
        <v>0</v>
      </c>
      <c r="AI119" s="4">
        <v>0</v>
      </c>
      <c r="AJ119" s="4">
        <v>0</v>
      </c>
      <c r="AK119" s="4">
        <v>17781.150000000001</v>
      </c>
      <c r="AL119" s="4">
        <v>0</v>
      </c>
      <c r="AM119" s="4">
        <v>0</v>
      </c>
      <c r="AN119" s="4">
        <v>0</v>
      </c>
      <c r="AO119" s="4">
        <v>0</v>
      </c>
      <c r="AP119" s="4">
        <v>0</v>
      </c>
      <c r="AQ119" s="4">
        <v>0</v>
      </c>
      <c r="AR119" s="4">
        <v>0</v>
      </c>
      <c r="AS119" s="4">
        <v>0</v>
      </c>
      <c r="AT119" s="4">
        <v>0</v>
      </c>
      <c r="AU119" s="4">
        <v>0</v>
      </c>
      <c r="AV119" s="4">
        <v>0</v>
      </c>
      <c r="AW119" s="4">
        <v>0</v>
      </c>
      <c r="AX119" s="4">
        <v>0</v>
      </c>
      <c r="AY119" s="4">
        <v>0</v>
      </c>
      <c r="AZ119" s="4">
        <v>0</v>
      </c>
      <c r="BA119" s="4">
        <v>0</v>
      </c>
      <c r="BB119" s="4">
        <v>0</v>
      </c>
      <c r="BC119" s="4">
        <v>0</v>
      </c>
      <c r="BD119" s="4">
        <v>0</v>
      </c>
      <c r="BE119" s="4">
        <v>0</v>
      </c>
      <c r="BF119" s="4">
        <f t="shared" si="96"/>
        <v>110832.15</v>
      </c>
      <c r="BG119" s="4">
        <f t="shared" si="97"/>
        <v>93051</v>
      </c>
      <c r="BH119" s="4">
        <f t="shared" si="98"/>
        <v>0</v>
      </c>
      <c r="BI119" s="4">
        <f t="shared" si="99"/>
        <v>17781.150000000001</v>
      </c>
    </row>
    <row r="120" spans="2:61" x14ac:dyDescent="0.25">
      <c r="C120">
        <v>636</v>
      </c>
      <c r="D120" t="s">
        <v>472</v>
      </c>
      <c r="E120" s="4">
        <v>0</v>
      </c>
      <c r="F120" s="4">
        <v>0</v>
      </c>
      <c r="G120" s="4">
        <v>0</v>
      </c>
      <c r="H120" s="4">
        <v>0</v>
      </c>
      <c r="I120" s="4">
        <v>0</v>
      </c>
      <c r="J120" s="4">
        <v>35865.1</v>
      </c>
      <c r="K120" s="4">
        <v>62000</v>
      </c>
      <c r="L120" s="4">
        <v>0</v>
      </c>
      <c r="M120" s="4">
        <v>0</v>
      </c>
      <c r="N120" s="4">
        <v>0</v>
      </c>
      <c r="O120" s="4">
        <v>0</v>
      </c>
      <c r="P120" s="4">
        <v>0</v>
      </c>
      <c r="Q120" s="4">
        <v>0</v>
      </c>
      <c r="R120" s="4">
        <v>0</v>
      </c>
      <c r="S120" s="4">
        <v>0</v>
      </c>
      <c r="T120" s="4">
        <v>0</v>
      </c>
      <c r="U120" s="4">
        <v>0</v>
      </c>
      <c r="V120" s="4">
        <v>0</v>
      </c>
      <c r="W120" s="4">
        <v>64094</v>
      </c>
      <c r="X120" s="4">
        <v>0</v>
      </c>
      <c r="Y120" s="4">
        <v>0</v>
      </c>
      <c r="Z120" s="4">
        <v>0</v>
      </c>
      <c r="AA120" s="4">
        <v>0</v>
      </c>
      <c r="AB120" s="4">
        <v>400</v>
      </c>
      <c r="AC120" s="4">
        <v>0</v>
      </c>
      <c r="AD120" s="4">
        <v>100000</v>
      </c>
      <c r="AE120" s="4">
        <v>0</v>
      </c>
      <c r="AF120" s="4">
        <v>0</v>
      </c>
      <c r="AG120" s="4">
        <v>0</v>
      </c>
      <c r="AH120" s="4">
        <v>0</v>
      </c>
      <c r="AI120" s="4">
        <v>0</v>
      </c>
      <c r="AJ120" s="4">
        <v>0</v>
      </c>
      <c r="AK120" s="4">
        <v>0</v>
      </c>
      <c r="AL120" s="4">
        <v>0</v>
      </c>
      <c r="AM120" s="4">
        <v>0</v>
      </c>
      <c r="AN120" s="4">
        <v>0</v>
      </c>
      <c r="AO120" s="4">
        <v>0</v>
      </c>
      <c r="AP120" s="4">
        <v>0</v>
      </c>
      <c r="AQ120" s="4">
        <v>0</v>
      </c>
      <c r="AR120" s="4">
        <v>0</v>
      </c>
      <c r="AS120" s="4">
        <v>0</v>
      </c>
      <c r="AT120" s="4">
        <v>200000</v>
      </c>
      <c r="AU120" s="4">
        <v>0</v>
      </c>
      <c r="AV120" s="4">
        <v>10000</v>
      </c>
      <c r="AW120" s="4">
        <v>0</v>
      </c>
      <c r="AX120" s="4">
        <v>0</v>
      </c>
      <c r="AY120" s="4">
        <v>0</v>
      </c>
      <c r="AZ120" s="4">
        <v>0</v>
      </c>
      <c r="BA120" s="4">
        <v>120000</v>
      </c>
      <c r="BB120" s="4">
        <v>0</v>
      </c>
      <c r="BC120" s="4">
        <v>0</v>
      </c>
      <c r="BD120" s="4">
        <v>0</v>
      </c>
      <c r="BE120" s="4">
        <v>0</v>
      </c>
      <c r="BF120" s="4">
        <f t="shared" si="96"/>
        <v>592359.1</v>
      </c>
      <c r="BG120" s="4">
        <f t="shared" si="97"/>
        <v>161959.1</v>
      </c>
      <c r="BH120" s="4">
        <f t="shared" si="98"/>
        <v>100400</v>
      </c>
      <c r="BI120" s="4">
        <f t="shared" si="99"/>
        <v>330000</v>
      </c>
    </row>
    <row r="121" spans="2:61" x14ac:dyDescent="0.25">
      <c r="C121">
        <v>637</v>
      </c>
      <c r="D121" t="s">
        <v>473</v>
      </c>
      <c r="E121" s="4">
        <v>0</v>
      </c>
      <c r="F121" s="4">
        <v>0</v>
      </c>
      <c r="G121" s="4">
        <v>0</v>
      </c>
      <c r="H121" s="4">
        <v>0</v>
      </c>
      <c r="I121" s="4">
        <v>0</v>
      </c>
      <c r="J121" s="4">
        <v>6569.3</v>
      </c>
      <c r="K121" s="4">
        <v>0</v>
      </c>
      <c r="L121" s="4">
        <v>0</v>
      </c>
      <c r="M121" s="4">
        <v>0</v>
      </c>
      <c r="N121" s="4">
        <v>0</v>
      </c>
      <c r="O121" s="4">
        <v>5318.15</v>
      </c>
      <c r="P121" s="4">
        <v>0</v>
      </c>
      <c r="Q121" s="4">
        <v>0</v>
      </c>
      <c r="R121" s="4">
        <v>0</v>
      </c>
      <c r="S121" s="4">
        <v>0</v>
      </c>
      <c r="T121" s="4">
        <v>0</v>
      </c>
      <c r="U121" s="4">
        <v>0</v>
      </c>
      <c r="V121" s="4">
        <v>0</v>
      </c>
      <c r="W121" s="4">
        <v>0</v>
      </c>
      <c r="X121" s="4">
        <v>0</v>
      </c>
      <c r="Y121" s="4">
        <v>244344.6</v>
      </c>
      <c r="Z121" s="4">
        <v>0</v>
      </c>
      <c r="AA121" s="4">
        <v>0</v>
      </c>
      <c r="AB121" s="4">
        <v>0</v>
      </c>
      <c r="AC121" s="4">
        <v>0</v>
      </c>
      <c r="AD121" s="4">
        <v>0</v>
      </c>
      <c r="AE121" s="4">
        <v>0</v>
      </c>
      <c r="AF121" s="4">
        <v>0</v>
      </c>
      <c r="AG121" s="4">
        <v>0</v>
      </c>
      <c r="AH121" s="4">
        <v>0</v>
      </c>
      <c r="AI121" s="4">
        <v>0</v>
      </c>
      <c r="AJ121" s="4">
        <v>0</v>
      </c>
      <c r="AK121" s="4">
        <v>0</v>
      </c>
      <c r="AL121" s="4">
        <v>0</v>
      </c>
      <c r="AM121" s="4">
        <v>0</v>
      </c>
      <c r="AN121" s="4">
        <v>0</v>
      </c>
      <c r="AO121" s="4">
        <v>0</v>
      </c>
      <c r="AP121" s="4">
        <v>0</v>
      </c>
      <c r="AQ121" s="4">
        <v>0</v>
      </c>
      <c r="AR121" s="4">
        <v>347705.05</v>
      </c>
      <c r="AS121" s="4">
        <v>0</v>
      </c>
      <c r="AT121" s="4">
        <v>0</v>
      </c>
      <c r="AU121" s="4">
        <v>0</v>
      </c>
      <c r="AV121" s="4">
        <v>0</v>
      </c>
      <c r="AW121" s="4">
        <v>0</v>
      </c>
      <c r="AX121" s="4">
        <v>0</v>
      </c>
      <c r="AY121" s="4">
        <v>0</v>
      </c>
      <c r="AZ121" s="4">
        <v>0</v>
      </c>
      <c r="BA121" s="4">
        <v>0</v>
      </c>
      <c r="BB121" s="4">
        <v>0</v>
      </c>
      <c r="BC121" s="4">
        <v>0</v>
      </c>
      <c r="BD121" s="4">
        <v>0</v>
      </c>
      <c r="BE121" s="4">
        <v>0</v>
      </c>
      <c r="BF121" s="4">
        <f t="shared" si="96"/>
        <v>603937.1</v>
      </c>
      <c r="BG121" s="4">
        <f t="shared" si="97"/>
        <v>11887.45</v>
      </c>
      <c r="BH121" s="4">
        <f t="shared" si="98"/>
        <v>244344.6</v>
      </c>
      <c r="BI121" s="4">
        <f t="shared" si="99"/>
        <v>347705.05</v>
      </c>
    </row>
    <row r="122" spans="2:61" x14ac:dyDescent="0.25">
      <c r="C122">
        <v>638</v>
      </c>
      <c r="D122" t="s">
        <v>474</v>
      </c>
      <c r="E122" s="4">
        <v>0</v>
      </c>
      <c r="F122" s="4">
        <v>0</v>
      </c>
      <c r="G122" s="4">
        <v>0</v>
      </c>
      <c r="H122" s="4">
        <v>0</v>
      </c>
      <c r="I122" s="4">
        <v>0</v>
      </c>
      <c r="J122" s="4">
        <v>0</v>
      </c>
      <c r="K122" s="4">
        <v>0</v>
      </c>
      <c r="L122" s="4">
        <v>0</v>
      </c>
      <c r="M122" s="4">
        <v>0</v>
      </c>
      <c r="N122" s="4">
        <v>0</v>
      </c>
      <c r="O122" s="4">
        <v>0</v>
      </c>
      <c r="P122" s="4">
        <v>0</v>
      </c>
      <c r="Q122" s="4">
        <v>0</v>
      </c>
      <c r="R122" s="4">
        <v>0</v>
      </c>
      <c r="S122" s="4">
        <v>0</v>
      </c>
      <c r="T122" s="4">
        <v>0</v>
      </c>
      <c r="U122" s="4">
        <v>0</v>
      </c>
      <c r="V122" s="4">
        <v>0</v>
      </c>
      <c r="W122" s="4">
        <v>0</v>
      </c>
      <c r="X122" s="4">
        <v>0</v>
      </c>
      <c r="Y122" s="4">
        <v>0</v>
      </c>
      <c r="Z122" s="4">
        <v>0</v>
      </c>
      <c r="AA122" s="4">
        <v>0</v>
      </c>
      <c r="AB122" s="4">
        <v>0</v>
      </c>
      <c r="AC122" s="4">
        <v>0</v>
      </c>
      <c r="AD122" s="4">
        <v>0</v>
      </c>
      <c r="AE122" s="4">
        <v>0</v>
      </c>
      <c r="AF122" s="4">
        <v>0</v>
      </c>
      <c r="AG122" s="4">
        <v>0</v>
      </c>
      <c r="AH122" s="4">
        <v>0</v>
      </c>
      <c r="AI122" s="4">
        <v>0</v>
      </c>
      <c r="AJ122" s="4">
        <v>0</v>
      </c>
      <c r="AK122" s="4">
        <v>0</v>
      </c>
      <c r="AL122" s="4">
        <v>0</v>
      </c>
      <c r="AM122" s="4">
        <v>0</v>
      </c>
      <c r="AN122" s="4">
        <v>0</v>
      </c>
      <c r="AO122" s="4">
        <v>0</v>
      </c>
      <c r="AP122" s="4">
        <v>0</v>
      </c>
      <c r="AQ122" s="4">
        <v>0</v>
      </c>
      <c r="AR122" s="4">
        <v>0</v>
      </c>
      <c r="AS122" s="4">
        <v>0</v>
      </c>
      <c r="AT122" s="4">
        <v>0</v>
      </c>
      <c r="AU122" s="4">
        <v>0</v>
      </c>
      <c r="AV122" s="4">
        <v>0</v>
      </c>
      <c r="AW122" s="4">
        <v>0</v>
      </c>
      <c r="AX122" s="4">
        <v>0</v>
      </c>
      <c r="AY122" s="4">
        <v>0</v>
      </c>
      <c r="AZ122" s="4">
        <v>0</v>
      </c>
      <c r="BA122" s="4">
        <v>0</v>
      </c>
      <c r="BB122" s="4">
        <v>0</v>
      </c>
      <c r="BC122" s="4">
        <v>0</v>
      </c>
      <c r="BD122" s="4">
        <v>0</v>
      </c>
      <c r="BE122" s="4">
        <v>0</v>
      </c>
      <c r="BF122" s="4">
        <f t="shared" si="96"/>
        <v>0</v>
      </c>
      <c r="BG122" s="4">
        <f t="shared" si="97"/>
        <v>0</v>
      </c>
      <c r="BH122" s="4">
        <f t="shared" si="98"/>
        <v>0</v>
      </c>
      <c r="BI122" s="4">
        <f t="shared" si="99"/>
        <v>0</v>
      </c>
    </row>
    <row r="123" spans="2:61" x14ac:dyDescent="0.25">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f t="shared" si="99"/>
        <v>0</v>
      </c>
    </row>
    <row r="124" spans="2:61" x14ac:dyDescent="0.25">
      <c r="B124" s="87">
        <v>64</v>
      </c>
      <c r="C124" s="87"/>
      <c r="D124" s="87" t="s">
        <v>486</v>
      </c>
      <c r="E124" s="85">
        <f>E125+E126+E127+E128+E129+E130+E131+E132+E133</f>
        <v>0</v>
      </c>
      <c r="F124" s="85">
        <f t="shared" ref="F124:BI124" si="100">F125+F126+F127+F128+F129+F130+F131+F132+F133</f>
        <v>0</v>
      </c>
      <c r="G124" s="85">
        <f t="shared" si="100"/>
        <v>0</v>
      </c>
      <c r="H124" s="85">
        <f t="shared" si="100"/>
        <v>0</v>
      </c>
      <c r="I124" s="85">
        <f t="shared" si="100"/>
        <v>0</v>
      </c>
      <c r="J124" s="85">
        <f t="shared" si="100"/>
        <v>0</v>
      </c>
      <c r="K124" s="85">
        <f t="shared" si="100"/>
        <v>0</v>
      </c>
      <c r="L124" s="85">
        <f t="shared" si="100"/>
        <v>0</v>
      </c>
      <c r="M124" s="85">
        <f t="shared" si="100"/>
        <v>0</v>
      </c>
      <c r="N124" s="85">
        <f t="shared" si="100"/>
        <v>0</v>
      </c>
      <c r="O124" s="85">
        <f t="shared" si="100"/>
        <v>0</v>
      </c>
      <c r="P124" s="85">
        <f t="shared" si="100"/>
        <v>0</v>
      </c>
      <c r="Q124" s="85">
        <f t="shared" si="100"/>
        <v>0</v>
      </c>
      <c r="R124" s="85">
        <f t="shared" si="100"/>
        <v>0</v>
      </c>
      <c r="S124" s="85">
        <f t="shared" si="100"/>
        <v>0</v>
      </c>
      <c r="T124" s="85">
        <f t="shared" si="100"/>
        <v>0</v>
      </c>
      <c r="U124" s="85">
        <f t="shared" si="100"/>
        <v>0</v>
      </c>
      <c r="V124" s="85">
        <f t="shared" si="100"/>
        <v>0</v>
      </c>
      <c r="W124" s="85">
        <f t="shared" si="100"/>
        <v>0</v>
      </c>
      <c r="X124" s="85">
        <f t="shared" si="100"/>
        <v>0</v>
      </c>
      <c r="Y124" s="85">
        <f t="shared" si="100"/>
        <v>0</v>
      </c>
      <c r="Z124" s="85">
        <f t="shared" si="100"/>
        <v>0</v>
      </c>
      <c r="AA124" s="85">
        <f t="shared" si="100"/>
        <v>0</v>
      </c>
      <c r="AB124" s="85">
        <f t="shared" si="100"/>
        <v>0</v>
      </c>
      <c r="AC124" s="85">
        <f t="shared" si="100"/>
        <v>0</v>
      </c>
      <c r="AD124" s="85">
        <f t="shared" si="100"/>
        <v>0</v>
      </c>
      <c r="AE124" s="85">
        <f t="shared" si="100"/>
        <v>0</v>
      </c>
      <c r="AF124" s="85">
        <f t="shared" si="100"/>
        <v>0</v>
      </c>
      <c r="AG124" s="85">
        <f t="shared" si="100"/>
        <v>0</v>
      </c>
      <c r="AH124" s="85">
        <f t="shared" si="100"/>
        <v>0</v>
      </c>
      <c r="AI124" s="85">
        <f t="shared" si="100"/>
        <v>0</v>
      </c>
      <c r="AJ124" s="85">
        <f t="shared" si="100"/>
        <v>0</v>
      </c>
      <c r="AK124" s="85">
        <f t="shared" si="100"/>
        <v>0</v>
      </c>
      <c r="AL124" s="85">
        <f t="shared" si="100"/>
        <v>0</v>
      </c>
      <c r="AM124" s="85">
        <f t="shared" si="100"/>
        <v>0</v>
      </c>
      <c r="AN124" s="85">
        <f t="shared" si="100"/>
        <v>0</v>
      </c>
      <c r="AO124" s="85">
        <f t="shared" si="100"/>
        <v>0</v>
      </c>
      <c r="AP124" s="85">
        <f t="shared" si="100"/>
        <v>0</v>
      </c>
      <c r="AQ124" s="85">
        <f t="shared" si="100"/>
        <v>0</v>
      </c>
      <c r="AR124" s="85">
        <f t="shared" si="100"/>
        <v>0</v>
      </c>
      <c r="AS124" s="85">
        <f t="shared" si="100"/>
        <v>0</v>
      </c>
      <c r="AT124" s="85">
        <f t="shared" si="100"/>
        <v>0</v>
      </c>
      <c r="AU124" s="85">
        <f t="shared" si="100"/>
        <v>0</v>
      </c>
      <c r="AV124" s="85">
        <f t="shared" si="100"/>
        <v>0</v>
      </c>
      <c r="AW124" s="85">
        <f t="shared" si="100"/>
        <v>0</v>
      </c>
      <c r="AX124" s="85">
        <f t="shared" si="100"/>
        <v>0</v>
      </c>
      <c r="AY124" s="85">
        <f t="shared" si="100"/>
        <v>0</v>
      </c>
      <c r="AZ124" s="85">
        <f t="shared" si="100"/>
        <v>0</v>
      </c>
      <c r="BA124" s="85">
        <f t="shared" si="100"/>
        <v>0</v>
      </c>
      <c r="BB124" s="85">
        <f t="shared" si="100"/>
        <v>0</v>
      </c>
      <c r="BC124" s="85">
        <f t="shared" si="100"/>
        <v>0</v>
      </c>
      <c r="BD124" s="85">
        <f t="shared" si="100"/>
        <v>0</v>
      </c>
      <c r="BE124" s="85">
        <f t="shared" si="100"/>
        <v>0</v>
      </c>
      <c r="BF124" s="85">
        <f t="shared" si="100"/>
        <v>0</v>
      </c>
      <c r="BG124" s="85">
        <f t="shared" si="100"/>
        <v>0</v>
      </c>
      <c r="BH124" s="85">
        <f t="shared" si="100"/>
        <v>0</v>
      </c>
      <c r="BI124" s="85">
        <f t="shared" si="100"/>
        <v>0</v>
      </c>
    </row>
    <row r="125" spans="2:61" x14ac:dyDescent="0.25">
      <c r="C125">
        <v>640</v>
      </c>
      <c r="D125" t="s">
        <v>466</v>
      </c>
      <c r="E125" s="4">
        <v>0</v>
      </c>
      <c r="F125" s="4">
        <v>0</v>
      </c>
      <c r="G125" s="4">
        <v>0</v>
      </c>
      <c r="H125" s="4">
        <v>0</v>
      </c>
      <c r="I125" s="4">
        <v>0</v>
      </c>
      <c r="J125" s="4">
        <v>0</v>
      </c>
      <c r="K125" s="4">
        <v>0</v>
      </c>
      <c r="L125" s="4">
        <v>0</v>
      </c>
      <c r="M125" s="4">
        <v>0</v>
      </c>
      <c r="N125" s="4">
        <v>0</v>
      </c>
      <c r="O125" s="4">
        <v>0</v>
      </c>
      <c r="P125" s="4">
        <v>0</v>
      </c>
      <c r="Q125" s="4">
        <v>0</v>
      </c>
      <c r="R125" s="4">
        <v>0</v>
      </c>
      <c r="S125" s="4">
        <v>0</v>
      </c>
      <c r="T125" s="4">
        <v>0</v>
      </c>
      <c r="U125" s="4">
        <v>0</v>
      </c>
      <c r="V125" s="4">
        <v>0</v>
      </c>
      <c r="W125" s="4">
        <v>0</v>
      </c>
      <c r="X125" s="4">
        <v>0</v>
      </c>
      <c r="Y125" s="4">
        <v>0</v>
      </c>
      <c r="Z125" s="4">
        <v>0</v>
      </c>
      <c r="AA125" s="4">
        <v>0</v>
      </c>
      <c r="AB125" s="4">
        <v>0</v>
      </c>
      <c r="AC125" s="4">
        <v>0</v>
      </c>
      <c r="AD125" s="4">
        <v>0</v>
      </c>
      <c r="AE125" s="4">
        <v>0</v>
      </c>
      <c r="AF125" s="4">
        <v>0</v>
      </c>
      <c r="AG125" s="4">
        <v>0</v>
      </c>
      <c r="AH125" s="4">
        <v>0</v>
      </c>
      <c r="AI125" s="4">
        <v>0</v>
      </c>
      <c r="AJ125" s="4">
        <v>0</v>
      </c>
      <c r="AK125" s="4">
        <v>0</v>
      </c>
      <c r="AL125" s="4">
        <v>0</v>
      </c>
      <c r="AM125" s="4">
        <v>0</v>
      </c>
      <c r="AN125" s="4">
        <v>0</v>
      </c>
      <c r="AO125" s="4">
        <v>0</v>
      </c>
      <c r="AP125" s="4">
        <v>0</v>
      </c>
      <c r="AQ125" s="4">
        <v>0</v>
      </c>
      <c r="AR125" s="4">
        <v>0</v>
      </c>
      <c r="AS125" s="4">
        <v>0</v>
      </c>
      <c r="AT125" s="4">
        <v>0</v>
      </c>
      <c r="AU125" s="4">
        <v>0</v>
      </c>
      <c r="AV125" s="4">
        <v>0</v>
      </c>
      <c r="AW125" s="4">
        <v>0</v>
      </c>
      <c r="AX125" s="4">
        <v>0</v>
      </c>
      <c r="AY125" s="4">
        <v>0</v>
      </c>
      <c r="AZ125" s="4">
        <v>0</v>
      </c>
      <c r="BA125" s="4">
        <v>0</v>
      </c>
      <c r="BB125" s="4">
        <v>0</v>
      </c>
      <c r="BC125" s="4">
        <v>0</v>
      </c>
      <c r="BD125" s="4">
        <v>0</v>
      </c>
      <c r="BE125" s="4">
        <v>0</v>
      </c>
      <c r="BF125" s="4">
        <f t="shared" ref="BF125:BF133" si="101">SUM(E125:BE125)</f>
        <v>0</v>
      </c>
      <c r="BG125" s="4">
        <f t="shared" ref="BG125:BG133" si="102">SUM(E125:W125)</f>
        <v>0</v>
      </c>
      <c r="BH125" s="4">
        <f t="shared" ref="BH125:BH133" si="103">SUM(X125:AJ125)</f>
        <v>0</v>
      </c>
      <c r="BI125" s="4">
        <f t="shared" ref="BI125:BI133" si="104">SUM(AK125:BE125)</f>
        <v>0</v>
      </c>
    </row>
    <row r="126" spans="2:61" x14ac:dyDescent="0.25">
      <c r="C126">
        <v>641</v>
      </c>
      <c r="D126" t="s">
        <v>467</v>
      </c>
      <c r="E126" s="4">
        <v>0</v>
      </c>
      <c r="F126" s="4">
        <v>0</v>
      </c>
      <c r="G126" s="4">
        <v>0</v>
      </c>
      <c r="H126" s="4">
        <v>0</v>
      </c>
      <c r="I126" s="4">
        <v>0</v>
      </c>
      <c r="J126" s="4">
        <v>0</v>
      </c>
      <c r="K126" s="4">
        <v>0</v>
      </c>
      <c r="L126" s="4">
        <v>0</v>
      </c>
      <c r="M126" s="4">
        <v>0</v>
      </c>
      <c r="N126" s="4">
        <v>0</v>
      </c>
      <c r="O126" s="4">
        <v>0</v>
      </c>
      <c r="P126" s="4">
        <v>0</v>
      </c>
      <c r="Q126" s="4">
        <v>0</v>
      </c>
      <c r="R126" s="4">
        <v>0</v>
      </c>
      <c r="S126" s="4">
        <v>0</v>
      </c>
      <c r="T126" s="4">
        <v>0</v>
      </c>
      <c r="U126" s="4">
        <v>0</v>
      </c>
      <c r="V126" s="4">
        <v>0</v>
      </c>
      <c r="W126" s="4">
        <v>0</v>
      </c>
      <c r="X126" s="4">
        <v>0</v>
      </c>
      <c r="Y126" s="4">
        <v>0</v>
      </c>
      <c r="Z126" s="4">
        <v>0</v>
      </c>
      <c r="AA126" s="4">
        <v>0</v>
      </c>
      <c r="AB126" s="4">
        <v>0</v>
      </c>
      <c r="AC126" s="4">
        <v>0</v>
      </c>
      <c r="AD126" s="4">
        <v>0</v>
      </c>
      <c r="AE126" s="4">
        <v>0</v>
      </c>
      <c r="AF126" s="4">
        <v>0</v>
      </c>
      <c r="AG126" s="4">
        <v>0</v>
      </c>
      <c r="AH126" s="4">
        <v>0</v>
      </c>
      <c r="AI126" s="4">
        <v>0</v>
      </c>
      <c r="AJ126" s="4">
        <v>0</v>
      </c>
      <c r="AK126" s="4">
        <v>0</v>
      </c>
      <c r="AL126" s="4">
        <v>0</v>
      </c>
      <c r="AM126" s="4">
        <v>0</v>
      </c>
      <c r="AN126" s="4">
        <v>0</v>
      </c>
      <c r="AO126" s="4">
        <v>0</v>
      </c>
      <c r="AP126" s="4">
        <v>0</v>
      </c>
      <c r="AQ126" s="4">
        <v>0</v>
      </c>
      <c r="AR126" s="4">
        <v>0</v>
      </c>
      <c r="AS126" s="4">
        <v>0</v>
      </c>
      <c r="AT126" s="4">
        <v>0</v>
      </c>
      <c r="AU126" s="4">
        <v>0</v>
      </c>
      <c r="AV126" s="4">
        <v>0</v>
      </c>
      <c r="AW126" s="4">
        <v>0</v>
      </c>
      <c r="AX126" s="4">
        <v>0</v>
      </c>
      <c r="AY126" s="4">
        <v>0</v>
      </c>
      <c r="AZ126" s="4">
        <v>0</v>
      </c>
      <c r="BA126" s="4">
        <v>0</v>
      </c>
      <c r="BB126" s="4">
        <v>0</v>
      </c>
      <c r="BC126" s="4">
        <v>0</v>
      </c>
      <c r="BD126" s="4">
        <v>0</v>
      </c>
      <c r="BE126" s="4">
        <v>0</v>
      </c>
      <c r="BF126" s="4">
        <f t="shared" si="101"/>
        <v>0</v>
      </c>
      <c r="BG126" s="4">
        <f t="shared" si="102"/>
        <v>0</v>
      </c>
      <c r="BH126" s="4">
        <f t="shared" si="103"/>
        <v>0</v>
      </c>
      <c r="BI126" s="4">
        <f t="shared" si="104"/>
        <v>0</v>
      </c>
    </row>
    <row r="127" spans="2:61" x14ac:dyDescent="0.25">
      <c r="C127">
        <v>642</v>
      </c>
      <c r="D127" t="s">
        <v>468</v>
      </c>
      <c r="E127" s="4">
        <v>0</v>
      </c>
      <c r="F127" s="4">
        <v>0</v>
      </c>
      <c r="G127" s="4">
        <v>0</v>
      </c>
      <c r="H127" s="4">
        <v>0</v>
      </c>
      <c r="I127" s="4">
        <v>0</v>
      </c>
      <c r="J127" s="4">
        <v>0</v>
      </c>
      <c r="K127" s="4">
        <v>0</v>
      </c>
      <c r="L127" s="4">
        <v>0</v>
      </c>
      <c r="M127" s="4">
        <v>0</v>
      </c>
      <c r="N127" s="4">
        <v>0</v>
      </c>
      <c r="O127" s="4">
        <v>0</v>
      </c>
      <c r="P127" s="4">
        <v>0</v>
      </c>
      <c r="Q127" s="4">
        <v>0</v>
      </c>
      <c r="R127" s="4">
        <v>0</v>
      </c>
      <c r="S127" s="4">
        <v>0</v>
      </c>
      <c r="T127" s="4">
        <v>0</v>
      </c>
      <c r="U127" s="4">
        <v>0</v>
      </c>
      <c r="V127" s="4">
        <v>0</v>
      </c>
      <c r="W127" s="4">
        <v>0</v>
      </c>
      <c r="X127" s="4">
        <v>0</v>
      </c>
      <c r="Y127" s="4">
        <v>0</v>
      </c>
      <c r="Z127" s="4">
        <v>0</v>
      </c>
      <c r="AA127" s="4">
        <v>0</v>
      </c>
      <c r="AB127" s="4">
        <v>0</v>
      </c>
      <c r="AC127" s="4">
        <v>0</v>
      </c>
      <c r="AD127" s="4">
        <v>0</v>
      </c>
      <c r="AE127" s="4">
        <v>0</v>
      </c>
      <c r="AF127" s="4">
        <v>0</v>
      </c>
      <c r="AG127" s="4">
        <v>0</v>
      </c>
      <c r="AH127" s="4">
        <v>0</v>
      </c>
      <c r="AI127" s="4">
        <v>0</v>
      </c>
      <c r="AJ127" s="4">
        <v>0</v>
      </c>
      <c r="AK127" s="4">
        <v>0</v>
      </c>
      <c r="AL127" s="4">
        <v>0</v>
      </c>
      <c r="AM127" s="4">
        <v>0</v>
      </c>
      <c r="AN127" s="4">
        <v>0</v>
      </c>
      <c r="AO127" s="4">
        <v>0</v>
      </c>
      <c r="AP127" s="4">
        <v>0</v>
      </c>
      <c r="AQ127" s="4">
        <v>0</v>
      </c>
      <c r="AR127" s="4">
        <v>0</v>
      </c>
      <c r="AS127" s="4">
        <v>0</v>
      </c>
      <c r="AT127" s="4">
        <v>0</v>
      </c>
      <c r="AU127" s="4">
        <v>0</v>
      </c>
      <c r="AV127" s="4">
        <v>0</v>
      </c>
      <c r="AW127" s="4">
        <v>0</v>
      </c>
      <c r="AX127" s="4">
        <v>0</v>
      </c>
      <c r="AY127" s="4">
        <v>0</v>
      </c>
      <c r="AZ127" s="4">
        <v>0</v>
      </c>
      <c r="BA127" s="4">
        <v>0</v>
      </c>
      <c r="BB127" s="4">
        <v>0</v>
      </c>
      <c r="BC127" s="4">
        <v>0</v>
      </c>
      <c r="BD127" s="4">
        <v>0</v>
      </c>
      <c r="BE127" s="4">
        <v>0</v>
      </c>
      <c r="BF127" s="4">
        <f t="shared" si="101"/>
        <v>0</v>
      </c>
      <c r="BG127" s="4">
        <f t="shared" si="102"/>
        <v>0</v>
      </c>
      <c r="BH127" s="4">
        <f t="shared" si="103"/>
        <v>0</v>
      </c>
      <c r="BI127" s="4">
        <f t="shared" si="104"/>
        <v>0</v>
      </c>
    </row>
    <row r="128" spans="2:61" x14ac:dyDescent="0.25">
      <c r="C128">
        <v>643</v>
      </c>
      <c r="D128" t="s">
        <v>469</v>
      </c>
      <c r="E128" s="4">
        <v>0</v>
      </c>
      <c r="F128" s="4">
        <v>0</v>
      </c>
      <c r="G128" s="4">
        <v>0</v>
      </c>
      <c r="H128" s="4">
        <v>0</v>
      </c>
      <c r="I128" s="4">
        <v>0</v>
      </c>
      <c r="J128" s="4">
        <v>0</v>
      </c>
      <c r="K128" s="4">
        <v>0</v>
      </c>
      <c r="L128" s="4">
        <v>0</v>
      </c>
      <c r="M128" s="4">
        <v>0</v>
      </c>
      <c r="N128" s="4">
        <v>0</v>
      </c>
      <c r="O128" s="4">
        <v>0</v>
      </c>
      <c r="P128" s="4">
        <v>0</v>
      </c>
      <c r="Q128" s="4">
        <v>0</v>
      </c>
      <c r="R128" s="4">
        <v>0</v>
      </c>
      <c r="S128" s="4">
        <v>0</v>
      </c>
      <c r="T128" s="4">
        <v>0</v>
      </c>
      <c r="U128" s="4">
        <v>0</v>
      </c>
      <c r="V128" s="4">
        <v>0</v>
      </c>
      <c r="W128" s="4">
        <v>0</v>
      </c>
      <c r="X128" s="4">
        <v>0</v>
      </c>
      <c r="Y128" s="4">
        <v>0</v>
      </c>
      <c r="Z128" s="4">
        <v>0</v>
      </c>
      <c r="AA128" s="4">
        <v>0</v>
      </c>
      <c r="AB128" s="4">
        <v>0</v>
      </c>
      <c r="AC128" s="4">
        <v>0</v>
      </c>
      <c r="AD128" s="4">
        <v>0</v>
      </c>
      <c r="AE128" s="4">
        <v>0</v>
      </c>
      <c r="AF128" s="4">
        <v>0</v>
      </c>
      <c r="AG128" s="4">
        <v>0</v>
      </c>
      <c r="AH128" s="4">
        <v>0</v>
      </c>
      <c r="AI128" s="4">
        <v>0</v>
      </c>
      <c r="AJ128" s="4">
        <v>0</v>
      </c>
      <c r="AK128" s="4">
        <v>0</v>
      </c>
      <c r="AL128" s="4">
        <v>0</v>
      </c>
      <c r="AM128" s="4">
        <v>0</v>
      </c>
      <c r="AN128" s="4">
        <v>0</v>
      </c>
      <c r="AO128" s="4">
        <v>0</v>
      </c>
      <c r="AP128" s="4">
        <v>0</v>
      </c>
      <c r="AQ128" s="4">
        <v>0</v>
      </c>
      <c r="AR128" s="4">
        <v>0</v>
      </c>
      <c r="AS128" s="4">
        <v>0</v>
      </c>
      <c r="AT128" s="4">
        <v>0</v>
      </c>
      <c r="AU128" s="4">
        <v>0</v>
      </c>
      <c r="AV128" s="4">
        <v>0</v>
      </c>
      <c r="AW128" s="4">
        <v>0</v>
      </c>
      <c r="AX128" s="4">
        <v>0</v>
      </c>
      <c r="AY128" s="4">
        <v>0</v>
      </c>
      <c r="AZ128" s="4">
        <v>0</v>
      </c>
      <c r="BA128" s="4">
        <v>0</v>
      </c>
      <c r="BB128" s="4">
        <v>0</v>
      </c>
      <c r="BC128" s="4">
        <v>0</v>
      </c>
      <c r="BD128" s="4">
        <v>0</v>
      </c>
      <c r="BE128" s="4">
        <v>0</v>
      </c>
      <c r="BF128" s="4">
        <f t="shared" si="101"/>
        <v>0</v>
      </c>
      <c r="BG128" s="4">
        <f t="shared" si="102"/>
        <v>0</v>
      </c>
      <c r="BH128" s="4">
        <f t="shared" si="103"/>
        <v>0</v>
      </c>
      <c r="BI128" s="4">
        <f t="shared" si="104"/>
        <v>0</v>
      </c>
    </row>
    <row r="129" spans="2:61" x14ac:dyDescent="0.25">
      <c r="C129">
        <v>644</v>
      </c>
      <c r="D129" t="s">
        <v>470</v>
      </c>
      <c r="E129" s="4">
        <v>0</v>
      </c>
      <c r="F129" s="4">
        <v>0</v>
      </c>
      <c r="G129" s="4">
        <v>0</v>
      </c>
      <c r="H129" s="4">
        <v>0</v>
      </c>
      <c r="I129" s="4">
        <v>0</v>
      </c>
      <c r="J129" s="4">
        <v>0</v>
      </c>
      <c r="K129" s="4">
        <v>0</v>
      </c>
      <c r="L129" s="4">
        <v>0</v>
      </c>
      <c r="M129" s="4">
        <v>0</v>
      </c>
      <c r="N129" s="4">
        <v>0</v>
      </c>
      <c r="O129" s="4">
        <v>0</v>
      </c>
      <c r="P129" s="4">
        <v>0</v>
      </c>
      <c r="Q129" s="4">
        <v>0</v>
      </c>
      <c r="R129" s="4">
        <v>0</v>
      </c>
      <c r="S129" s="4">
        <v>0</v>
      </c>
      <c r="T129" s="4">
        <v>0</v>
      </c>
      <c r="U129" s="4">
        <v>0</v>
      </c>
      <c r="V129" s="4">
        <v>0</v>
      </c>
      <c r="W129" s="4">
        <v>0</v>
      </c>
      <c r="X129" s="4">
        <v>0</v>
      </c>
      <c r="Y129" s="4">
        <v>0</v>
      </c>
      <c r="Z129" s="4">
        <v>0</v>
      </c>
      <c r="AA129" s="4">
        <v>0</v>
      </c>
      <c r="AB129" s="4">
        <v>0</v>
      </c>
      <c r="AC129" s="4">
        <v>0</v>
      </c>
      <c r="AD129" s="4">
        <v>0</v>
      </c>
      <c r="AE129" s="4">
        <v>0</v>
      </c>
      <c r="AF129" s="4">
        <v>0</v>
      </c>
      <c r="AG129" s="4">
        <v>0</v>
      </c>
      <c r="AH129" s="4">
        <v>0</v>
      </c>
      <c r="AI129" s="4">
        <v>0</v>
      </c>
      <c r="AJ129" s="4">
        <v>0</v>
      </c>
      <c r="AK129" s="4">
        <v>0</v>
      </c>
      <c r="AL129" s="4">
        <v>0</v>
      </c>
      <c r="AM129" s="4">
        <v>0</v>
      </c>
      <c r="AN129" s="4">
        <v>0</v>
      </c>
      <c r="AO129" s="4">
        <v>0</v>
      </c>
      <c r="AP129" s="4">
        <v>0</v>
      </c>
      <c r="AQ129" s="4">
        <v>0</v>
      </c>
      <c r="AR129" s="4">
        <v>0</v>
      </c>
      <c r="AS129" s="4">
        <v>0</v>
      </c>
      <c r="AT129" s="4">
        <v>0</v>
      </c>
      <c r="AU129" s="4">
        <v>0</v>
      </c>
      <c r="AV129" s="4">
        <v>0</v>
      </c>
      <c r="AW129" s="4">
        <v>0</v>
      </c>
      <c r="AX129" s="4">
        <v>0</v>
      </c>
      <c r="AY129" s="4">
        <v>0</v>
      </c>
      <c r="AZ129" s="4">
        <v>0</v>
      </c>
      <c r="BA129" s="4">
        <v>0</v>
      </c>
      <c r="BB129" s="4">
        <v>0</v>
      </c>
      <c r="BC129" s="4">
        <v>0</v>
      </c>
      <c r="BD129" s="4">
        <v>0</v>
      </c>
      <c r="BE129" s="4">
        <v>0</v>
      </c>
      <c r="BF129" s="4">
        <f t="shared" si="101"/>
        <v>0</v>
      </c>
      <c r="BG129" s="4">
        <f t="shared" si="102"/>
        <v>0</v>
      </c>
      <c r="BH129" s="4">
        <f t="shared" si="103"/>
        <v>0</v>
      </c>
      <c r="BI129" s="4">
        <f t="shared" si="104"/>
        <v>0</v>
      </c>
    </row>
    <row r="130" spans="2:61" x14ac:dyDescent="0.25">
      <c r="C130">
        <v>645</v>
      </c>
      <c r="D130" t="s">
        <v>471</v>
      </c>
      <c r="E130" s="4">
        <v>0</v>
      </c>
      <c r="F130" s="4">
        <v>0</v>
      </c>
      <c r="G130" s="4">
        <v>0</v>
      </c>
      <c r="H130" s="4">
        <v>0</v>
      </c>
      <c r="I130" s="4">
        <v>0</v>
      </c>
      <c r="J130" s="4">
        <v>0</v>
      </c>
      <c r="K130" s="4">
        <v>0</v>
      </c>
      <c r="L130" s="4">
        <v>0</v>
      </c>
      <c r="M130" s="4">
        <v>0</v>
      </c>
      <c r="N130" s="4">
        <v>0</v>
      </c>
      <c r="O130" s="4">
        <v>0</v>
      </c>
      <c r="P130" s="4">
        <v>0</v>
      </c>
      <c r="Q130" s="4">
        <v>0</v>
      </c>
      <c r="R130" s="4">
        <v>0</v>
      </c>
      <c r="S130" s="4">
        <v>0</v>
      </c>
      <c r="T130" s="4">
        <v>0</v>
      </c>
      <c r="U130" s="4">
        <v>0</v>
      </c>
      <c r="V130" s="4">
        <v>0</v>
      </c>
      <c r="W130" s="4">
        <v>0</v>
      </c>
      <c r="X130" s="4">
        <v>0</v>
      </c>
      <c r="Y130" s="4">
        <v>0</v>
      </c>
      <c r="Z130" s="4">
        <v>0</v>
      </c>
      <c r="AA130" s="4">
        <v>0</v>
      </c>
      <c r="AB130" s="4">
        <v>0</v>
      </c>
      <c r="AC130" s="4">
        <v>0</v>
      </c>
      <c r="AD130" s="4">
        <v>0</v>
      </c>
      <c r="AE130" s="4">
        <v>0</v>
      </c>
      <c r="AF130" s="4">
        <v>0</v>
      </c>
      <c r="AG130" s="4">
        <v>0</v>
      </c>
      <c r="AH130" s="4">
        <v>0</v>
      </c>
      <c r="AI130" s="4">
        <v>0</v>
      </c>
      <c r="AJ130" s="4">
        <v>0</v>
      </c>
      <c r="AK130" s="4">
        <v>0</v>
      </c>
      <c r="AL130" s="4">
        <v>0</v>
      </c>
      <c r="AM130" s="4">
        <v>0</v>
      </c>
      <c r="AN130" s="4">
        <v>0</v>
      </c>
      <c r="AO130" s="4">
        <v>0</v>
      </c>
      <c r="AP130" s="4">
        <v>0</v>
      </c>
      <c r="AQ130" s="4">
        <v>0</v>
      </c>
      <c r="AR130" s="4">
        <v>0</v>
      </c>
      <c r="AS130" s="4">
        <v>0</v>
      </c>
      <c r="AT130" s="4">
        <v>0</v>
      </c>
      <c r="AU130" s="4">
        <v>0</v>
      </c>
      <c r="AV130" s="4">
        <v>0</v>
      </c>
      <c r="AW130" s="4">
        <v>0</v>
      </c>
      <c r="AX130" s="4">
        <v>0</v>
      </c>
      <c r="AY130" s="4">
        <v>0</v>
      </c>
      <c r="AZ130" s="4">
        <v>0</v>
      </c>
      <c r="BA130" s="4">
        <v>0</v>
      </c>
      <c r="BB130" s="4">
        <v>0</v>
      </c>
      <c r="BC130" s="4">
        <v>0</v>
      </c>
      <c r="BD130" s="4">
        <v>0</v>
      </c>
      <c r="BE130" s="4">
        <v>0</v>
      </c>
      <c r="BF130" s="4">
        <f t="shared" si="101"/>
        <v>0</v>
      </c>
      <c r="BG130" s="4">
        <f t="shared" si="102"/>
        <v>0</v>
      </c>
      <c r="BH130" s="4">
        <f t="shared" si="103"/>
        <v>0</v>
      </c>
      <c r="BI130" s="4">
        <f t="shared" si="104"/>
        <v>0</v>
      </c>
    </row>
    <row r="131" spans="2:61" x14ac:dyDescent="0.25">
      <c r="C131">
        <v>646</v>
      </c>
      <c r="D131" t="s">
        <v>472</v>
      </c>
      <c r="E131" s="4">
        <v>0</v>
      </c>
      <c r="F131" s="4">
        <v>0</v>
      </c>
      <c r="G131" s="4">
        <v>0</v>
      </c>
      <c r="H131" s="4">
        <v>0</v>
      </c>
      <c r="I131" s="4">
        <v>0</v>
      </c>
      <c r="J131" s="4">
        <v>0</v>
      </c>
      <c r="K131" s="4">
        <v>0</v>
      </c>
      <c r="L131" s="4">
        <v>0</v>
      </c>
      <c r="M131" s="4">
        <v>0</v>
      </c>
      <c r="N131" s="4">
        <v>0</v>
      </c>
      <c r="O131" s="4">
        <v>0</v>
      </c>
      <c r="P131" s="4">
        <v>0</v>
      </c>
      <c r="Q131" s="4">
        <v>0</v>
      </c>
      <c r="R131" s="4">
        <v>0</v>
      </c>
      <c r="S131" s="4">
        <v>0</v>
      </c>
      <c r="T131" s="4">
        <v>0</v>
      </c>
      <c r="U131" s="4">
        <v>0</v>
      </c>
      <c r="V131" s="4">
        <v>0</v>
      </c>
      <c r="W131" s="4">
        <v>0</v>
      </c>
      <c r="X131" s="4">
        <v>0</v>
      </c>
      <c r="Y131" s="4">
        <v>0</v>
      </c>
      <c r="Z131" s="4">
        <v>0</v>
      </c>
      <c r="AA131" s="4">
        <v>0</v>
      </c>
      <c r="AB131" s="4">
        <v>0</v>
      </c>
      <c r="AC131" s="4">
        <v>0</v>
      </c>
      <c r="AD131" s="4">
        <v>0</v>
      </c>
      <c r="AE131" s="4">
        <v>0</v>
      </c>
      <c r="AF131" s="4">
        <v>0</v>
      </c>
      <c r="AG131" s="4">
        <v>0</v>
      </c>
      <c r="AH131" s="4">
        <v>0</v>
      </c>
      <c r="AI131" s="4">
        <v>0</v>
      </c>
      <c r="AJ131" s="4">
        <v>0</v>
      </c>
      <c r="AK131" s="4">
        <v>0</v>
      </c>
      <c r="AL131" s="4">
        <v>0</v>
      </c>
      <c r="AM131" s="4">
        <v>0</v>
      </c>
      <c r="AN131" s="4">
        <v>0</v>
      </c>
      <c r="AO131" s="4">
        <v>0</v>
      </c>
      <c r="AP131" s="4">
        <v>0</v>
      </c>
      <c r="AQ131" s="4">
        <v>0</v>
      </c>
      <c r="AR131" s="4">
        <v>0</v>
      </c>
      <c r="AS131" s="4">
        <v>0</v>
      </c>
      <c r="AT131" s="4">
        <v>0</v>
      </c>
      <c r="AU131" s="4">
        <v>0</v>
      </c>
      <c r="AV131" s="4">
        <v>0</v>
      </c>
      <c r="AW131" s="4">
        <v>0</v>
      </c>
      <c r="AX131" s="4">
        <v>0</v>
      </c>
      <c r="AY131" s="4">
        <v>0</v>
      </c>
      <c r="AZ131" s="4">
        <v>0</v>
      </c>
      <c r="BA131" s="4">
        <v>0</v>
      </c>
      <c r="BB131" s="4">
        <v>0</v>
      </c>
      <c r="BC131" s="4">
        <v>0</v>
      </c>
      <c r="BD131" s="4">
        <v>0</v>
      </c>
      <c r="BE131" s="4">
        <v>0</v>
      </c>
      <c r="BF131" s="4">
        <f t="shared" si="101"/>
        <v>0</v>
      </c>
      <c r="BG131" s="4">
        <f t="shared" si="102"/>
        <v>0</v>
      </c>
      <c r="BH131" s="4">
        <f t="shared" si="103"/>
        <v>0</v>
      </c>
      <c r="BI131" s="4">
        <f t="shared" si="104"/>
        <v>0</v>
      </c>
    </row>
    <row r="132" spans="2:61" x14ac:dyDescent="0.25">
      <c r="C132">
        <v>647</v>
      </c>
      <c r="D132" t="s">
        <v>473</v>
      </c>
      <c r="E132" s="4">
        <v>0</v>
      </c>
      <c r="F132" s="4">
        <v>0</v>
      </c>
      <c r="G132" s="4">
        <v>0</v>
      </c>
      <c r="H132" s="4">
        <v>0</v>
      </c>
      <c r="I132" s="4">
        <v>0</v>
      </c>
      <c r="J132" s="4">
        <v>0</v>
      </c>
      <c r="K132" s="4">
        <v>0</v>
      </c>
      <c r="L132" s="4">
        <v>0</v>
      </c>
      <c r="M132" s="4">
        <v>0</v>
      </c>
      <c r="N132" s="4">
        <v>0</v>
      </c>
      <c r="O132" s="4">
        <v>0</v>
      </c>
      <c r="P132" s="4">
        <v>0</v>
      </c>
      <c r="Q132" s="4">
        <v>0</v>
      </c>
      <c r="R132" s="4">
        <v>0</v>
      </c>
      <c r="S132" s="4">
        <v>0</v>
      </c>
      <c r="T132" s="4">
        <v>0</v>
      </c>
      <c r="U132" s="4">
        <v>0</v>
      </c>
      <c r="V132" s="4">
        <v>0</v>
      </c>
      <c r="W132" s="4">
        <v>0</v>
      </c>
      <c r="X132" s="4">
        <v>0</v>
      </c>
      <c r="Y132" s="4">
        <v>0</v>
      </c>
      <c r="Z132" s="4">
        <v>0</v>
      </c>
      <c r="AA132" s="4">
        <v>0</v>
      </c>
      <c r="AB132" s="4">
        <v>0</v>
      </c>
      <c r="AC132" s="4">
        <v>0</v>
      </c>
      <c r="AD132" s="4">
        <v>0</v>
      </c>
      <c r="AE132" s="4">
        <v>0</v>
      </c>
      <c r="AF132" s="4">
        <v>0</v>
      </c>
      <c r="AG132" s="4">
        <v>0</v>
      </c>
      <c r="AH132" s="4">
        <v>0</v>
      </c>
      <c r="AI132" s="4">
        <v>0</v>
      </c>
      <c r="AJ132" s="4">
        <v>0</v>
      </c>
      <c r="AK132" s="4">
        <v>0</v>
      </c>
      <c r="AL132" s="4">
        <v>0</v>
      </c>
      <c r="AM132" s="4">
        <v>0</v>
      </c>
      <c r="AN132" s="4">
        <v>0</v>
      </c>
      <c r="AO132" s="4">
        <v>0</v>
      </c>
      <c r="AP132" s="4">
        <v>0</v>
      </c>
      <c r="AQ132" s="4">
        <v>0</v>
      </c>
      <c r="AR132" s="4">
        <v>0</v>
      </c>
      <c r="AS132" s="4">
        <v>0</v>
      </c>
      <c r="AT132" s="4">
        <v>0</v>
      </c>
      <c r="AU132" s="4">
        <v>0</v>
      </c>
      <c r="AV132" s="4">
        <v>0</v>
      </c>
      <c r="AW132" s="4">
        <v>0</v>
      </c>
      <c r="AX132" s="4">
        <v>0</v>
      </c>
      <c r="AY132" s="4">
        <v>0</v>
      </c>
      <c r="AZ132" s="4">
        <v>0</v>
      </c>
      <c r="BA132" s="4">
        <v>0</v>
      </c>
      <c r="BB132" s="4">
        <v>0</v>
      </c>
      <c r="BC132" s="4">
        <v>0</v>
      </c>
      <c r="BD132" s="4">
        <v>0</v>
      </c>
      <c r="BE132" s="4">
        <v>0</v>
      </c>
      <c r="BF132" s="4">
        <f t="shared" si="101"/>
        <v>0</v>
      </c>
      <c r="BG132" s="4">
        <f t="shared" si="102"/>
        <v>0</v>
      </c>
      <c r="BH132" s="4">
        <f t="shared" si="103"/>
        <v>0</v>
      </c>
      <c r="BI132" s="4">
        <f t="shared" si="104"/>
        <v>0</v>
      </c>
    </row>
    <row r="133" spans="2:61" x14ac:dyDescent="0.25">
      <c r="C133">
        <v>648</v>
      </c>
      <c r="D133" t="s">
        <v>474</v>
      </c>
      <c r="E133" s="4">
        <v>0</v>
      </c>
      <c r="F133" s="4">
        <v>0</v>
      </c>
      <c r="G133" s="4">
        <v>0</v>
      </c>
      <c r="H133" s="4">
        <v>0</v>
      </c>
      <c r="I133" s="4">
        <v>0</v>
      </c>
      <c r="J133" s="4">
        <v>0</v>
      </c>
      <c r="K133" s="4">
        <v>0</v>
      </c>
      <c r="L133" s="4">
        <v>0</v>
      </c>
      <c r="M133" s="4">
        <v>0</v>
      </c>
      <c r="N133" s="4">
        <v>0</v>
      </c>
      <c r="O133" s="4">
        <v>0</v>
      </c>
      <c r="P133" s="4">
        <v>0</v>
      </c>
      <c r="Q133" s="4">
        <v>0</v>
      </c>
      <c r="R133" s="4">
        <v>0</v>
      </c>
      <c r="S133" s="4">
        <v>0</v>
      </c>
      <c r="T133" s="4">
        <v>0</v>
      </c>
      <c r="U133" s="4">
        <v>0</v>
      </c>
      <c r="V133" s="4">
        <v>0</v>
      </c>
      <c r="W133" s="4">
        <v>0</v>
      </c>
      <c r="X133" s="4">
        <v>0</v>
      </c>
      <c r="Y133" s="4">
        <v>0</v>
      </c>
      <c r="Z133" s="4">
        <v>0</v>
      </c>
      <c r="AA133" s="4">
        <v>0</v>
      </c>
      <c r="AB133" s="4">
        <v>0</v>
      </c>
      <c r="AC133" s="4">
        <v>0</v>
      </c>
      <c r="AD133" s="4">
        <v>0</v>
      </c>
      <c r="AE133" s="4">
        <v>0</v>
      </c>
      <c r="AF133" s="4">
        <v>0</v>
      </c>
      <c r="AG133" s="4">
        <v>0</v>
      </c>
      <c r="AH133" s="4">
        <v>0</v>
      </c>
      <c r="AI133" s="4">
        <v>0</v>
      </c>
      <c r="AJ133" s="4">
        <v>0</v>
      </c>
      <c r="AK133" s="4">
        <v>0</v>
      </c>
      <c r="AL133" s="4">
        <v>0</v>
      </c>
      <c r="AM133" s="4">
        <v>0</v>
      </c>
      <c r="AN133" s="4">
        <v>0</v>
      </c>
      <c r="AO133" s="4">
        <v>0</v>
      </c>
      <c r="AP133" s="4">
        <v>0</v>
      </c>
      <c r="AQ133" s="4">
        <v>0</v>
      </c>
      <c r="AR133" s="4">
        <v>0</v>
      </c>
      <c r="AS133" s="4">
        <v>0</v>
      </c>
      <c r="AT133" s="4">
        <v>0</v>
      </c>
      <c r="AU133" s="4">
        <v>0</v>
      </c>
      <c r="AV133" s="4">
        <v>0</v>
      </c>
      <c r="AW133" s="4">
        <v>0</v>
      </c>
      <c r="AX133" s="4">
        <v>0</v>
      </c>
      <c r="AY133" s="4">
        <v>0</v>
      </c>
      <c r="AZ133" s="4">
        <v>0</v>
      </c>
      <c r="BA133" s="4">
        <v>0</v>
      </c>
      <c r="BB133" s="4">
        <v>0</v>
      </c>
      <c r="BC133" s="4">
        <v>0</v>
      </c>
      <c r="BD133" s="4">
        <v>0</v>
      </c>
      <c r="BE133" s="4">
        <v>0</v>
      </c>
      <c r="BF133" s="4">
        <f t="shared" si="101"/>
        <v>0</v>
      </c>
      <c r="BG133" s="4">
        <f t="shared" si="102"/>
        <v>0</v>
      </c>
      <c r="BH133" s="4">
        <f t="shared" si="103"/>
        <v>0</v>
      </c>
      <c r="BI133" s="4">
        <f t="shared" si="104"/>
        <v>0</v>
      </c>
    </row>
    <row r="134" spans="2:61" x14ac:dyDescent="0.25">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row>
    <row r="135" spans="2:61" x14ac:dyDescent="0.25">
      <c r="B135" s="87">
        <v>65</v>
      </c>
      <c r="C135" s="87"/>
      <c r="D135" s="87" t="s">
        <v>487</v>
      </c>
      <c r="E135" s="85">
        <f>E136+E137+E138+E139+E140+E141+E142+E143+E144</f>
        <v>0</v>
      </c>
      <c r="F135" s="85">
        <f t="shared" ref="F135:BI135" si="105">F136+F137+F138+F139+F140+F141+F142+F143+F144</f>
        <v>0</v>
      </c>
      <c r="G135" s="85">
        <f t="shared" si="105"/>
        <v>0</v>
      </c>
      <c r="H135" s="85">
        <f t="shared" si="105"/>
        <v>0</v>
      </c>
      <c r="I135" s="85">
        <f t="shared" si="105"/>
        <v>0</v>
      </c>
      <c r="J135" s="85">
        <f t="shared" si="105"/>
        <v>0</v>
      </c>
      <c r="K135" s="85">
        <f t="shared" si="105"/>
        <v>0</v>
      </c>
      <c r="L135" s="85">
        <f t="shared" si="105"/>
        <v>0</v>
      </c>
      <c r="M135" s="85">
        <f t="shared" si="105"/>
        <v>0</v>
      </c>
      <c r="N135" s="85">
        <f t="shared" si="105"/>
        <v>0</v>
      </c>
      <c r="O135" s="85">
        <f t="shared" si="105"/>
        <v>0</v>
      </c>
      <c r="P135" s="85">
        <f t="shared" si="105"/>
        <v>0</v>
      </c>
      <c r="Q135" s="85">
        <f t="shared" si="105"/>
        <v>0</v>
      </c>
      <c r="R135" s="85">
        <f t="shared" si="105"/>
        <v>0</v>
      </c>
      <c r="S135" s="85">
        <f t="shared" si="105"/>
        <v>0</v>
      </c>
      <c r="T135" s="85">
        <f t="shared" si="105"/>
        <v>0</v>
      </c>
      <c r="U135" s="85">
        <f t="shared" si="105"/>
        <v>0</v>
      </c>
      <c r="V135" s="85">
        <f t="shared" si="105"/>
        <v>0</v>
      </c>
      <c r="W135" s="85">
        <f t="shared" si="105"/>
        <v>0</v>
      </c>
      <c r="X135" s="85">
        <f t="shared" si="105"/>
        <v>0</v>
      </c>
      <c r="Y135" s="85">
        <f t="shared" si="105"/>
        <v>0</v>
      </c>
      <c r="Z135" s="85">
        <f t="shared" si="105"/>
        <v>0</v>
      </c>
      <c r="AA135" s="85">
        <f t="shared" si="105"/>
        <v>0</v>
      </c>
      <c r="AB135" s="85">
        <f t="shared" si="105"/>
        <v>0</v>
      </c>
      <c r="AC135" s="85">
        <f t="shared" si="105"/>
        <v>0</v>
      </c>
      <c r="AD135" s="85">
        <f t="shared" si="105"/>
        <v>0</v>
      </c>
      <c r="AE135" s="85">
        <f t="shared" si="105"/>
        <v>0</v>
      </c>
      <c r="AF135" s="85">
        <f t="shared" si="105"/>
        <v>0</v>
      </c>
      <c r="AG135" s="85">
        <f t="shared" si="105"/>
        <v>0</v>
      </c>
      <c r="AH135" s="85">
        <f t="shared" si="105"/>
        <v>0</v>
      </c>
      <c r="AI135" s="85">
        <f t="shared" si="105"/>
        <v>0</v>
      </c>
      <c r="AJ135" s="85">
        <f t="shared" si="105"/>
        <v>0</v>
      </c>
      <c r="AK135" s="85">
        <f t="shared" si="105"/>
        <v>0</v>
      </c>
      <c r="AL135" s="85">
        <f t="shared" si="105"/>
        <v>0</v>
      </c>
      <c r="AM135" s="85">
        <f t="shared" si="105"/>
        <v>0</v>
      </c>
      <c r="AN135" s="85">
        <f t="shared" si="105"/>
        <v>0</v>
      </c>
      <c r="AO135" s="85">
        <f t="shared" si="105"/>
        <v>0</v>
      </c>
      <c r="AP135" s="85">
        <f t="shared" si="105"/>
        <v>0</v>
      </c>
      <c r="AQ135" s="85">
        <f t="shared" si="105"/>
        <v>0</v>
      </c>
      <c r="AR135" s="85">
        <f t="shared" si="105"/>
        <v>0</v>
      </c>
      <c r="AS135" s="85">
        <f t="shared" si="105"/>
        <v>0</v>
      </c>
      <c r="AT135" s="85">
        <f t="shared" si="105"/>
        <v>0</v>
      </c>
      <c r="AU135" s="85">
        <f t="shared" si="105"/>
        <v>0</v>
      </c>
      <c r="AV135" s="85">
        <f t="shared" si="105"/>
        <v>0</v>
      </c>
      <c r="AW135" s="85">
        <f t="shared" si="105"/>
        <v>0</v>
      </c>
      <c r="AX135" s="85">
        <f t="shared" si="105"/>
        <v>0</v>
      </c>
      <c r="AY135" s="85">
        <f t="shared" si="105"/>
        <v>0</v>
      </c>
      <c r="AZ135" s="85">
        <f t="shared" si="105"/>
        <v>0</v>
      </c>
      <c r="BA135" s="85">
        <f t="shared" si="105"/>
        <v>0</v>
      </c>
      <c r="BB135" s="85">
        <f t="shared" si="105"/>
        <v>0</v>
      </c>
      <c r="BC135" s="85">
        <f t="shared" si="105"/>
        <v>0</v>
      </c>
      <c r="BD135" s="85">
        <f t="shared" si="105"/>
        <v>0</v>
      </c>
      <c r="BE135" s="85">
        <f t="shared" si="105"/>
        <v>0</v>
      </c>
      <c r="BF135" s="85">
        <f t="shared" si="105"/>
        <v>0</v>
      </c>
      <c r="BG135" s="85">
        <f t="shared" si="105"/>
        <v>0</v>
      </c>
      <c r="BH135" s="85">
        <f t="shared" si="105"/>
        <v>0</v>
      </c>
      <c r="BI135" s="85">
        <f t="shared" si="105"/>
        <v>0</v>
      </c>
    </row>
    <row r="136" spans="2:61" x14ac:dyDescent="0.25">
      <c r="C136">
        <v>650</v>
      </c>
      <c r="D136" t="s">
        <v>466</v>
      </c>
      <c r="E136" s="4">
        <v>0</v>
      </c>
      <c r="F136" s="4">
        <v>0</v>
      </c>
      <c r="G136" s="4">
        <v>0</v>
      </c>
      <c r="H136" s="4">
        <v>0</v>
      </c>
      <c r="I136" s="4">
        <v>0</v>
      </c>
      <c r="J136" s="4">
        <v>0</v>
      </c>
      <c r="K136" s="4">
        <v>0</v>
      </c>
      <c r="L136" s="4">
        <v>0</v>
      </c>
      <c r="M136" s="4">
        <v>0</v>
      </c>
      <c r="N136" s="4">
        <v>0</v>
      </c>
      <c r="O136" s="4">
        <v>0</v>
      </c>
      <c r="P136" s="4">
        <v>0</v>
      </c>
      <c r="Q136" s="4">
        <v>0</v>
      </c>
      <c r="R136" s="4">
        <v>0</v>
      </c>
      <c r="S136" s="4">
        <v>0</v>
      </c>
      <c r="T136" s="4">
        <v>0</v>
      </c>
      <c r="U136" s="4">
        <v>0</v>
      </c>
      <c r="V136" s="4">
        <v>0</v>
      </c>
      <c r="W136" s="4">
        <v>0</v>
      </c>
      <c r="X136" s="4">
        <v>0</v>
      </c>
      <c r="Y136" s="4">
        <v>0</v>
      </c>
      <c r="Z136" s="4">
        <v>0</v>
      </c>
      <c r="AA136" s="4">
        <v>0</v>
      </c>
      <c r="AB136" s="4">
        <v>0</v>
      </c>
      <c r="AC136" s="4">
        <v>0</v>
      </c>
      <c r="AD136" s="4">
        <v>0</v>
      </c>
      <c r="AE136" s="4">
        <v>0</v>
      </c>
      <c r="AF136" s="4">
        <v>0</v>
      </c>
      <c r="AG136" s="4">
        <v>0</v>
      </c>
      <c r="AH136" s="4">
        <v>0</v>
      </c>
      <c r="AI136" s="4">
        <v>0</v>
      </c>
      <c r="AJ136" s="4">
        <v>0</v>
      </c>
      <c r="AK136" s="4">
        <v>0</v>
      </c>
      <c r="AL136" s="4">
        <v>0</v>
      </c>
      <c r="AM136" s="4">
        <v>0</v>
      </c>
      <c r="AN136" s="4">
        <v>0</v>
      </c>
      <c r="AO136" s="4">
        <v>0</v>
      </c>
      <c r="AP136" s="4">
        <v>0</v>
      </c>
      <c r="AQ136" s="4">
        <v>0</v>
      </c>
      <c r="AR136" s="4">
        <v>0</v>
      </c>
      <c r="AS136" s="4">
        <v>0</v>
      </c>
      <c r="AT136" s="4">
        <v>0</v>
      </c>
      <c r="AU136" s="4">
        <v>0</v>
      </c>
      <c r="AV136" s="4">
        <v>0</v>
      </c>
      <c r="AW136" s="4">
        <v>0</v>
      </c>
      <c r="AX136" s="4">
        <v>0</v>
      </c>
      <c r="AY136" s="4">
        <v>0</v>
      </c>
      <c r="AZ136" s="4">
        <v>0</v>
      </c>
      <c r="BA136" s="4">
        <v>0</v>
      </c>
      <c r="BB136" s="4">
        <v>0</v>
      </c>
      <c r="BC136" s="4">
        <v>0</v>
      </c>
      <c r="BD136" s="4">
        <v>0</v>
      </c>
      <c r="BE136" s="4">
        <v>0</v>
      </c>
      <c r="BF136" s="4">
        <f t="shared" ref="BF136:BF144" si="106">SUM(E136:BE136)</f>
        <v>0</v>
      </c>
      <c r="BG136" s="4">
        <f t="shared" ref="BG136:BG144" si="107">SUM(E136:W136)</f>
        <v>0</v>
      </c>
      <c r="BH136" s="4">
        <f t="shared" ref="BH136:BH144" si="108">SUM(X136:AJ136)</f>
        <v>0</v>
      </c>
      <c r="BI136" s="4">
        <f t="shared" ref="BI136:BI144" si="109">SUM(AK136:BE136)</f>
        <v>0</v>
      </c>
    </row>
    <row r="137" spans="2:61" x14ac:dyDescent="0.25">
      <c r="C137">
        <v>651</v>
      </c>
      <c r="D137" t="s">
        <v>467</v>
      </c>
      <c r="E137" s="4">
        <v>0</v>
      </c>
      <c r="F137" s="4">
        <v>0</v>
      </c>
      <c r="G137" s="4">
        <v>0</v>
      </c>
      <c r="H137" s="4">
        <v>0</v>
      </c>
      <c r="I137" s="4">
        <v>0</v>
      </c>
      <c r="J137" s="4">
        <v>0</v>
      </c>
      <c r="K137" s="4">
        <v>0</v>
      </c>
      <c r="L137" s="4">
        <v>0</v>
      </c>
      <c r="M137" s="4">
        <v>0</v>
      </c>
      <c r="N137" s="4">
        <v>0</v>
      </c>
      <c r="O137" s="4">
        <v>0</v>
      </c>
      <c r="P137" s="4">
        <v>0</v>
      </c>
      <c r="Q137" s="4">
        <v>0</v>
      </c>
      <c r="R137" s="4">
        <v>0</v>
      </c>
      <c r="S137" s="4">
        <v>0</v>
      </c>
      <c r="T137" s="4">
        <v>0</v>
      </c>
      <c r="U137" s="4">
        <v>0</v>
      </c>
      <c r="V137" s="4">
        <v>0</v>
      </c>
      <c r="W137" s="4">
        <v>0</v>
      </c>
      <c r="X137" s="4">
        <v>0</v>
      </c>
      <c r="Y137" s="4">
        <v>0</v>
      </c>
      <c r="Z137" s="4">
        <v>0</v>
      </c>
      <c r="AA137" s="4">
        <v>0</v>
      </c>
      <c r="AB137" s="4">
        <v>0</v>
      </c>
      <c r="AC137" s="4">
        <v>0</v>
      </c>
      <c r="AD137" s="4">
        <v>0</v>
      </c>
      <c r="AE137" s="4">
        <v>0</v>
      </c>
      <c r="AF137" s="4">
        <v>0</v>
      </c>
      <c r="AG137" s="4">
        <v>0</v>
      </c>
      <c r="AH137" s="4">
        <v>0</v>
      </c>
      <c r="AI137" s="4">
        <v>0</v>
      </c>
      <c r="AJ137" s="4">
        <v>0</v>
      </c>
      <c r="AK137" s="4">
        <v>0</v>
      </c>
      <c r="AL137" s="4">
        <v>0</v>
      </c>
      <c r="AM137" s="4">
        <v>0</v>
      </c>
      <c r="AN137" s="4">
        <v>0</v>
      </c>
      <c r="AO137" s="4">
        <v>0</v>
      </c>
      <c r="AP137" s="4">
        <v>0</v>
      </c>
      <c r="AQ137" s="4">
        <v>0</v>
      </c>
      <c r="AR137" s="4">
        <v>0</v>
      </c>
      <c r="AS137" s="4">
        <v>0</v>
      </c>
      <c r="AT137" s="4">
        <v>0</v>
      </c>
      <c r="AU137" s="4">
        <v>0</v>
      </c>
      <c r="AV137" s="4">
        <v>0</v>
      </c>
      <c r="AW137" s="4">
        <v>0</v>
      </c>
      <c r="AX137" s="4">
        <v>0</v>
      </c>
      <c r="AY137" s="4">
        <v>0</v>
      </c>
      <c r="AZ137" s="4">
        <v>0</v>
      </c>
      <c r="BA137" s="4">
        <v>0</v>
      </c>
      <c r="BB137" s="4">
        <v>0</v>
      </c>
      <c r="BC137" s="4">
        <v>0</v>
      </c>
      <c r="BD137" s="4">
        <v>0</v>
      </c>
      <c r="BE137" s="4">
        <v>0</v>
      </c>
      <c r="BF137" s="4">
        <f t="shared" si="106"/>
        <v>0</v>
      </c>
      <c r="BG137" s="4">
        <f t="shared" si="107"/>
        <v>0</v>
      </c>
      <c r="BH137" s="4">
        <f t="shared" si="108"/>
        <v>0</v>
      </c>
      <c r="BI137" s="4">
        <f t="shared" si="109"/>
        <v>0</v>
      </c>
    </row>
    <row r="138" spans="2:61" x14ac:dyDescent="0.25">
      <c r="C138">
        <v>652</v>
      </c>
      <c r="D138" t="s">
        <v>468</v>
      </c>
      <c r="E138" s="4">
        <v>0</v>
      </c>
      <c r="F138" s="4">
        <v>0</v>
      </c>
      <c r="G138" s="4">
        <v>0</v>
      </c>
      <c r="H138" s="4">
        <v>0</v>
      </c>
      <c r="I138" s="4">
        <v>0</v>
      </c>
      <c r="J138" s="4">
        <v>0</v>
      </c>
      <c r="K138" s="4">
        <v>0</v>
      </c>
      <c r="L138" s="4">
        <v>0</v>
      </c>
      <c r="M138" s="4">
        <v>0</v>
      </c>
      <c r="N138" s="4">
        <v>0</v>
      </c>
      <c r="O138" s="4">
        <v>0</v>
      </c>
      <c r="P138" s="4">
        <v>0</v>
      </c>
      <c r="Q138" s="4">
        <v>0</v>
      </c>
      <c r="R138" s="4">
        <v>0</v>
      </c>
      <c r="S138" s="4">
        <v>0</v>
      </c>
      <c r="T138" s="4">
        <v>0</v>
      </c>
      <c r="U138" s="4">
        <v>0</v>
      </c>
      <c r="V138" s="4">
        <v>0</v>
      </c>
      <c r="W138" s="4">
        <v>0</v>
      </c>
      <c r="X138" s="4">
        <v>0</v>
      </c>
      <c r="Y138" s="4">
        <v>0</v>
      </c>
      <c r="Z138" s="4">
        <v>0</v>
      </c>
      <c r="AA138" s="4">
        <v>0</v>
      </c>
      <c r="AB138" s="4">
        <v>0</v>
      </c>
      <c r="AC138" s="4">
        <v>0</v>
      </c>
      <c r="AD138" s="4">
        <v>0</v>
      </c>
      <c r="AE138" s="4">
        <v>0</v>
      </c>
      <c r="AF138" s="4">
        <v>0</v>
      </c>
      <c r="AG138" s="4">
        <v>0</v>
      </c>
      <c r="AH138" s="4">
        <v>0</v>
      </c>
      <c r="AI138" s="4">
        <v>0</v>
      </c>
      <c r="AJ138" s="4">
        <v>0</v>
      </c>
      <c r="AK138" s="4">
        <v>0</v>
      </c>
      <c r="AL138" s="4">
        <v>0</v>
      </c>
      <c r="AM138" s="4">
        <v>0</v>
      </c>
      <c r="AN138" s="4">
        <v>0</v>
      </c>
      <c r="AO138" s="4">
        <v>0</v>
      </c>
      <c r="AP138" s="4">
        <v>0</v>
      </c>
      <c r="AQ138" s="4">
        <v>0</v>
      </c>
      <c r="AR138" s="4">
        <v>0</v>
      </c>
      <c r="AS138" s="4">
        <v>0</v>
      </c>
      <c r="AT138" s="4">
        <v>0</v>
      </c>
      <c r="AU138" s="4">
        <v>0</v>
      </c>
      <c r="AV138" s="4">
        <v>0</v>
      </c>
      <c r="AW138" s="4">
        <v>0</v>
      </c>
      <c r="AX138" s="4">
        <v>0</v>
      </c>
      <c r="AY138" s="4">
        <v>0</v>
      </c>
      <c r="AZ138" s="4">
        <v>0</v>
      </c>
      <c r="BA138" s="4">
        <v>0</v>
      </c>
      <c r="BB138" s="4">
        <v>0</v>
      </c>
      <c r="BC138" s="4">
        <v>0</v>
      </c>
      <c r="BD138" s="4">
        <v>0</v>
      </c>
      <c r="BE138" s="4">
        <v>0</v>
      </c>
      <c r="BF138" s="4">
        <f t="shared" si="106"/>
        <v>0</v>
      </c>
      <c r="BG138" s="4">
        <f t="shared" si="107"/>
        <v>0</v>
      </c>
      <c r="BH138" s="4">
        <f t="shared" si="108"/>
        <v>0</v>
      </c>
      <c r="BI138" s="4">
        <f t="shared" si="109"/>
        <v>0</v>
      </c>
    </row>
    <row r="139" spans="2:61" x14ac:dyDescent="0.25">
      <c r="C139">
        <v>653</v>
      </c>
      <c r="D139" t="s">
        <v>469</v>
      </c>
      <c r="E139" s="4">
        <v>0</v>
      </c>
      <c r="F139" s="4">
        <v>0</v>
      </c>
      <c r="G139" s="4">
        <v>0</v>
      </c>
      <c r="H139" s="4">
        <v>0</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0</v>
      </c>
      <c r="AF139" s="4">
        <v>0</v>
      </c>
      <c r="AG139" s="4">
        <v>0</v>
      </c>
      <c r="AH139" s="4">
        <v>0</v>
      </c>
      <c r="AI139" s="4">
        <v>0</v>
      </c>
      <c r="AJ139" s="4">
        <v>0</v>
      </c>
      <c r="AK139" s="4">
        <v>0</v>
      </c>
      <c r="AL139" s="4">
        <v>0</v>
      </c>
      <c r="AM139" s="4">
        <v>0</v>
      </c>
      <c r="AN139" s="4">
        <v>0</v>
      </c>
      <c r="AO139" s="4">
        <v>0</v>
      </c>
      <c r="AP139" s="4">
        <v>0</v>
      </c>
      <c r="AQ139" s="4">
        <v>0</v>
      </c>
      <c r="AR139" s="4">
        <v>0</v>
      </c>
      <c r="AS139" s="4">
        <v>0</v>
      </c>
      <c r="AT139" s="4">
        <v>0</v>
      </c>
      <c r="AU139" s="4">
        <v>0</v>
      </c>
      <c r="AV139" s="4">
        <v>0</v>
      </c>
      <c r="AW139" s="4">
        <v>0</v>
      </c>
      <c r="AX139" s="4">
        <v>0</v>
      </c>
      <c r="AY139" s="4">
        <v>0</v>
      </c>
      <c r="AZ139" s="4">
        <v>0</v>
      </c>
      <c r="BA139" s="4">
        <v>0</v>
      </c>
      <c r="BB139" s="4">
        <v>0</v>
      </c>
      <c r="BC139" s="4">
        <v>0</v>
      </c>
      <c r="BD139" s="4">
        <v>0</v>
      </c>
      <c r="BE139" s="4">
        <v>0</v>
      </c>
      <c r="BF139" s="4">
        <f t="shared" si="106"/>
        <v>0</v>
      </c>
      <c r="BG139" s="4">
        <f t="shared" si="107"/>
        <v>0</v>
      </c>
      <c r="BH139" s="4">
        <f t="shared" si="108"/>
        <v>0</v>
      </c>
      <c r="BI139" s="4">
        <f t="shared" si="109"/>
        <v>0</v>
      </c>
    </row>
    <row r="140" spans="2:61" x14ac:dyDescent="0.25">
      <c r="C140">
        <v>654</v>
      </c>
      <c r="D140" t="s">
        <v>470</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
        <v>0</v>
      </c>
      <c r="AG140" s="4">
        <v>0</v>
      </c>
      <c r="AH140" s="4">
        <v>0</v>
      </c>
      <c r="AI140" s="4">
        <v>0</v>
      </c>
      <c r="AJ140" s="4">
        <v>0</v>
      </c>
      <c r="AK140" s="4">
        <v>0</v>
      </c>
      <c r="AL140" s="4">
        <v>0</v>
      </c>
      <c r="AM140" s="4">
        <v>0</v>
      </c>
      <c r="AN140" s="4">
        <v>0</v>
      </c>
      <c r="AO140" s="4">
        <v>0</v>
      </c>
      <c r="AP140" s="4">
        <v>0</v>
      </c>
      <c r="AQ140" s="4">
        <v>0</v>
      </c>
      <c r="AR140" s="4">
        <v>0</v>
      </c>
      <c r="AS140" s="4">
        <v>0</v>
      </c>
      <c r="AT140" s="4">
        <v>0</v>
      </c>
      <c r="AU140" s="4">
        <v>0</v>
      </c>
      <c r="AV140" s="4">
        <v>0</v>
      </c>
      <c r="AW140" s="4">
        <v>0</v>
      </c>
      <c r="AX140" s="4">
        <v>0</v>
      </c>
      <c r="AY140" s="4">
        <v>0</v>
      </c>
      <c r="AZ140" s="4">
        <v>0</v>
      </c>
      <c r="BA140" s="4">
        <v>0</v>
      </c>
      <c r="BB140" s="4">
        <v>0</v>
      </c>
      <c r="BC140" s="4">
        <v>0</v>
      </c>
      <c r="BD140" s="4">
        <v>0</v>
      </c>
      <c r="BE140" s="4">
        <v>0</v>
      </c>
      <c r="BF140" s="4">
        <f t="shared" si="106"/>
        <v>0</v>
      </c>
      <c r="BG140" s="4">
        <f t="shared" si="107"/>
        <v>0</v>
      </c>
      <c r="BH140" s="4">
        <f t="shared" si="108"/>
        <v>0</v>
      </c>
      <c r="BI140" s="4">
        <f t="shared" si="109"/>
        <v>0</v>
      </c>
    </row>
    <row r="141" spans="2:61" x14ac:dyDescent="0.25">
      <c r="C141">
        <v>655</v>
      </c>
      <c r="D141" t="s">
        <v>471</v>
      </c>
      <c r="E141" s="4">
        <v>0</v>
      </c>
      <c r="F141" s="4">
        <v>0</v>
      </c>
      <c r="G141" s="4">
        <v>0</v>
      </c>
      <c r="H141" s="4">
        <v>0</v>
      </c>
      <c r="I141" s="4">
        <v>0</v>
      </c>
      <c r="J141" s="4">
        <v>0</v>
      </c>
      <c r="K141" s="4">
        <v>0</v>
      </c>
      <c r="L141" s="4">
        <v>0</v>
      </c>
      <c r="M141" s="4">
        <v>0</v>
      </c>
      <c r="N141" s="4">
        <v>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0</v>
      </c>
      <c r="AF141" s="4">
        <v>0</v>
      </c>
      <c r="AG141" s="4">
        <v>0</v>
      </c>
      <c r="AH141" s="4">
        <v>0</v>
      </c>
      <c r="AI141" s="4">
        <v>0</v>
      </c>
      <c r="AJ141" s="4">
        <v>0</v>
      </c>
      <c r="AK141" s="4">
        <v>0</v>
      </c>
      <c r="AL141" s="4">
        <v>0</v>
      </c>
      <c r="AM141" s="4">
        <v>0</v>
      </c>
      <c r="AN141" s="4">
        <v>0</v>
      </c>
      <c r="AO141" s="4">
        <v>0</v>
      </c>
      <c r="AP141" s="4">
        <v>0</v>
      </c>
      <c r="AQ141" s="4">
        <v>0</v>
      </c>
      <c r="AR141" s="4">
        <v>0</v>
      </c>
      <c r="AS141" s="4">
        <v>0</v>
      </c>
      <c r="AT141" s="4">
        <v>0</v>
      </c>
      <c r="AU141" s="4">
        <v>0</v>
      </c>
      <c r="AV141" s="4">
        <v>0</v>
      </c>
      <c r="AW141" s="4">
        <v>0</v>
      </c>
      <c r="AX141" s="4">
        <v>0</v>
      </c>
      <c r="AY141" s="4">
        <v>0</v>
      </c>
      <c r="AZ141" s="4">
        <v>0</v>
      </c>
      <c r="BA141" s="4">
        <v>0</v>
      </c>
      <c r="BB141" s="4">
        <v>0</v>
      </c>
      <c r="BC141" s="4">
        <v>0</v>
      </c>
      <c r="BD141" s="4">
        <v>0</v>
      </c>
      <c r="BE141" s="4">
        <v>0</v>
      </c>
      <c r="BF141" s="4">
        <f t="shared" si="106"/>
        <v>0</v>
      </c>
      <c r="BG141" s="4">
        <f t="shared" si="107"/>
        <v>0</v>
      </c>
      <c r="BH141" s="4">
        <f t="shared" si="108"/>
        <v>0</v>
      </c>
      <c r="BI141" s="4">
        <f t="shared" si="109"/>
        <v>0</v>
      </c>
    </row>
    <row r="142" spans="2:61" x14ac:dyDescent="0.25">
      <c r="C142">
        <v>656</v>
      </c>
      <c r="D142" t="s">
        <v>472</v>
      </c>
      <c r="E142" s="4">
        <v>0</v>
      </c>
      <c r="F142" s="4">
        <v>0</v>
      </c>
      <c r="G142" s="4">
        <v>0</v>
      </c>
      <c r="H142" s="4">
        <v>0</v>
      </c>
      <c r="I142" s="4">
        <v>0</v>
      </c>
      <c r="J142" s="4">
        <v>0</v>
      </c>
      <c r="K142" s="4">
        <v>0</v>
      </c>
      <c r="L142" s="4">
        <v>0</v>
      </c>
      <c r="M142" s="4">
        <v>0</v>
      </c>
      <c r="N142" s="4">
        <v>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0</v>
      </c>
      <c r="AF142" s="4">
        <v>0</v>
      </c>
      <c r="AG142" s="4">
        <v>0</v>
      </c>
      <c r="AH142" s="4">
        <v>0</v>
      </c>
      <c r="AI142" s="4">
        <v>0</v>
      </c>
      <c r="AJ142" s="4">
        <v>0</v>
      </c>
      <c r="AK142" s="4">
        <v>0</v>
      </c>
      <c r="AL142" s="4">
        <v>0</v>
      </c>
      <c r="AM142" s="4">
        <v>0</v>
      </c>
      <c r="AN142" s="4">
        <v>0</v>
      </c>
      <c r="AO142" s="4">
        <v>0</v>
      </c>
      <c r="AP142" s="4">
        <v>0</v>
      </c>
      <c r="AQ142" s="4">
        <v>0</v>
      </c>
      <c r="AR142" s="4">
        <v>0</v>
      </c>
      <c r="AS142" s="4">
        <v>0</v>
      </c>
      <c r="AT142" s="4">
        <v>0</v>
      </c>
      <c r="AU142" s="4">
        <v>0</v>
      </c>
      <c r="AV142" s="4">
        <v>0</v>
      </c>
      <c r="AW142" s="4">
        <v>0</v>
      </c>
      <c r="AX142" s="4">
        <v>0</v>
      </c>
      <c r="AY142" s="4">
        <v>0</v>
      </c>
      <c r="AZ142" s="4">
        <v>0</v>
      </c>
      <c r="BA142" s="4">
        <v>0</v>
      </c>
      <c r="BB142" s="4">
        <v>0</v>
      </c>
      <c r="BC142" s="4">
        <v>0</v>
      </c>
      <c r="BD142" s="4">
        <v>0</v>
      </c>
      <c r="BE142" s="4">
        <v>0</v>
      </c>
      <c r="BF142" s="4">
        <f t="shared" si="106"/>
        <v>0</v>
      </c>
      <c r="BG142" s="4">
        <f t="shared" si="107"/>
        <v>0</v>
      </c>
      <c r="BH142" s="4">
        <f t="shared" si="108"/>
        <v>0</v>
      </c>
      <c r="BI142" s="4">
        <f t="shared" si="109"/>
        <v>0</v>
      </c>
    </row>
    <row r="143" spans="2:61" x14ac:dyDescent="0.25">
      <c r="C143">
        <v>657</v>
      </c>
      <c r="D143" t="s">
        <v>473</v>
      </c>
      <c r="E143" s="4">
        <v>0</v>
      </c>
      <c r="F143" s="4">
        <v>0</v>
      </c>
      <c r="G143" s="4">
        <v>0</v>
      </c>
      <c r="H143" s="4">
        <v>0</v>
      </c>
      <c r="I143" s="4">
        <v>0</v>
      </c>
      <c r="J143" s="4">
        <v>0</v>
      </c>
      <c r="K143" s="4">
        <v>0</v>
      </c>
      <c r="L143" s="4">
        <v>0</v>
      </c>
      <c r="M143" s="4">
        <v>0</v>
      </c>
      <c r="N143" s="4">
        <v>0</v>
      </c>
      <c r="O143" s="4">
        <v>0</v>
      </c>
      <c r="P143" s="4">
        <v>0</v>
      </c>
      <c r="Q143" s="4">
        <v>0</v>
      </c>
      <c r="R143" s="4">
        <v>0</v>
      </c>
      <c r="S143" s="4">
        <v>0</v>
      </c>
      <c r="T143" s="4">
        <v>0</v>
      </c>
      <c r="U143" s="4">
        <v>0</v>
      </c>
      <c r="V143" s="4">
        <v>0</v>
      </c>
      <c r="W143" s="4">
        <v>0</v>
      </c>
      <c r="X143" s="4">
        <v>0</v>
      </c>
      <c r="Y143" s="4">
        <v>0</v>
      </c>
      <c r="Z143" s="4">
        <v>0</v>
      </c>
      <c r="AA143" s="4">
        <v>0</v>
      </c>
      <c r="AB143" s="4">
        <v>0</v>
      </c>
      <c r="AC143" s="4">
        <v>0</v>
      </c>
      <c r="AD143" s="4">
        <v>0</v>
      </c>
      <c r="AE143" s="4">
        <v>0</v>
      </c>
      <c r="AF143" s="4">
        <v>0</v>
      </c>
      <c r="AG143" s="4">
        <v>0</v>
      </c>
      <c r="AH143" s="4">
        <v>0</v>
      </c>
      <c r="AI143" s="4">
        <v>0</v>
      </c>
      <c r="AJ143" s="4">
        <v>0</v>
      </c>
      <c r="AK143" s="4">
        <v>0</v>
      </c>
      <c r="AL143" s="4">
        <v>0</v>
      </c>
      <c r="AM143" s="4">
        <v>0</v>
      </c>
      <c r="AN143" s="4">
        <v>0</v>
      </c>
      <c r="AO143" s="4">
        <v>0</v>
      </c>
      <c r="AP143" s="4">
        <v>0</v>
      </c>
      <c r="AQ143" s="4">
        <v>0</v>
      </c>
      <c r="AR143" s="4">
        <v>0</v>
      </c>
      <c r="AS143" s="4">
        <v>0</v>
      </c>
      <c r="AT143" s="4">
        <v>0</v>
      </c>
      <c r="AU143" s="4">
        <v>0</v>
      </c>
      <c r="AV143" s="4">
        <v>0</v>
      </c>
      <c r="AW143" s="4">
        <v>0</v>
      </c>
      <c r="AX143" s="4">
        <v>0</v>
      </c>
      <c r="AY143" s="4">
        <v>0</v>
      </c>
      <c r="AZ143" s="4">
        <v>0</v>
      </c>
      <c r="BA143" s="4">
        <v>0</v>
      </c>
      <c r="BB143" s="4">
        <v>0</v>
      </c>
      <c r="BC143" s="4">
        <v>0</v>
      </c>
      <c r="BD143" s="4">
        <v>0</v>
      </c>
      <c r="BE143" s="4">
        <v>0</v>
      </c>
      <c r="BF143" s="4">
        <f t="shared" si="106"/>
        <v>0</v>
      </c>
      <c r="BG143" s="4">
        <f t="shared" si="107"/>
        <v>0</v>
      </c>
      <c r="BH143" s="4">
        <f t="shared" si="108"/>
        <v>0</v>
      </c>
      <c r="BI143" s="4">
        <f t="shared" si="109"/>
        <v>0</v>
      </c>
    </row>
    <row r="144" spans="2:61" x14ac:dyDescent="0.25">
      <c r="C144">
        <v>658</v>
      </c>
      <c r="D144" t="s">
        <v>474</v>
      </c>
      <c r="E144" s="4">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
        <v>0</v>
      </c>
      <c r="AG144" s="4">
        <v>0</v>
      </c>
      <c r="AH144" s="4">
        <v>0</v>
      </c>
      <c r="AI144" s="4">
        <v>0</v>
      </c>
      <c r="AJ144" s="4">
        <v>0</v>
      </c>
      <c r="AK144" s="4">
        <v>0</v>
      </c>
      <c r="AL144" s="4">
        <v>0</v>
      </c>
      <c r="AM144" s="4">
        <v>0</v>
      </c>
      <c r="AN144" s="4">
        <v>0</v>
      </c>
      <c r="AO144" s="4">
        <v>0</v>
      </c>
      <c r="AP144" s="4">
        <v>0</v>
      </c>
      <c r="AQ144" s="4">
        <v>0</v>
      </c>
      <c r="AR144" s="4">
        <v>0</v>
      </c>
      <c r="AS144" s="4">
        <v>0</v>
      </c>
      <c r="AT144" s="4">
        <v>0</v>
      </c>
      <c r="AU144" s="4">
        <v>0</v>
      </c>
      <c r="AV144" s="4">
        <v>0</v>
      </c>
      <c r="AW144" s="4">
        <v>0</v>
      </c>
      <c r="AX144" s="4">
        <v>0</v>
      </c>
      <c r="AY144" s="4">
        <v>0</v>
      </c>
      <c r="AZ144" s="4">
        <v>0</v>
      </c>
      <c r="BA144" s="4">
        <v>0</v>
      </c>
      <c r="BB144" s="4">
        <v>0</v>
      </c>
      <c r="BC144" s="4">
        <v>0</v>
      </c>
      <c r="BD144" s="4">
        <v>0</v>
      </c>
      <c r="BE144" s="4">
        <v>0</v>
      </c>
      <c r="BF144" s="4">
        <f t="shared" si="106"/>
        <v>0</v>
      </c>
      <c r="BG144" s="4">
        <f t="shared" si="107"/>
        <v>0</v>
      </c>
      <c r="BH144" s="4">
        <f t="shared" si="108"/>
        <v>0</v>
      </c>
      <c r="BI144" s="4">
        <f t="shared" si="109"/>
        <v>0</v>
      </c>
    </row>
    <row r="145" spans="2:61" x14ac:dyDescent="0.25">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row>
    <row r="146" spans="2:61" x14ac:dyDescent="0.25">
      <c r="B146" s="87">
        <v>66</v>
      </c>
      <c r="C146" s="87"/>
      <c r="D146" s="87" t="s">
        <v>488</v>
      </c>
      <c r="E146" s="85">
        <f>E147+E148+E149+E150+E151+E152+E153+E154+E155</f>
        <v>0</v>
      </c>
      <c r="F146" s="85">
        <f t="shared" ref="F146:BI146" si="110">F147+F148+F149+F150+F151+F152+F153+F154+F155</f>
        <v>0</v>
      </c>
      <c r="G146" s="85">
        <f t="shared" si="110"/>
        <v>0</v>
      </c>
      <c r="H146" s="85">
        <f t="shared" si="110"/>
        <v>0</v>
      </c>
      <c r="I146" s="85">
        <f t="shared" si="110"/>
        <v>0</v>
      </c>
      <c r="J146" s="85">
        <f t="shared" si="110"/>
        <v>0</v>
      </c>
      <c r="K146" s="85">
        <f t="shared" si="110"/>
        <v>0</v>
      </c>
      <c r="L146" s="85">
        <f t="shared" si="110"/>
        <v>0</v>
      </c>
      <c r="M146" s="85">
        <f t="shared" si="110"/>
        <v>0</v>
      </c>
      <c r="N146" s="85">
        <f t="shared" si="110"/>
        <v>0</v>
      </c>
      <c r="O146" s="85">
        <f t="shared" si="110"/>
        <v>0</v>
      </c>
      <c r="P146" s="85">
        <f t="shared" si="110"/>
        <v>0</v>
      </c>
      <c r="Q146" s="85">
        <f t="shared" si="110"/>
        <v>0</v>
      </c>
      <c r="R146" s="85">
        <f t="shared" si="110"/>
        <v>0</v>
      </c>
      <c r="S146" s="85">
        <f t="shared" si="110"/>
        <v>0</v>
      </c>
      <c r="T146" s="85">
        <f t="shared" si="110"/>
        <v>0</v>
      </c>
      <c r="U146" s="85">
        <f t="shared" si="110"/>
        <v>0</v>
      </c>
      <c r="V146" s="85">
        <f t="shared" si="110"/>
        <v>0</v>
      </c>
      <c r="W146" s="85">
        <f t="shared" si="110"/>
        <v>0</v>
      </c>
      <c r="X146" s="85">
        <f t="shared" si="110"/>
        <v>0</v>
      </c>
      <c r="Y146" s="85">
        <f t="shared" si="110"/>
        <v>0</v>
      </c>
      <c r="Z146" s="85">
        <f t="shared" si="110"/>
        <v>0</v>
      </c>
      <c r="AA146" s="85">
        <f t="shared" si="110"/>
        <v>0</v>
      </c>
      <c r="AB146" s="85">
        <f t="shared" si="110"/>
        <v>0</v>
      </c>
      <c r="AC146" s="85">
        <f t="shared" si="110"/>
        <v>0</v>
      </c>
      <c r="AD146" s="85">
        <f t="shared" si="110"/>
        <v>0</v>
      </c>
      <c r="AE146" s="85">
        <f t="shared" si="110"/>
        <v>0</v>
      </c>
      <c r="AF146" s="85">
        <f t="shared" si="110"/>
        <v>0</v>
      </c>
      <c r="AG146" s="85">
        <f t="shared" si="110"/>
        <v>0</v>
      </c>
      <c r="AH146" s="85">
        <f t="shared" si="110"/>
        <v>0</v>
      </c>
      <c r="AI146" s="85">
        <f t="shared" si="110"/>
        <v>11348.43</v>
      </c>
      <c r="AJ146" s="85">
        <f t="shared" si="110"/>
        <v>0</v>
      </c>
      <c r="AK146" s="85">
        <f t="shared" si="110"/>
        <v>0</v>
      </c>
      <c r="AL146" s="85">
        <f t="shared" si="110"/>
        <v>0</v>
      </c>
      <c r="AM146" s="85">
        <f t="shared" si="110"/>
        <v>0</v>
      </c>
      <c r="AN146" s="85">
        <f t="shared" si="110"/>
        <v>0</v>
      </c>
      <c r="AO146" s="85">
        <f t="shared" si="110"/>
        <v>0</v>
      </c>
      <c r="AP146" s="85">
        <f t="shared" si="110"/>
        <v>0</v>
      </c>
      <c r="AQ146" s="85">
        <f t="shared" si="110"/>
        <v>0</v>
      </c>
      <c r="AR146" s="85">
        <f t="shared" si="110"/>
        <v>0</v>
      </c>
      <c r="AS146" s="85">
        <f t="shared" si="110"/>
        <v>0</v>
      </c>
      <c r="AT146" s="85">
        <f t="shared" si="110"/>
        <v>0</v>
      </c>
      <c r="AU146" s="85">
        <f t="shared" si="110"/>
        <v>0</v>
      </c>
      <c r="AV146" s="85">
        <f t="shared" si="110"/>
        <v>0</v>
      </c>
      <c r="AW146" s="85">
        <f t="shared" si="110"/>
        <v>0</v>
      </c>
      <c r="AX146" s="85">
        <f t="shared" si="110"/>
        <v>0</v>
      </c>
      <c r="AY146" s="85">
        <f t="shared" si="110"/>
        <v>0</v>
      </c>
      <c r="AZ146" s="85">
        <f t="shared" si="110"/>
        <v>0</v>
      </c>
      <c r="BA146" s="85">
        <f t="shared" si="110"/>
        <v>0</v>
      </c>
      <c r="BB146" s="85">
        <f t="shared" si="110"/>
        <v>0</v>
      </c>
      <c r="BC146" s="85">
        <f t="shared" si="110"/>
        <v>0</v>
      </c>
      <c r="BD146" s="85">
        <f t="shared" si="110"/>
        <v>0</v>
      </c>
      <c r="BE146" s="85">
        <f t="shared" si="110"/>
        <v>0</v>
      </c>
      <c r="BF146" s="85">
        <f t="shared" si="110"/>
        <v>11348.43</v>
      </c>
      <c r="BG146" s="85">
        <f t="shared" si="110"/>
        <v>0</v>
      </c>
      <c r="BH146" s="85">
        <f t="shared" si="110"/>
        <v>11348.43</v>
      </c>
      <c r="BI146" s="85">
        <f t="shared" si="110"/>
        <v>0</v>
      </c>
    </row>
    <row r="147" spans="2:61" x14ac:dyDescent="0.25">
      <c r="C147">
        <v>660</v>
      </c>
      <c r="D147" t="s">
        <v>466</v>
      </c>
      <c r="E147" s="4">
        <v>0</v>
      </c>
      <c r="F147" s="4">
        <v>0</v>
      </c>
      <c r="G147" s="4">
        <v>0</v>
      </c>
      <c r="H147" s="4">
        <v>0</v>
      </c>
      <c r="I147" s="4">
        <v>0</v>
      </c>
      <c r="J147" s="4">
        <v>0</v>
      </c>
      <c r="K147" s="4">
        <v>0</v>
      </c>
      <c r="L147" s="4">
        <v>0</v>
      </c>
      <c r="M147" s="4">
        <v>0</v>
      </c>
      <c r="N147" s="4">
        <v>0</v>
      </c>
      <c r="O147" s="4">
        <v>0</v>
      </c>
      <c r="P147" s="4">
        <v>0</v>
      </c>
      <c r="Q147" s="4">
        <v>0</v>
      </c>
      <c r="R147" s="4">
        <v>0</v>
      </c>
      <c r="S147" s="4">
        <v>0</v>
      </c>
      <c r="T147" s="4">
        <v>0</v>
      </c>
      <c r="U147" s="4">
        <v>0</v>
      </c>
      <c r="V147" s="4">
        <v>0</v>
      </c>
      <c r="W147" s="4">
        <v>0</v>
      </c>
      <c r="X147" s="4">
        <v>0</v>
      </c>
      <c r="Y147" s="4">
        <v>0</v>
      </c>
      <c r="Z147" s="4">
        <v>0</v>
      </c>
      <c r="AA147" s="4">
        <v>0</v>
      </c>
      <c r="AB147" s="4">
        <v>0</v>
      </c>
      <c r="AC147" s="4">
        <v>0</v>
      </c>
      <c r="AD147" s="4">
        <v>0</v>
      </c>
      <c r="AE147" s="4">
        <v>0</v>
      </c>
      <c r="AF147" s="4">
        <v>0</v>
      </c>
      <c r="AG147" s="4">
        <v>0</v>
      </c>
      <c r="AH147" s="4">
        <v>0</v>
      </c>
      <c r="AI147" s="4">
        <v>0</v>
      </c>
      <c r="AJ147" s="4">
        <v>0</v>
      </c>
      <c r="AK147" s="4">
        <v>0</v>
      </c>
      <c r="AL147" s="4">
        <v>0</v>
      </c>
      <c r="AM147" s="4">
        <v>0</v>
      </c>
      <c r="AN147" s="4">
        <v>0</v>
      </c>
      <c r="AO147" s="4">
        <v>0</v>
      </c>
      <c r="AP147" s="4">
        <v>0</v>
      </c>
      <c r="AQ147" s="4">
        <v>0</v>
      </c>
      <c r="AR147" s="4">
        <v>0</v>
      </c>
      <c r="AS147" s="4">
        <v>0</v>
      </c>
      <c r="AT147" s="4">
        <v>0</v>
      </c>
      <c r="AU147" s="4">
        <v>0</v>
      </c>
      <c r="AV147" s="4">
        <v>0</v>
      </c>
      <c r="AW147" s="4">
        <v>0</v>
      </c>
      <c r="AX147" s="4">
        <v>0</v>
      </c>
      <c r="AY147" s="4">
        <v>0</v>
      </c>
      <c r="AZ147" s="4">
        <v>0</v>
      </c>
      <c r="BA147" s="4">
        <v>0</v>
      </c>
      <c r="BB147" s="4">
        <v>0</v>
      </c>
      <c r="BC147" s="4">
        <v>0</v>
      </c>
      <c r="BD147" s="4">
        <v>0</v>
      </c>
      <c r="BE147" s="4">
        <v>0</v>
      </c>
      <c r="BF147" s="4">
        <f t="shared" ref="BF147:BF155" si="111">SUM(E147:BE147)</f>
        <v>0</v>
      </c>
      <c r="BG147" s="4">
        <f t="shared" ref="BG147:BG155" si="112">SUM(E147:W147)</f>
        <v>0</v>
      </c>
      <c r="BH147" s="4">
        <f t="shared" ref="BH147:BH155" si="113">SUM(X147:AJ147)</f>
        <v>0</v>
      </c>
      <c r="BI147" s="4">
        <f t="shared" ref="BI147:BI155" si="114">SUM(AK147:BE147)</f>
        <v>0</v>
      </c>
    </row>
    <row r="148" spans="2:61" x14ac:dyDescent="0.25">
      <c r="C148">
        <v>661</v>
      </c>
      <c r="D148" t="s">
        <v>467</v>
      </c>
      <c r="E148" s="4">
        <v>0</v>
      </c>
      <c r="F148" s="4">
        <v>0</v>
      </c>
      <c r="G148" s="4">
        <v>0</v>
      </c>
      <c r="H148" s="4">
        <v>0</v>
      </c>
      <c r="I148" s="4">
        <v>0</v>
      </c>
      <c r="J148" s="4">
        <v>0</v>
      </c>
      <c r="K148" s="4">
        <v>0</v>
      </c>
      <c r="L148" s="4">
        <v>0</v>
      </c>
      <c r="M148" s="4">
        <v>0</v>
      </c>
      <c r="N148" s="4">
        <v>0</v>
      </c>
      <c r="O148" s="4">
        <v>0</v>
      </c>
      <c r="P148" s="4">
        <v>0</v>
      </c>
      <c r="Q148" s="4">
        <v>0</v>
      </c>
      <c r="R148" s="4">
        <v>0</v>
      </c>
      <c r="S148" s="4">
        <v>0</v>
      </c>
      <c r="T148" s="4">
        <v>0</v>
      </c>
      <c r="U148" s="4">
        <v>0</v>
      </c>
      <c r="V148" s="4">
        <v>0</v>
      </c>
      <c r="W148" s="4">
        <v>0</v>
      </c>
      <c r="X148" s="4">
        <v>0</v>
      </c>
      <c r="Y148" s="4">
        <v>0</v>
      </c>
      <c r="Z148" s="4">
        <v>0</v>
      </c>
      <c r="AA148" s="4">
        <v>0</v>
      </c>
      <c r="AB148" s="4">
        <v>0</v>
      </c>
      <c r="AC148" s="4">
        <v>0</v>
      </c>
      <c r="AD148" s="4">
        <v>0</v>
      </c>
      <c r="AE148" s="4">
        <v>0</v>
      </c>
      <c r="AF148" s="4">
        <v>0</v>
      </c>
      <c r="AG148" s="4">
        <v>0</v>
      </c>
      <c r="AH148" s="4">
        <v>0</v>
      </c>
      <c r="AI148" s="4">
        <v>0</v>
      </c>
      <c r="AJ148" s="4">
        <v>0</v>
      </c>
      <c r="AK148" s="4">
        <v>0</v>
      </c>
      <c r="AL148" s="4">
        <v>0</v>
      </c>
      <c r="AM148" s="4">
        <v>0</v>
      </c>
      <c r="AN148" s="4">
        <v>0</v>
      </c>
      <c r="AO148" s="4">
        <v>0</v>
      </c>
      <c r="AP148" s="4">
        <v>0</v>
      </c>
      <c r="AQ148" s="4">
        <v>0</v>
      </c>
      <c r="AR148" s="4">
        <v>0</v>
      </c>
      <c r="AS148" s="4">
        <v>0</v>
      </c>
      <c r="AT148" s="4">
        <v>0</v>
      </c>
      <c r="AU148" s="4">
        <v>0</v>
      </c>
      <c r="AV148" s="4">
        <v>0</v>
      </c>
      <c r="AW148" s="4">
        <v>0</v>
      </c>
      <c r="AX148" s="4">
        <v>0</v>
      </c>
      <c r="AY148" s="4">
        <v>0</v>
      </c>
      <c r="AZ148" s="4">
        <v>0</v>
      </c>
      <c r="BA148" s="4">
        <v>0</v>
      </c>
      <c r="BB148" s="4">
        <v>0</v>
      </c>
      <c r="BC148" s="4">
        <v>0</v>
      </c>
      <c r="BD148" s="4">
        <v>0</v>
      </c>
      <c r="BE148" s="4">
        <v>0</v>
      </c>
      <c r="BF148" s="4">
        <f t="shared" si="111"/>
        <v>0</v>
      </c>
      <c r="BG148" s="4">
        <f t="shared" si="112"/>
        <v>0</v>
      </c>
      <c r="BH148" s="4">
        <f t="shared" si="113"/>
        <v>0</v>
      </c>
      <c r="BI148" s="4">
        <f t="shared" si="114"/>
        <v>0</v>
      </c>
    </row>
    <row r="149" spans="2:61" x14ac:dyDescent="0.25">
      <c r="C149">
        <v>662</v>
      </c>
      <c r="D149" t="s">
        <v>468</v>
      </c>
      <c r="E149" s="4">
        <v>0</v>
      </c>
      <c r="F149" s="4">
        <v>0</v>
      </c>
      <c r="G149" s="4">
        <v>0</v>
      </c>
      <c r="H149" s="4">
        <v>0</v>
      </c>
      <c r="I149" s="4">
        <v>0</v>
      </c>
      <c r="J149" s="4">
        <v>0</v>
      </c>
      <c r="K149" s="4">
        <v>0</v>
      </c>
      <c r="L149" s="4">
        <v>0</v>
      </c>
      <c r="M149" s="4">
        <v>0</v>
      </c>
      <c r="N149" s="4">
        <v>0</v>
      </c>
      <c r="O149" s="4">
        <v>0</v>
      </c>
      <c r="P149" s="4">
        <v>0</v>
      </c>
      <c r="Q149" s="4">
        <v>0</v>
      </c>
      <c r="R149" s="4">
        <v>0</v>
      </c>
      <c r="S149" s="4">
        <v>0</v>
      </c>
      <c r="T149" s="4">
        <v>0</v>
      </c>
      <c r="U149" s="4">
        <v>0</v>
      </c>
      <c r="V149" s="4">
        <v>0</v>
      </c>
      <c r="W149" s="4">
        <v>0</v>
      </c>
      <c r="X149" s="4">
        <v>0</v>
      </c>
      <c r="Y149" s="4">
        <v>0</v>
      </c>
      <c r="Z149" s="4">
        <v>0</v>
      </c>
      <c r="AA149" s="4">
        <v>0</v>
      </c>
      <c r="AB149" s="4">
        <v>0</v>
      </c>
      <c r="AC149" s="4">
        <v>0</v>
      </c>
      <c r="AD149" s="4">
        <v>0</v>
      </c>
      <c r="AE149" s="4">
        <v>0</v>
      </c>
      <c r="AF149" s="4">
        <v>0</v>
      </c>
      <c r="AG149" s="4">
        <v>0</v>
      </c>
      <c r="AH149" s="4">
        <v>0</v>
      </c>
      <c r="AI149" s="4">
        <v>11348.43</v>
      </c>
      <c r="AJ149" s="4">
        <v>0</v>
      </c>
      <c r="AK149" s="4">
        <v>0</v>
      </c>
      <c r="AL149" s="4">
        <v>0</v>
      </c>
      <c r="AM149" s="4">
        <v>0</v>
      </c>
      <c r="AN149" s="4">
        <v>0</v>
      </c>
      <c r="AO149" s="4">
        <v>0</v>
      </c>
      <c r="AP149" s="4">
        <v>0</v>
      </c>
      <c r="AQ149" s="4">
        <v>0</v>
      </c>
      <c r="AR149" s="4">
        <v>0</v>
      </c>
      <c r="AS149" s="4">
        <v>0</v>
      </c>
      <c r="AT149" s="4">
        <v>0</v>
      </c>
      <c r="AU149" s="4">
        <v>0</v>
      </c>
      <c r="AV149" s="4">
        <v>0</v>
      </c>
      <c r="AW149" s="4">
        <v>0</v>
      </c>
      <c r="AX149" s="4">
        <v>0</v>
      </c>
      <c r="AY149" s="4">
        <v>0</v>
      </c>
      <c r="AZ149" s="4">
        <v>0</v>
      </c>
      <c r="BA149" s="4">
        <v>0</v>
      </c>
      <c r="BB149" s="4">
        <v>0</v>
      </c>
      <c r="BC149" s="4">
        <v>0</v>
      </c>
      <c r="BD149" s="4">
        <v>0</v>
      </c>
      <c r="BE149" s="4">
        <v>0</v>
      </c>
      <c r="BF149" s="4">
        <f t="shared" si="111"/>
        <v>11348.43</v>
      </c>
      <c r="BG149" s="4">
        <f t="shared" si="112"/>
        <v>0</v>
      </c>
      <c r="BH149" s="4">
        <f t="shared" si="113"/>
        <v>11348.43</v>
      </c>
      <c r="BI149" s="4">
        <f t="shared" si="114"/>
        <v>0</v>
      </c>
    </row>
    <row r="150" spans="2:61" x14ac:dyDescent="0.25">
      <c r="C150">
        <v>663</v>
      </c>
      <c r="D150" t="s">
        <v>469</v>
      </c>
      <c r="E150" s="4">
        <v>0</v>
      </c>
      <c r="F150" s="4">
        <v>0</v>
      </c>
      <c r="G150" s="4">
        <v>0</v>
      </c>
      <c r="H150" s="4">
        <v>0</v>
      </c>
      <c r="I150" s="4">
        <v>0</v>
      </c>
      <c r="J150" s="4">
        <v>0</v>
      </c>
      <c r="K150" s="4">
        <v>0</v>
      </c>
      <c r="L150" s="4">
        <v>0</v>
      </c>
      <c r="M150" s="4">
        <v>0</v>
      </c>
      <c r="N150" s="4">
        <v>0</v>
      </c>
      <c r="O150" s="4">
        <v>0</v>
      </c>
      <c r="P150" s="4">
        <v>0</v>
      </c>
      <c r="Q150" s="4">
        <v>0</v>
      </c>
      <c r="R150" s="4">
        <v>0</v>
      </c>
      <c r="S150" s="4">
        <v>0</v>
      </c>
      <c r="T150" s="4">
        <v>0</v>
      </c>
      <c r="U150" s="4">
        <v>0</v>
      </c>
      <c r="V150" s="4">
        <v>0</v>
      </c>
      <c r="W150" s="4">
        <v>0</v>
      </c>
      <c r="X150" s="4">
        <v>0</v>
      </c>
      <c r="Y150" s="4">
        <v>0</v>
      </c>
      <c r="Z150" s="4">
        <v>0</v>
      </c>
      <c r="AA150" s="4">
        <v>0</v>
      </c>
      <c r="AB150" s="4">
        <v>0</v>
      </c>
      <c r="AC150" s="4">
        <v>0</v>
      </c>
      <c r="AD150" s="4">
        <v>0</v>
      </c>
      <c r="AE150" s="4">
        <v>0</v>
      </c>
      <c r="AF150" s="4">
        <v>0</v>
      </c>
      <c r="AG150" s="4">
        <v>0</v>
      </c>
      <c r="AH150" s="4">
        <v>0</v>
      </c>
      <c r="AI150" s="4">
        <v>0</v>
      </c>
      <c r="AJ150" s="4">
        <v>0</v>
      </c>
      <c r="AK150" s="4">
        <v>0</v>
      </c>
      <c r="AL150" s="4">
        <v>0</v>
      </c>
      <c r="AM150" s="4">
        <v>0</v>
      </c>
      <c r="AN150" s="4">
        <v>0</v>
      </c>
      <c r="AO150" s="4">
        <v>0</v>
      </c>
      <c r="AP150" s="4">
        <v>0</v>
      </c>
      <c r="AQ150" s="4">
        <v>0</v>
      </c>
      <c r="AR150" s="4">
        <v>0</v>
      </c>
      <c r="AS150" s="4">
        <v>0</v>
      </c>
      <c r="AT150" s="4">
        <v>0</v>
      </c>
      <c r="AU150" s="4">
        <v>0</v>
      </c>
      <c r="AV150" s="4">
        <v>0</v>
      </c>
      <c r="AW150" s="4">
        <v>0</v>
      </c>
      <c r="AX150" s="4">
        <v>0</v>
      </c>
      <c r="AY150" s="4">
        <v>0</v>
      </c>
      <c r="AZ150" s="4">
        <v>0</v>
      </c>
      <c r="BA150" s="4">
        <v>0</v>
      </c>
      <c r="BB150" s="4">
        <v>0</v>
      </c>
      <c r="BC150" s="4">
        <v>0</v>
      </c>
      <c r="BD150" s="4">
        <v>0</v>
      </c>
      <c r="BE150" s="4">
        <v>0</v>
      </c>
      <c r="BF150" s="4">
        <f t="shared" si="111"/>
        <v>0</v>
      </c>
      <c r="BG150" s="4">
        <f t="shared" si="112"/>
        <v>0</v>
      </c>
      <c r="BH150" s="4">
        <f t="shared" si="113"/>
        <v>0</v>
      </c>
      <c r="BI150" s="4">
        <f t="shared" si="114"/>
        <v>0</v>
      </c>
    </row>
    <row r="151" spans="2:61" x14ac:dyDescent="0.25">
      <c r="C151">
        <v>664</v>
      </c>
      <c r="D151" t="s">
        <v>470</v>
      </c>
      <c r="E151" s="4">
        <v>0</v>
      </c>
      <c r="F151" s="4">
        <v>0</v>
      </c>
      <c r="G151" s="4">
        <v>0</v>
      </c>
      <c r="H151" s="4">
        <v>0</v>
      </c>
      <c r="I151" s="4">
        <v>0</v>
      </c>
      <c r="J151" s="4">
        <v>0</v>
      </c>
      <c r="K151" s="4">
        <v>0</v>
      </c>
      <c r="L151" s="4">
        <v>0</v>
      </c>
      <c r="M151" s="4">
        <v>0</v>
      </c>
      <c r="N151" s="4">
        <v>0</v>
      </c>
      <c r="O151" s="4">
        <v>0</v>
      </c>
      <c r="P151" s="4">
        <v>0</v>
      </c>
      <c r="Q151" s="4">
        <v>0</v>
      </c>
      <c r="R151" s="4">
        <v>0</v>
      </c>
      <c r="S151" s="4">
        <v>0</v>
      </c>
      <c r="T151" s="4">
        <v>0</v>
      </c>
      <c r="U151" s="4">
        <v>0</v>
      </c>
      <c r="V151" s="4">
        <v>0</v>
      </c>
      <c r="W151" s="4">
        <v>0</v>
      </c>
      <c r="X151" s="4">
        <v>0</v>
      </c>
      <c r="Y151" s="4">
        <v>0</v>
      </c>
      <c r="Z151" s="4">
        <v>0</v>
      </c>
      <c r="AA151" s="4">
        <v>0</v>
      </c>
      <c r="AB151" s="4">
        <v>0</v>
      </c>
      <c r="AC151" s="4">
        <v>0</v>
      </c>
      <c r="AD151" s="4">
        <v>0</v>
      </c>
      <c r="AE151" s="4">
        <v>0</v>
      </c>
      <c r="AF151" s="4">
        <v>0</v>
      </c>
      <c r="AG151" s="4">
        <v>0</v>
      </c>
      <c r="AH151" s="4">
        <v>0</v>
      </c>
      <c r="AI151" s="4">
        <v>0</v>
      </c>
      <c r="AJ151" s="4">
        <v>0</v>
      </c>
      <c r="AK151" s="4">
        <v>0</v>
      </c>
      <c r="AL151" s="4">
        <v>0</v>
      </c>
      <c r="AM151" s="4">
        <v>0</v>
      </c>
      <c r="AN151" s="4">
        <v>0</v>
      </c>
      <c r="AO151" s="4">
        <v>0</v>
      </c>
      <c r="AP151" s="4">
        <v>0</v>
      </c>
      <c r="AQ151" s="4">
        <v>0</v>
      </c>
      <c r="AR151" s="4">
        <v>0</v>
      </c>
      <c r="AS151" s="4">
        <v>0</v>
      </c>
      <c r="AT151" s="4">
        <v>0</v>
      </c>
      <c r="AU151" s="4">
        <v>0</v>
      </c>
      <c r="AV151" s="4">
        <v>0</v>
      </c>
      <c r="AW151" s="4">
        <v>0</v>
      </c>
      <c r="AX151" s="4">
        <v>0</v>
      </c>
      <c r="AY151" s="4">
        <v>0</v>
      </c>
      <c r="AZ151" s="4">
        <v>0</v>
      </c>
      <c r="BA151" s="4">
        <v>0</v>
      </c>
      <c r="BB151" s="4">
        <v>0</v>
      </c>
      <c r="BC151" s="4">
        <v>0</v>
      </c>
      <c r="BD151" s="4">
        <v>0</v>
      </c>
      <c r="BE151" s="4">
        <v>0</v>
      </c>
      <c r="BF151" s="4">
        <f t="shared" si="111"/>
        <v>0</v>
      </c>
      <c r="BG151" s="4">
        <f t="shared" si="112"/>
        <v>0</v>
      </c>
      <c r="BH151" s="4">
        <f t="shared" si="113"/>
        <v>0</v>
      </c>
      <c r="BI151" s="4">
        <f t="shared" si="114"/>
        <v>0</v>
      </c>
    </row>
    <row r="152" spans="2:61" x14ac:dyDescent="0.25">
      <c r="C152">
        <v>665</v>
      </c>
      <c r="D152" t="s">
        <v>471</v>
      </c>
      <c r="E152" s="4">
        <v>0</v>
      </c>
      <c r="F152" s="4">
        <v>0</v>
      </c>
      <c r="G152" s="4">
        <v>0</v>
      </c>
      <c r="H152" s="4">
        <v>0</v>
      </c>
      <c r="I152" s="4">
        <v>0</v>
      </c>
      <c r="J152" s="4">
        <v>0</v>
      </c>
      <c r="K152" s="4">
        <v>0</v>
      </c>
      <c r="L152" s="4">
        <v>0</v>
      </c>
      <c r="M152" s="4">
        <v>0</v>
      </c>
      <c r="N152" s="4">
        <v>0</v>
      </c>
      <c r="O152" s="4">
        <v>0</v>
      </c>
      <c r="P152" s="4">
        <v>0</v>
      </c>
      <c r="Q152" s="4">
        <v>0</v>
      </c>
      <c r="R152" s="4">
        <v>0</v>
      </c>
      <c r="S152" s="4">
        <v>0</v>
      </c>
      <c r="T152" s="4">
        <v>0</v>
      </c>
      <c r="U152" s="4">
        <v>0</v>
      </c>
      <c r="V152" s="4">
        <v>0</v>
      </c>
      <c r="W152" s="4">
        <v>0</v>
      </c>
      <c r="X152" s="4">
        <v>0</v>
      </c>
      <c r="Y152" s="4">
        <v>0</v>
      </c>
      <c r="Z152" s="4">
        <v>0</v>
      </c>
      <c r="AA152" s="4">
        <v>0</v>
      </c>
      <c r="AB152" s="4">
        <v>0</v>
      </c>
      <c r="AC152" s="4">
        <v>0</v>
      </c>
      <c r="AD152" s="4">
        <v>0</v>
      </c>
      <c r="AE152" s="4">
        <v>0</v>
      </c>
      <c r="AF152" s="4">
        <v>0</v>
      </c>
      <c r="AG152" s="4">
        <v>0</v>
      </c>
      <c r="AH152" s="4">
        <v>0</v>
      </c>
      <c r="AI152" s="4">
        <v>0</v>
      </c>
      <c r="AJ152" s="4">
        <v>0</v>
      </c>
      <c r="AK152" s="4">
        <v>0</v>
      </c>
      <c r="AL152" s="4">
        <v>0</v>
      </c>
      <c r="AM152" s="4">
        <v>0</v>
      </c>
      <c r="AN152" s="4">
        <v>0</v>
      </c>
      <c r="AO152" s="4">
        <v>0</v>
      </c>
      <c r="AP152" s="4">
        <v>0</v>
      </c>
      <c r="AQ152" s="4">
        <v>0</v>
      </c>
      <c r="AR152" s="4">
        <v>0</v>
      </c>
      <c r="AS152" s="4">
        <v>0</v>
      </c>
      <c r="AT152" s="4">
        <v>0</v>
      </c>
      <c r="AU152" s="4">
        <v>0</v>
      </c>
      <c r="AV152" s="4">
        <v>0</v>
      </c>
      <c r="AW152" s="4">
        <v>0</v>
      </c>
      <c r="AX152" s="4">
        <v>0</v>
      </c>
      <c r="AY152" s="4">
        <v>0</v>
      </c>
      <c r="AZ152" s="4">
        <v>0</v>
      </c>
      <c r="BA152" s="4">
        <v>0</v>
      </c>
      <c r="BB152" s="4">
        <v>0</v>
      </c>
      <c r="BC152" s="4">
        <v>0</v>
      </c>
      <c r="BD152" s="4">
        <v>0</v>
      </c>
      <c r="BE152" s="4">
        <v>0</v>
      </c>
      <c r="BF152" s="4">
        <f t="shared" si="111"/>
        <v>0</v>
      </c>
      <c r="BG152" s="4">
        <f t="shared" si="112"/>
        <v>0</v>
      </c>
      <c r="BH152" s="4">
        <f t="shared" si="113"/>
        <v>0</v>
      </c>
      <c r="BI152" s="4">
        <f t="shared" si="114"/>
        <v>0</v>
      </c>
    </row>
    <row r="153" spans="2:61" x14ac:dyDescent="0.25">
      <c r="C153">
        <v>666</v>
      </c>
      <c r="D153" t="s">
        <v>472</v>
      </c>
      <c r="E153" s="4">
        <v>0</v>
      </c>
      <c r="F153" s="4">
        <v>0</v>
      </c>
      <c r="G153" s="4">
        <v>0</v>
      </c>
      <c r="H153" s="4">
        <v>0</v>
      </c>
      <c r="I153" s="4">
        <v>0</v>
      </c>
      <c r="J153" s="4">
        <v>0</v>
      </c>
      <c r="K153" s="4">
        <v>0</v>
      </c>
      <c r="L153" s="4">
        <v>0</v>
      </c>
      <c r="M153" s="4">
        <v>0</v>
      </c>
      <c r="N153" s="4">
        <v>0</v>
      </c>
      <c r="O153" s="4">
        <v>0</v>
      </c>
      <c r="P153" s="4">
        <v>0</v>
      </c>
      <c r="Q153" s="4">
        <v>0</v>
      </c>
      <c r="R153" s="4">
        <v>0</v>
      </c>
      <c r="S153" s="4">
        <v>0</v>
      </c>
      <c r="T153" s="4">
        <v>0</v>
      </c>
      <c r="U153" s="4">
        <v>0</v>
      </c>
      <c r="V153" s="4">
        <v>0</v>
      </c>
      <c r="W153" s="4">
        <v>0</v>
      </c>
      <c r="X153" s="4">
        <v>0</v>
      </c>
      <c r="Y153" s="4">
        <v>0</v>
      </c>
      <c r="Z153" s="4">
        <v>0</v>
      </c>
      <c r="AA153" s="4">
        <v>0</v>
      </c>
      <c r="AB153" s="4">
        <v>0</v>
      </c>
      <c r="AC153" s="4">
        <v>0</v>
      </c>
      <c r="AD153" s="4">
        <v>0</v>
      </c>
      <c r="AE153" s="4">
        <v>0</v>
      </c>
      <c r="AF153" s="4">
        <v>0</v>
      </c>
      <c r="AG153" s="4">
        <v>0</v>
      </c>
      <c r="AH153" s="4">
        <v>0</v>
      </c>
      <c r="AI153" s="4">
        <v>0</v>
      </c>
      <c r="AJ153" s="4">
        <v>0</v>
      </c>
      <c r="AK153" s="4">
        <v>0</v>
      </c>
      <c r="AL153" s="4">
        <v>0</v>
      </c>
      <c r="AM153" s="4">
        <v>0</v>
      </c>
      <c r="AN153" s="4">
        <v>0</v>
      </c>
      <c r="AO153" s="4">
        <v>0</v>
      </c>
      <c r="AP153" s="4">
        <v>0</v>
      </c>
      <c r="AQ153" s="4">
        <v>0</v>
      </c>
      <c r="AR153" s="4">
        <v>0</v>
      </c>
      <c r="AS153" s="4">
        <v>0</v>
      </c>
      <c r="AT153" s="4">
        <v>0</v>
      </c>
      <c r="AU153" s="4">
        <v>0</v>
      </c>
      <c r="AV153" s="4">
        <v>0</v>
      </c>
      <c r="AW153" s="4">
        <v>0</v>
      </c>
      <c r="AX153" s="4">
        <v>0</v>
      </c>
      <c r="AY153" s="4">
        <v>0</v>
      </c>
      <c r="AZ153" s="4">
        <v>0</v>
      </c>
      <c r="BA153" s="4">
        <v>0</v>
      </c>
      <c r="BB153" s="4">
        <v>0</v>
      </c>
      <c r="BC153" s="4">
        <v>0</v>
      </c>
      <c r="BD153" s="4">
        <v>0</v>
      </c>
      <c r="BE153" s="4">
        <v>0</v>
      </c>
      <c r="BF153" s="4">
        <f t="shared" si="111"/>
        <v>0</v>
      </c>
      <c r="BG153" s="4">
        <f t="shared" si="112"/>
        <v>0</v>
      </c>
      <c r="BH153" s="4">
        <f t="shared" si="113"/>
        <v>0</v>
      </c>
      <c r="BI153" s="4">
        <f t="shared" si="114"/>
        <v>0</v>
      </c>
    </row>
    <row r="154" spans="2:61" x14ac:dyDescent="0.25">
      <c r="C154">
        <v>667</v>
      </c>
      <c r="D154" t="s">
        <v>473</v>
      </c>
      <c r="E154" s="4">
        <v>0</v>
      </c>
      <c r="F154" s="4">
        <v>0</v>
      </c>
      <c r="G154" s="4">
        <v>0</v>
      </c>
      <c r="H154" s="4">
        <v>0</v>
      </c>
      <c r="I154" s="4">
        <v>0</v>
      </c>
      <c r="J154" s="4">
        <v>0</v>
      </c>
      <c r="K154" s="4">
        <v>0</v>
      </c>
      <c r="L154" s="4">
        <v>0</v>
      </c>
      <c r="M154" s="4">
        <v>0</v>
      </c>
      <c r="N154" s="4">
        <v>0</v>
      </c>
      <c r="O154" s="4">
        <v>0</v>
      </c>
      <c r="P154" s="4">
        <v>0</v>
      </c>
      <c r="Q154" s="4">
        <v>0</v>
      </c>
      <c r="R154" s="4">
        <v>0</v>
      </c>
      <c r="S154" s="4">
        <v>0</v>
      </c>
      <c r="T154" s="4">
        <v>0</v>
      </c>
      <c r="U154" s="4">
        <v>0</v>
      </c>
      <c r="V154" s="4">
        <v>0</v>
      </c>
      <c r="W154" s="4">
        <v>0</v>
      </c>
      <c r="X154" s="4">
        <v>0</v>
      </c>
      <c r="Y154" s="4">
        <v>0</v>
      </c>
      <c r="Z154" s="4">
        <v>0</v>
      </c>
      <c r="AA154" s="4">
        <v>0</v>
      </c>
      <c r="AB154" s="4">
        <v>0</v>
      </c>
      <c r="AC154" s="4">
        <v>0</v>
      </c>
      <c r="AD154" s="4">
        <v>0</v>
      </c>
      <c r="AE154" s="4">
        <v>0</v>
      </c>
      <c r="AF154" s="4">
        <v>0</v>
      </c>
      <c r="AG154" s="4">
        <v>0</v>
      </c>
      <c r="AH154" s="4">
        <v>0</v>
      </c>
      <c r="AI154" s="4">
        <v>0</v>
      </c>
      <c r="AJ154" s="4">
        <v>0</v>
      </c>
      <c r="AK154" s="4">
        <v>0</v>
      </c>
      <c r="AL154" s="4">
        <v>0</v>
      </c>
      <c r="AM154" s="4">
        <v>0</v>
      </c>
      <c r="AN154" s="4">
        <v>0</v>
      </c>
      <c r="AO154" s="4">
        <v>0</v>
      </c>
      <c r="AP154" s="4">
        <v>0</v>
      </c>
      <c r="AQ154" s="4">
        <v>0</v>
      </c>
      <c r="AR154" s="4">
        <v>0</v>
      </c>
      <c r="AS154" s="4">
        <v>0</v>
      </c>
      <c r="AT154" s="4">
        <v>0</v>
      </c>
      <c r="AU154" s="4">
        <v>0</v>
      </c>
      <c r="AV154" s="4">
        <v>0</v>
      </c>
      <c r="AW154" s="4">
        <v>0</v>
      </c>
      <c r="AX154" s="4">
        <v>0</v>
      </c>
      <c r="AY154" s="4">
        <v>0</v>
      </c>
      <c r="AZ154" s="4">
        <v>0</v>
      </c>
      <c r="BA154" s="4">
        <v>0</v>
      </c>
      <c r="BB154" s="4">
        <v>0</v>
      </c>
      <c r="BC154" s="4">
        <v>0</v>
      </c>
      <c r="BD154" s="4">
        <v>0</v>
      </c>
      <c r="BE154" s="4">
        <v>0</v>
      </c>
      <c r="BF154" s="4">
        <f t="shared" si="111"/>
        <v>0</v>
      </c>
      <c r="BG154" s="4">
        <f t="shared" si="112"/>
        <v>0</v>
      </c>
      <c r="BH154" s="4">
        <f t="shared" si="113"/>
        <v>0</v>
      </c>
      <c r="BI154" s="4">
        <f t="shared" si="114"/>
        <v>0</v>
      </c>
    </row>
    <row r="155" spans="2:61" x14ac:dyDescent="0.25">
      <c r="C155">
        <v>668</v>
      </c>
      <c r="D155" t="s">
        <v>474</v>
      </c>
      <c r="E155" s="4">
        <v>0</v>
      </c>
      <c r="F155" s="4">
        <v>0</v>
      </c>
      <c r="G155" s="4">
        <v>0</v>
      </c>
      <c r="H155" s="4">
        <v>0</v>
      </c>
      <c r="I155" s="4">
        <v>0</v>
      </c>
      <c r="J155" s="4">
        <v>0</v>
      </c>
      <c r="K155" s="4">
        <v>0</v>
      </c>
      <c r="L155" s="4">
        <v>0</v>
      </c>
      <c r="M155" s="4">
        <v>0</v>
      </c>
      <c r="N155" s="4">
        <v>0</v>
      </c>
      <c r="O155" s="4">
        <v>0</v>
      </c>
      <c r="P155" s="4">
        <v>0</v>
      </c>
      <c r="Q155" s="4">
        <v>0</v>
      </c>
      <c r="R155" s="4">
        <v>0</v>
      </c>
      <c r="S155" s="4">
        <v>0</v>
      </c>
      <c r="T155" s="4">
        <v>0</v>
      </c>
      <c r="U155" s="4">
        <v>0</v>
      </c>
      <c r="V155" s="4">
        <v>0</v>
      </c>
      <c r="W155" s="4">
        <v>0</v>
      </c>
      <c r="X155" s="4">
        <v>0</v>
      </c>
      <c r="Y155" s="4">
        <v>0</v>
      </c>
      <c r="Z155" s="4">
        <v>0</v>
      </c>
      <c r="AA155" s="4">
        <v>0</v>
      </c>
      <c r="AB155" s="4">
        <v>0</v>
      </c>
      <c r="AC155" s="4">
        <v>0</v>
      </c>
      <c r="AD155" s="4">
        <v>0</v>
      </c>
      <c r="AE155" s="4">
        <v>0</v>
      </c>
      <c r="AF155" s="4">
        <v>0</v>
      </c>
      <c r="AG155" s="4">
        <v>0</v>
      </c>
      <c r="AH155" s="4">
        <v>0</v>
      </c>
      <c r="AI155" s="4">
        <v>0</v>
      </c>
      <c r="AJ155" s="4">
        <v>0</v>
      </c>
      <c r="AK155" s="4">
        <v>0</v>
      </c>
      <c r="AL155" s="4">
        <v>0</v>
      </c>
      <c r="AM155" s="4">
        <v>0</v>
      </c>
      <c r="AN155" s="4">
        <v>0</v>
      </c>
      <c r="AO155" s="4">
        <v>0</v>
      </c>
      <c r="AP155" s="4">
        <v>0</v>
      </c>
      <c r="AQ155" s="4">
        <v>0</v>
      </c>
      <c r="AR155" s="4">
        <v>0</v>
      </c>
      <c r="AS155" s="4">
        <v>0</v>
      </c>
      <c r="AT155" s="4">
        <v>0</v>
      </c>
      <c r="AU155" s="4">
        <v>0</v>
      </c>
      <c r="AV155" s="4">
        <v>0</v>
      </c>
      <c r="AW155" s="4">
        <v>0</v>
      </c>
      <c r="AX155" s="4">
        <v>0</v>
      </c>
      <c r="AY155" s="4">
        <v>0</v>
      </c>
      <c r="AZ155" s="4">
        <v>0</v>
      </c>
      <c r="BA155" s="4">
        <v>0</v>
      </c>
      <c r="BB155" s="4">
        <v>0</v>
      </c>
      <c r="BC155" s="4">
        <v>0</v>
      </c>
      <c r="BD155" s="4">
        <v>0</v>
      </c>
      <c r="BE155" s="4">
        <v>0</v>
      </c>
      <c r="BF155" s="4">
        <f t="shared" si="111"/>
        <v>0</v>
      </c>
      <c r="BG155" s="4">
        <f t="shared" si="112"/>
        <v>0</v>
      </c>
      <c r="BH155" s="4">
        <f t="shared" si="113"/>
        <v>0</v>
      </c>
      <c r="BI155" s="4">
        <f t="shared" si="114"/>
        <v>0</v>
      </c>
    </row>
    <row r="156" spans="2:61" x14ac:dyDescent="0.25">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row>
    <row r="157" spans="2:61" x14ac:dyDescent="0.25">
      <c r="B157" s="87">
        <v>67</v>
      </c>
      <c r="C157" s="87"/>
      <c r="D157" s="87" t="s">
        <v>476</v>
      </c>
      <c r="E157" s="85">
        <f>E158+E159+E160+E161+E162+E163+E164+E165+E166</f>
        <v>0</v>
      </c>
      <c r="F157" s="85">
        <f t="shared" ref="F157:BI157" si="115">F158+F159+F160+F161+F162+F163+F164+F165+F166</f>
        <v>0</v>
      </c>
      <c r="G157" s="85">
        <f t="shared" si="115"/>
        <v>0</v>
      </c>
      <c r="H157" s="85">
        <f t="shared" si="115"/>
        <v>0</v>
      </c>
      <c r="I157" s="85">
        <f t="shared" si="115"/>
        <v>0</v>
      </c>
      <c r="J157" s="85">
        <f t="shared" si="115"/>
        <v>0</v>
      </c>
      <c r="K157" s="85">
        <f t="shared" si="115"/>
        <v>0</v>
      </c>
      <c r="L157" s="85">
        <f t="shared" si="115"/>
        <v>0</v>
      </c>
      <c r="M157" s="85">
        <f t="shared" si="115"/>
        <v>0</v>
      </c>
      <c r="N157" s="85">
        <f t="shared" si="115"/>
        <v>0</v>
      </c>
      <c r="O157" s="85">
        <f t="shared" si="115"/>
        <v>0</v>
      </c>
      <c r="P157" s="85">
        <f t="shared" si="115"/>
        <v>0</v>
      </c>
      <c r="Q157" s="85">
        <f t="shared" si="115"/>
        <v>0</v>
      </c>
      <c r="R157" s="85">
        <f t="shared" si="115"/>
        <v>0</v>
      </c>
      <c r="S157" s="85">
        <f t="shared" si="115"/>
        <v>0</v>
      </c>
      <c r="T157" s="85">
        <f t="shared" si="115"/>
        <v>0</v>
      </c>
      <c r="U157" s="85">
        <f t="shared" si="115"/>
        <v>0</v>
      </c>
      <c r="V157" s="85">
        <f t="shared" si="115"/>
        <v>0</v>
      </c>
      <c r="W157" s="85">
        <f t="shared" si="115"/>
        <v>0</v>
      </c>
      <c r="X157" s="85">
        <f t="shared" si="115"/>
        <v>0</v>
      </c>
      <c r="Y157" s="85">
        <f t="shared" si="115"/>
        <v>0</v>
      </c>
      <c r="Z157" s="85">
        <f t="shared" si="115"/>
        <v>0</v>
      </c>
      <c r="AA157" s="85">
        <f t="shared" si="115"/>
        <v>0</v>
      </c>
      <c r="AB157" s="85">
        <f t="shared" si="115"/>
        <v>0</v>
      </c>
      <c r="AC157" s="85">
        <f t="shared" si="115"/>
        <v>0</v>
      </c>
      <c r="AD157" s="85">
        <f t="shared" si="115"/>
        <v>0</v>
      </c>
      <c r="AE157" s="85">
        <f t="shared" si="115"/>
        <v>0</v>
      </c>
      <c r="AF157" s="85">
        <f t="shared" si="115"/>
        <v>0</v>
      </c>
      <c r="AG157" s="85">
        <f t="shared" si="115"/>
        <v>0</v>
      </c>
      <c r="AH157" s="85">
        <f t="shared" si="115"/>
        <v>0</v>
      </c>
      <c r="AI157" s="85">
        <f t="shared" si="115"/>
        <v>0</v>
      </c>
      <c r="AJ157" s="85">
        <f t="shared" si="115"/>
        <v>0</v>
      </c>
      <c r="AK157" s="85">
        <f t="shared" si="115"/>
        <v>0</v>
      </c>
      <c r="AL157" s="85">
        <f t="shared" si="115"/>
        <v>0</v>
      </c>
      <c r="AM157" s="85">
        <f t="shared" si="115"/>
        <v>0</v>
      </c>
      <c r="AN157" s="85">
        <f t="shared" si="115"/>
        <v>0</v>
      </c>
      <c r="AO157" s="85">
        <f t="shared" si="115"/>
        <v>0</v>
      </c>
      <c r="AP157" s="85">
        <f t="shared" si="115"/>
        <v>0</v>
      </c>
      <c r="AQ157" s="85">
        <f t="shared" si="115"/>
        <v>0</v>
      </c>
      <c r="AR157" s="85">
        <f t="shared" si="115"/>
        <v>0</v>
      </c>
      <c r="AS157" s="85">
        <f t="shared" si="115"/>
        <v>0</v>
      </c>
      <c r="AT157" s="85">
        <f t="shared" si="115"/>
        <v>0</v>
      </c>
      <c r="AU157" s="85">
        <f t="shared" si="115"/>
        <v>0</v>
      </c>
      <c r="AV157" s="85">
        <f t="shared" si="115"/>
        <v>0</v>
      </c>
      <c r="AW157" s="85">
        <f t="shared" si="115"/>
        <v>0</v>
      </c>
      <c r="AX157" s="85">
        <f t="shared" si="115"/>
        <v>0</v>
      </c>
      <c r="AY157" s="85">
        <f t="shared" si="115"/>
        <v>0</v>
      </c>
      <c r="AZ157" s="85">
        <f t="shared" si="115"/>
        <v>0</v>
      </c>
      <c r="BA157" s="85">
        <f t="shared" si="115"/>
        <v>0</v>
      </c>
      <c r="BB157" s="85">
        <f t="shared" si="115"/>
        <v>0</v>
      </c>
      <c r="BC157" s="85">
        <f t="shared" si="115"/>
        <v>0</v>
      </c>
      <c r="BD157" s="85">
        <f t="shared" si="115"/>
        <v>0</v>
      </c>
      <c r="BE157" s="85">
        <f t="shared" si="115"/>
        <v>0</v>
      </c>
      <c r="BF157" s="85">
        <f t="shared" si="115"/>
        <v>0</v>
      </c>
      <c r="BG157" s="85">
        <f t="shared" si="115"/>
        <v>0</v>
      </c>
      <c r="BH157" s="85">
        <f t="shared" si="115"/>
        <v>0</v>
      </c>
      <c r="BI157" s="85">
        <f t="shared" si="115"/>
        <v>0</v>
      </c>
    </row>
    <row r="158" spans="2:61" x14ac:dyDescent="0.25">
      <c r="C158">
        <v>670</v>
      </c>
      <c r="D158" t="s">
        <v>466</v>
      </c>
      <c r="E158" s="4">
        <v>0</v>
      </c>
      <c r="F158" s="4">
        <v>0</v>
      </c>
      <c r="G158" s="4">
        <v>0</v>
      </c>
      <c r="H158" s="4">
        <v>0</v>
      </c>
      <c r="I158" s="4">
        <v>0</v>
      </c>
      <c r="J158" s="4">
        <v>0</v>
      </c>
      <c r="K158" s="4">
        <v>0</v>
      </c>
      <c r="L158" s="4">
        <v>0</v>
      </c>
      <c r="M158" s="4">
        <v>0</v>
      </c>
      <c r="N158" s="4">
        <v>0</v>
      </c>
      <c r="O158" s="4">
        <v>0</v>
      </c>
      <c r="P158" s="4">
        <v>0</v>
      </c>
      <c r="Q158" s="4">
        <v>0</v>
      </c>
      <c r="R158" s="4">
        <v>0</v>
      </c>
      <c r="S158" s="4">
        <v>0</v>
      </c>
      <c r="T158" s="4">
        <v>0</v>
      </c>
      <c r="U158" s="4">
        <v>0</v>
      </c>
      <c r="V158" s="4">
        <v>0</v>
      </c>
      <c r="W158" s="4">
        <v>0</v>
      </c>
      <c r="X158" s="4">
        <v>0</v>
      </c>
      <c r="Y158" s="4">
        <v>0</v>
      </c>
      <c r="Z158" s="4">
        <v>0</v>
      </c>
      <c r="AA158" s="4">
        <v>0</v>
      </c>
      <c r="AB158" s="4">
        <v>0</v>
      </c>
      <c r="AC158" s="4">
        <v>0</v>
      </c>
      <c r="AD158" s="4">
        <v>0</v>
      </c>
      <c r="AE158" s="4">
        <v>0</v>
      </c>
      <c r="AF158" s="4">
        <v>0</v>
      </c>
      <c r="AG158" s="4">
        <v>0</v>
      </c>
      <c r="AH158" s="4">
        <v>0</v>
      </c>
      <c r="AI158" s="4">
        <v>0</v>
      </c>
      <c r="AJ158" s="4">
        <v>0</v>
      </c>
      <c r="AK158" s="4">
        <v>0</v>
      </c>
      <c r="AL158" s="4">
        <v>0</v>
      </c>
      <c r="AM158" s="4">
        <v>0</v>
      </c>
      <c r="AN158" s="4">
        <v>0</v>
      </c>
      <c r="AO158" s="4">
        <v>0</v>
      </c>
      <c r="AP158" s="4">
        <v>0</v>
      </c>
      <c r="AQ158" s="4">
        <v>0</v>
      </c>
      <c r="AR158" s="4">
        <v>0</v>
      </c>
      <c r="AS158" s="4">
        <v>0</v>
      </c>
      <c r="AT158" s="4">
        <v>0</v>
      </c>
      <c r="AU158" s="4">
        <v>0</v>
      </c>
      <c r="AV158" s="4">
        <v>0</v>
      </c>
      <c r="AW158" s="4">
        <v>0</v>
      </c>
      <c r="AX158" s="4">
        <v>0</v>
      </c>
      <c r="AY158" s="4">
        <v>0</v>
      </c>
      <c r="AZ158" s="4">
        <v>0</v>
      </c>
      <c r="BA158" s="4">
        <v>0</v>
      </c>
      <c r="BB158" s="4">
        <v>0</v>
      </c>
      <c r="BC158" s="4">
        <v>0</v>
      </c>
      <c r="BD158" s="4">
        <v>0</v>
      </c>
      <c r="BE158" s="4">
        <v>0</v>
      </c>
      <c r="BF158" s="4">
        <f t="shared" ref="BF158:BF166" si="116">SUM(E158:BE158)</f>
        <v>0</v>
      </c>
      <c r="BG158" s="4">
        <f t="shared" ref="BG158:BG166" si="117">SUM(E158:W158)</f>
        <v>0</v>
      </c>
      <c r="BH158" s="4">
        <f t="shared" ref="BH158:BH166" si="118">SUM(X158:AJ158)</f>
        <v>0</v>
      </c>
      <c r="BI158" s="4">
        <f t="shared" ref="BI158:BI167" si="119">SUM(AK158:BE158)</f>
        <v>0</v>
      </c>
    </row>
    <row r="159" spans="2:61" x14ac:dyDescent="0.25">
      <c r="C159">
        <v>671</v>
      </c>
      <c r="D159" t="s">
        <v>467</v>
      </c>
      <c r="E159" s="4">
        <v>0</v>
      </c>
      <c r="F159" s="4">
        <v>0</v>
      </c>
      <c r="G159" s="4">
        <v>0</v>
      </c>
      <c r="H159" s="4">
        <v>0</v>
      </c>
      <c r="I159" s="4">
        <v>0</v>
      </c>
      <c r="J159" s="4">
        <v>0</v>
      </c>
      <c r="K159" s="4">
        <v>0</v>
      </c>
      <c r="L159" s="4">
        <v>0</v>
      </c>
      <c r="M159" s="4">
        <v>0</v>
      </c>
      <c r="N159" s="4">
        <v>0</v>
      </c>
      <c r="O159" s="4">
        <v>0</v>
      </c>
      <c r="P159" s="4">
        <v>0</v>
      </c>
      <c r="Q159" s="4">
        <v>0</v>
      </c>
      <c r="R159" s="4">
        <v>0</v>
      </c>
      <c r="S159" s="4">
        <v>0</v>
      </c>
      <c r="T159" s="4">
        <v>0</v>
      </c>
      <c r="U159" s="4">
        <v>0</v>
      </c>
      <c r="V159" s="4">
        <v>0</v>
      </c>
      <c r="W159" s="4">
        <v>0</v>
      </c>
      <c r="X159" s="4">
        <v>0</v>
      </c>
      <c r="Y159" s="4">
        <v>0</v>
      </c>
      <c r="Z159" s="4">
        <v>0</v>
      </c>
      <c r="AA159" s="4">
        <v>0</v>
      </c>
      <c r="AB159" s="4">
        <v>0</v>
      </c>
      <c r="AC159" s="4">
        <v>0</v>
      </c>
      <c r="AD159" s="4">
        <v>0</v>
      </c>
      <c r="AE159" s="4">
        <v>0</v>
      </c>
      <c r="AF159" s="4">
        <v>0</v>
      </c>
      <c r="AG159" s="4">
        <v>0</v>
      </c>
      <c r="AH159" s="4">
        <v>0</v>
      </c>
      <c r="AI159" s="4">
        <v>0</v>
      </c>
      <c r="AJ159" s="4">
        <v>0</v>
      </c>
      <c r="AK159" s="4">
        <v>0</v>
      </c>
      <c r="AL159" s="4">
        <v>0</v>
      </c>
      <c r="AM159" s="4">
        <v>0</v>
      </c>
      <c r="AN159" s="4">
        <v>0</v>
      </c>
      <c r="AO159" s="4">
        <v>0</v>
      </c>
      <c r="AP159" s="4">
        <v>0</v>
      </c>
      <c r="AQ159" s="4">
        <v>0</v>
      </c>
      <c r="AR159" s="4">
        <v>0</v>
      </c>
      <c r="AS159" s="4">
        <v>0</v>
      </c>
      <c r="AT159" s="4">
        <v>0</v>
      </c>
      <c r="AU159" s="4">
        <v>0</v>
      </c>
      <c r="AV159" s="4">
        <v>0</v>
      </c>
      <c r="AW159" s="4">
        <v>0</v>
      </c>
      <c r="AX159" s="4">
        <v>0</v>
      </c>
      <c r="AY159" s="4">
        <v>0</v>
      </c>
      <c r="AZ159" s="4">
        <v>0</v>
      </c>
      <c r="BA159" s="4">
        <v>0</v>
      </c>
      <c r="BB159" s="4">
        <v>0</v>
      </c>
      <c r="BC159" s="4">
        <v>0</v>
      </c>
      <c r="BD159" s="4">
        <v>0</v>
      </c>
      <c r="BE159" s="4">
        <v>0</v>
      </c>
      <c r="BF159" s="4">
        <f t="shared" si="116"/>
        <v>0</v>
      </c>
      <c r="BG159" s="4">
        <f t="shared" si="117"/>
        <v>0</v>
      </c>
      <c r="BH159" s="4">
        <f t="shared" si="118"/>
        <v>0</v>
      </c>
      <c r="BI159" s="4">
        <f t="shared" si="119"/>
        <v>0</v>
      </c>
    </row>
    <row r="160" spans="2:61" x14ac:dyDescent="0.25">
      <c r="C160">
        <v>672</v>
      </c>
      <c r="D160" t="s">
        <v>468</v>
      </c>
      <c r="E160" s="4">
        <v>0</v>
      </c>
      <c r="F160" s="4">
        <v>0</v>
      </c>
      <c r="G160" s="4">
        <v>0</v>
      </c>
      <c r="H160" s="4">
        <v>0</v>
      </c>
      <c r="I160" s="4">
        <v>0</v>
      </c>
      <c r="J160" s="4">
        <v>0</v>
      </c>
      <c r="K160" s="4">
        <v>0</v>
      </c>
      <c r="L160" s="4">
        <v>0</v>
      </c>
      <c r="M160" s="4">
        <v>0</v>
      </c>
      <c r="N160" s="4">
        <v>0</v>
      </c>
      <c r="O160" s="4">
        <v>0</v>
      </c>
      <c r="P160" s="4">
        <v>0</v>
      </c>
      <c r="Q160" s="4">
        <v>0</v>
      </c>
      <c r="R160" s="4">
        <v>0</v>
      </c>
      <c r="S160" s="4">
        <v>0</v>
      </c>
      <c r="T160" s="4">
        <v>0</v>
      </c>
      <c r="U160" s="4">
        <v>0</v>
      </c>
      <c r="V160" s="4">
        <v>0</v>
      </c>
      <c r="W160" s="4">
        <v>0</v>
      </c>
      <c r="X160" s="4">
        <v>0</v>
      </c>
      <c r="Y160" s="4">
        <v>0</v>
      </c>
      <c r="Z160" s="4">
        <v>0</v>
      </c>
      <c r="AA160" s="4">
        <v>0</v>
      </c>
      <c r="AB160" s="4">
        <v>0</v>
      </c>
      <c r="AC160" s="4">
        <v>0</v>
      </c>
      <c r="AD160" s="4">
        <v>0</v>
      </c>
      <c r="AE160" s="4">
        <v>0</v>
      </c>
      <c r="AF160" s="4">
        <v>0</v>
      </c>
      <c r="AG160" s="4">
        <v>0</v>
      </c>
      <c r="AH160" s="4">
        <v>0</v>
      </c>
      <c r="AI160" s="4">
        <v>0</v>
      </c>
      <c r="AJ160" s="4">
        <v>0</v>
      </c>
      <c r="AK160" s="4">
        <v>0</v>
      </c>
      <c r="AL160" s="4">
        <v>0</v>
      </c>
      <c r="AM160" s="4">
        <v>0</v>
      </c>
      <c r="AN160" s="4">
        <v>0</v>
      </c>
      <c r="AO160" s="4">
        <v>0</v>
      </c>
      <c r="AP160" s="4">
        <v>0</v>
      </c>
      <c r="AQ160" s="4">
        <v>0</v>
      </c>
      <c r="AR160" s="4">
        <v>0</v>
      </c>
      <c r="AS160" s="4">
        <v>0</v>
      </c>
      <c r="AT160" s="4">
        <v>0</v>
      </c>
      <c r="AU160" s="4">
        <v>0</v>
      </c>
      <c r="AV160" s="4">
        <v>0</v>
      </c>
      <c r="AW160" s="4">
        <v>0</v>
      </c>
      <c r="AX160" s="4">
        <v>0</v>
      </c>
      <c r="AY160" s="4">
        <v>0</v>
      </c>
      <c r="AZ160" s="4">
        <v>0</v>
      </c>
      <c r="BA160" s="4">
        <v>0</v>
      </c>
      <c r="BB160" s="4">
        <v>0</v>
      </c>
      <c r="BC160" s="4">
        <v>0</v>
      </c>
      <c r="BD160" s="4">
        <v>0</v>
      </c>
      <c r="BE160" s="4">
        <v>0</v>
      </c>
      <c r="BF160" s="4">
        <f t="shared" si="116"/>
        <v>0</v>
      </c>
      <c r="BG160" s="4">
        <f t="shared" si="117"/>
        <v>0</v>
      </c>
      <c r="BH160" s="4">
        <f t="shared" si="118"/>
        <v>0</v>
      </c>
      <c r="BI160" s="4">
        <f t="shared" si="119"/>
        <v>0</v>
      </c>
    </row>
    <row r="161" spans="2:61" x14ac:dyDescent="0.25">
      <c r="C161">
        <v>673</v>
      </c>
      <c r="D161" t="s">
        <v>469</v>
      </c>
      <c r="E161" s="4">
        <v>0</v>
      </c>
      <c r="F161" s="4">
        <v>0</v>
      </c>
      <c r="G161" s="4">
        <v>0</v>
      </c>
      <c r="H161" s="4">
        <v>0</v>
      </c>
      <c r="I161" s="4">
        <v>0</v>
      </c>
      <c r="J161" s="4">
        <v>0</v>
      </c>
      <c r="K161" s="4">
        <v>0</v>
      </c>
      <c r="L161" s="4">
        <v>0</v>
      </c>
      <c r="M161" s="4">
        <v>0</v>
      </c>
      <c r="N161" s="4">
        <v>0</v>
      </c>
      <c r="O161" s="4">
        <v>0</v>
      </c>
      <c r="P161" s="4">
        <v>0</v>
      </c>
      <c r="Q161" s="4">
        <v>0</v>
      </c>
      <c r="R161" s="4">
        <v>0</v>
      </c>
      <c r="S161" s="4">
        <v>0</v>
      </c>
      <c r="T161" s="4">
        <v>0</v>
      </c>
      <c r="U161" s="4">
        <v>0</v>
      </c>
      <c r="V161" s="4">
        <v>0</v>
      </c>
      <c r="W161" s="4">
        <v>0</v>
      </c>
      <c r="X161" s="4">
        <v>0</v>
      </c>
      <c r="Y161" s="4">
        <v>0</v>
      </c>
      <c r="Z161" s="4">
        <v>0</v>
      </c>
      <c r="AA161" s="4">
        <v>0</v>
      </c>
      <c r="AB161" s="4">
        <v>0</v>
      </c>
      <c r="AC161" s="4">
        <v>0</v>
      </c>
      <c r="AD161" s="4">
        <v>0</v>
      </c>
      <c r="AE161" s="4">
        <v>0</v>
      </c>
      <c r="AF161" s="4">
        <v>0</v>
      </c>
      <c r="AG161" s="4">
        <v>0</v>
      </c>
      <c r="AH161" s="4">
        <v>0</v>
      </c>
      <c r="AI161" s="4">
        <v>0</v>
      </c>
      <c r="AJ161" s="4">
        <v>0</v>
      </c>
      <c r="AK161" s="4">
        <v>0</v>
      </c>
      <c r="AL161" s="4">
        <v>0</v>
      </c>
      <c r="AM161" s="4">
        <v>0</v>
      </c>
      <c r="AN161" s="4">
        <v>0</v>
      </c>
      <c r="AO161" s="4">
        <v>0</v>
      </c>
      <c r="AP161" s="4">
        <v>0</v>
      </c>
      <c r="AQ161" s="4">
        <v>0</v>
      </c>
      <c r="AR161" s="4">
        <v>0</v>
      </c>
      <c r="AS161" s="4">
        <v>0</v>
      </c>
      <c r="AT161" s="4">
        <v>0</v>
      </c>
      <c r="AU161" s="4">
        <v>0</v>
      </c>
      <c r="AV161" s="4">
        <v>0</v>
      </c>
      <c r="AW161" s="4">
        <v>0</v>
      </c>
      <c r="AX161" s="4">
        <v>0</v>
      </c>
      <c r="AY161" s="4">
        <v>0</v>
      </c>
      <c r="AZ161" s="4">
        <v>0</v>
      </c>
      <c r="BA161" s="4">
        <v>0</v>
      </c>
      <c r="BB161" s="4">
        <v>0</v>
      </c>
      <c r="BC161" s="4">
        <v>0</v>
      </c>
      <c r="BD161" s="4">
        <v>0</v>
      </c>
      <c r="BE161" s="4">
        <v>0</v>
      </c>
      <c r="BF161" s="4">
        <f t="shared" si="116"/>
        <v>0</v>
      </c>
      <c r="BG161" s="4">
        <f t="shared" si="117"/>
        <v>0</v>
      </c>
      <c r="BH161" s="4">
        <f t="shared" si="118"/>
        <v>0</v>
      </c>
      <c r="BI161" s="4">
        <f t="shared" si="119"/>
        <v>0</v>
      </c>
    </row>
    <row r="162" spans="2:61" x14ac:dyDescent="0.25">
      <c r="C162">
        <v>674</v>
      </c>
      <c r="D162" t="s">
        <v>470</v>
      </c>
      <c r="E162" s="4">
        <v>0</v>
      </c>
      <c r="F162" s="4">
        <v>0</v>
      </c>
      <c r="G162" s="4">
        <v>0</v>
      </c>
      <c r="H162" s="4">
        <v>0</v>
      </c>
      <c r="I162" s="4">
        <v>0</v>
      </c>
      <c r="J162" s="4">
        <v>0</v>
      </c>
      <c r="K162" s="4">
        <v>0</v>
      </c>
      <c r="L162" s="4">
        <v>0</v>
      </c>
      <c r="M162" s="4">
        <v>0</v>
      </c>
      <c r="N162" s="4">
        <v>0</v>
      </c>
      <c r="O162" s="4">
        <v>0</v>
      </c>
      <c r="P162" s="4">
        <v>0</v>
      </c>
      <c r="Q162" s="4">
        <v>0</v>
      </c>
      <c r="R162" s="4">
        <v>0</v>
      </c>
      <c r="S162" s="4">
        <v>0</v>
      </c>
      <c r="T162" s="4">
        <v>0</v>
      </c>
      <c r="U162" s="4">
        <v>0</v>
      </c>
      <c r="V162" s="4">
        <v>0</v>
      </c>
      <c r="W162" s="4">
        <v>0</v>
      </c>
      <c r="X162" s="4">
        <v>0</v>
      </c>
      <c r="Y162" s="4">
        <v>0</v>
      </c>
      <c r="Z162" s="4">
        <v>0</v>
      </c>
      <c r="AA162" s="4">
        <v>0</v>
      </c>
      <c r="AB162" s="4">
        <v>0</v>
      </c>
      <c r="AC162" s="4">
        <v>0</v>
      </c>
      <c r="AD162" s="4">
        <v>0</v>
      </c>
      <c r="AE162" s="4">
        <v>0</v>
      </c>
      <c r="AF162" s="4">
        <v>0</v>
      </c>
      <c r="AG162" s="4">
        <v>0</v>
      </c>
      <c r="AH162" s="4">
        <v>0</v>
      </c>
      <c r="AI162" s="4">
        <v>0</v>
      </c>
      <c r="AJ162" s="4">
        <v>0</v>
      </c>
      <c r="AK162" s="4">
        <v>0</v>
      </c>
      <c r="AL162" s="4">
        <v>0</v>
      </c>
      <c r="AM162" s="4">
        <v>0</v>
      </c>
      <c r="AN162" s="4">
        <v>0</v>
      </c>
      <c r="AO162" s="4">
        <v>0</v>
      </c>
      <c r="AP162" s="4">
        <v>0</v>
      </c>
      <c r="AQ162" s="4">
        <v>0</v>
      </c>
      <c r="AR162" s="4">
        <v>0</v>
      </c>
      <c r="AS162" s="4">
        <v>0</v>
      </c>
      <c r="AT162" s="4">
        <v>0</v>
      </c>
      <c r="AU162" s="4">
        <v>0</v>
      </c>
      <c r="AV162" s="4">
        <v>0</v>
      </c>
      <c r="AW162" s="4">
        <v>0</v>
      </c>
      <c r="AX162" s="4">
        <v>0</v>
      </c>
      <c r="AY162" s="4">
        <v>0</v>
      </c>
      <c r="AZ162" s="4">
        <v>0</v>
      </c>
      <c r="BA162" s="4">
        <v>0</v>
      </c>
      <c r="BB162" s="4">
        <v>0</v>
      </c>
      <c r="BC162" s="4">
        <v>0</v>
      </c>
      <c r="BD162" s="4">
        <v>0</v>
      </c>
      <c r="BE162" s="4">
        <v>0</v>
      </c>
      <c r="BF162" s="4">
        <f t="shared" si="116"/>
        <v>0</v>
      </c>
      <c r="BG162" s="4">
        <f t="shared" si="117"/>
        <v>0</v>
      </c>
      <c r="BH162" s="4">
        <f t="shared" si="118"/>
        <v>0</v>
      </c>
      <c r="BI162" s="4">
        <f t="shared" si="119"/>
        <v>0</v>
      </c>
    </row>
    <row r="163" spans="2:61" x14ac:dyDescent="0.25">
      <c r="C163">
        <v>675</v>
      </c>
      <c r="D163" t="s">
        <v>471</v>
      </c>
      <c r="E163" s="4">
        <v>0</v>
      </c>
      <c r="F163" s="4">
        <v>0</v>
      </c>
      <c r="G163" s="4">
        <v>0</v>
      </c>
      <c r="H163" s="4">
        <v>0</v>
      </c>
      <c r="I163" s="4">
        <v>0</v>
      </c>
      <c r="J163" s="4">
        <v>0</v>
      </c>
      <c r="K163" s="4">
        <v>0</v>
      </c>
      <c r="L163" s="4">
        <v>0</v>
      </c>
      <c r="M163" s="4">
        <v>0</v>
      </c>
      <c r="N163" s="4">
        <v>0</v>
      </c>
      <c r="O163" s="4">
        <v>0</v>
      </c>
      <c r="P163" s="4">
        <v>0</v>
      </c>
      <c r="Q163" s="4">
        <v>0</v>
      </c>
      <c r="R163" s="4">
        <v>0</v>
      </c>
      <c r="S163" s="4">
        <v>0</v>
      </c>
      <c r="T163" s="4">
        <v>0</v>
      </c>
      <c r="U163" s="4">
        <v>0</v>
      </c>
      <c r="V163" s="4">
        <v>0</v>
      </c>
      <c r="W163" s="4">
        <v>0</v>
      </c>
      <c r="X163" s="4">
        <v>0</v>
      </c>
      <c r="Y163" s="4">
        <v>0</v>
      </c>
      <c r="Z163" s="4">
        <v>0</v>
      </c>
      <c r="AA163" s="4">
        <v>0</v>
      </c>
      <c r="AB163" s="4">
        <v>0</v>
      </c>
      <c r="AC163" s="4">
        <v>0</v>
      </c>
      <c r="AD163" s="4">
        <v>0</v>
      </c>
      <c r="AE163" s="4">
        <v>0</v>
      </c>
      <c r="AF163" s="4">
        <v>0</v>
      </c>
      <c r="AG163" s="4">
        <v>0</v>
      </c>
      <c r="AH163" s="4">
        <v>0</v>
      </c>
      <c r="AI163" s="4">
        <v>0</v>
      </c>
      <c r="AJ163" s="4">
        <v>0</v>
      </c>
      <c r="AK163" s="4">
        <v>0</v>
      </c>
      <c r="AL163" s="4">
        <v>0</v>
      </c>
      <c r="AM163" s="4">
        <v>0</v>
      </c>
      <c r="AN163" s="4">
        <v>0</v>
      </c>
      <c r="AO163" s="4">
        <v>0</v>
      </c>
      <c r="AP163" s="4">
        <v>0</v>
      </c>
      <c r="AQ163" s="4">
        <v>0</v>
      </c>
      <c r="AR163" s="4">
        <v>0</v>
      </c>
      <c r="AS163" s="4">
        <v>0</v>
      </c>
      <c r="AT163" s="4">
        <v>0</v>
      </c>
      <c r="AU163" s="4">
        <v>0</v>
      </c>
      <c r="AV163" s="4">
        <v>0</v>
      </c>
      <c r="AW163" s="4">
        <v>0</v>
      </c>
      <c r="AX163" s="4">
        <v>0</v>
      </c>
      <c r="AY163" s="4">
        <v>0</v>
      </c>
      <c r="AZ163" s="4">
        <v>0</v>
      </c>
      <c r="BA163" s="4">
        <v>0</v>
      </c>
      <c r="BB163" s="4">
        <v>0</v>
      </c>
      <c r="BC163" s="4">
        <v>0</v>
      </c>
      <c r="BD163" s="4">
        <v>0</v>
      </c>
      <c r="BE163" s="4">
        <v>0</v>
      </c>
      <c r="BF163" s="4">
        <f t="shared" si="116"/>
        <v>0</v>
      </c>
      <c r="BG163" s="4">
        <f t="shared" si="117"/>
        <v>0</v>
      </c>
      <c r="BH163" s="4">
        <f t="shared" si="118"/>
        <v>0</v>
      </c>
      <c r="BI163" s="4">
        <f t="shared" si="119"/>
        <v>0</v>
      </c>
    </row>
    <row r="164" spans="2:61" x14ac:dyDescent="0.25">
      <c r="C164">
        <v>676</v>
      </c>
      <c r="D164" t="s">
        <v>472</v>
      </c>
      <c r="E164" s="4">
        <v>0</v>
      </c>
      <c r="F164" s="4">
        <v>0</v>
      </c>
      <c r="G164" s="4">
        <v>0</v>
      </c>
      <c r="H164" s="4">
        <v>0</v>
      </c>
      <c r="I164" s="4">
        <v>0</v>
      </c>
      <c r="J164" s="4">
        <v>0</v>
      </c>
      <c r="K164" s="4">
        <v>0</v>
      </c>
      <c r="L164" s="4">
        <v>0</v>
      </c>
      <c r="M164" s="4">
        <v>0</v>
      </c>
      <c r="N164" s="4">
        <v>0</v>
      </c>
      <c r="O164" s="4">
        <v>0</v>
      </c>
      <c r="P164" s="4">
        <v>0</v>
      </c>
      <c r="Q164" s="4">
        <v>0</v>
      </c>
      <c r="R164" s="4">
        <v>0</v>
      </c>
      <c r="S164" s="4">
        <v>0</v>
      </c>
      <c r="T164" s="4">
        <v>0</v>
      </c>
      <c r="U164" s="4">
        <v>0</v>
      </c>
      <c r="V164" s="4">
        <v>0</v>
      </c>
      <c r="W164" s="4">
        <v>0</v>
      </c>
      <c r="X164" s="4">
        <v>0</v>
      </c>
      <c r="Y164" s="4">
        <v>0</v>
      </c>
      <c r="Z164" s="4">
        <v>0</v>
      </c>
      <c r="AA164" s="4">
        <v>0</v>
      </c>
      <c r="AB164" s="4">
        <v>0</v>
      </c>
      <c r="AC164" s="4">
        <v>0</v>
      </c>
      <c r="AD164" s="4">
        <v>0</v>
      </c>
      <c r="AE164" s="4">
        <v>0</v>
      </c>
      <c r="AF164" s="4">
        <v>0</v>
      </c>
      <c r="AG164" s="4">
        <v>0</v>
      </c>
      <c r="AH164" s="4">
        <v>0</v>
      </c>
      <c r="AI164" s="4">
        <v>0</v>
      </c>
      <c r="AJ164" s="4">
        <v>0</v>
      </c>
      <c r="AK164" s="4">
        <v>0</v>
      </c>
      <c r="AL164" s="4">
        <v>0</v>
      </c>
      <c r="AM164" s="4">
        <v>0</v>
      </c>
      <c r="AN164" s="4">
        <v>0</v>
      </c>
      <c r="AO164" s="4">
        <v>0</v>
      </c>
      <c r="AP164" s="4">
        <v>0</v>
      </c>
      <c r="AQ164" s="4">
        <v>0</v>
      </c>
      <c r="AR164" s="4">
        <v>0</v>
      </c>
      <c r="AS164" s="4">
        <v>0</v>
      </c>
      <c r="AT164" s="4">
        <v>0</v>
      </c>
      <c r="AU164" s="4">
        <v>0</v>
      </c>
      <c r="AV164" s="4">
        <v>0</v>
      </c>
      <c r="AW164" s="4">
        <v>0</v>
      </c>
      <c r="AX164" s="4">
        <v>0</v>
      </c>
      <c r="AY164" s="4">
        <v>0</v>
      </c>
      <c r="AZ164" s="4">
        <v>0</v>
      </c>
      <c r="BA164" s="4">
        <v>0</v>
      </c>
      <c r="BB164" s="4">
        <v>0</v>
      </c>
      <c r="BC164" s="4">
        <v>0</v>
      </c>
      <c r="BD164" s="4">
        <v>0</v>
      </c>
      <c r="BE164" s="4">
        <v>0</v>
      </c>
      <c r="BF164" s="4">
        <f t="shared" si="116"/>
        <v>0</v>
      </c>
      <c r="BG164" s="4">
        <f t="shared" si="117"/>
        <v>0</v>
      </c>
      <c r="BH164" s="4">
        <f t="shared" si="118"/>
        <v>0</v>
      </c>
      <c r="BI164" s="4">
        <f t="shared" si="119"/>
        <v>0</v>
      </c>
    </row>
    <row r="165" spans="2:61" x14ac:dyDescent="0.25">
      <c r="C165">
        <v>677</v>
      </c>
      <c r="D165" t="s">
        <v>473</v>
      </c>
      <c r="E165" s="4">
        <v>0</v>
      </c>
      <c r="F165" s="4">
        <v>0</v>
      </c>
      <c r="G165" s="4">
        <v>0</v>
      </c>
      <c r="H165" s="4">
        <v>0</v>
      </c>
      <c r="I165" s="4">
        <v>0</v>
      </c>
      <c r="J165" s="4">
        <v>0</v>
      </c>
      <c r="K165" s="4">
        <v>0</v>
      </c>
      <c r="L165" s="4">
        <v>0</v>
      </c>
      <c r="M165" s="4">
        <v>0</v>
      </c>
      <c r="N165" s="4">
        <v>0</v>
      </c>
      <c r="O165" s="4">
        <v>0</v>
      </c>
      <c r="P165" s="4">
        <v>0</v>
      </c>
      <c r="Q165" s="4">
        <v>0</v>
      </c>
      <c r="R165" s="4">
        <v>0</v>
      </c>
      <c r="S165" s="4">
        <v>0</v>
      </c>
      <c r="T165" s="4">
        <v>0</v>
      </c>
      <c r="U165" s="4">
        <v>0</v>
      </c>
      <c r="V165" s="4">
        <v>0</v>
      </c>
      <c r="W165" s="4">
        <v>0</v>
      </c>
      <c r="X165" s="4">
        <v>0</v>
      </c>
      <c r="Y165" s="4">
        <v>0</v>
      </c>
      <c r="Z165" s="4">
        <v>0</v>
      </c>
      <c r="AA165" s="4">
        <v>0</v>
      </c>
      <c r="AB165" s="4">
        <v>0</v>
      </c>
      <c r="AC165" s="4">
        <v>0</v>
      </c>
      <c r="AD165" s="4">
        <v>0</v>
      </c>
      <c r="AE165" s="4">
        <v>0</v>
      </c>
      <c r="AF165" s="4">
        <v>0</v>
      </c>
      <c r="AG165" s="4">
        <v>0</v>
      </c>
      <c r="AH165" s="4">
        <v>0</v>
      </c>
      <c r="AI165" s="4">
        <v>0</v>
      </c>
      <c r="AJ165" s="4">
        <v>0</v>
      </c>
      <c r="AK165" s="4">
        <v>0</v>
      </c>
      <c r="AL165" s="4">
        <v>0</v>
      </c>
      <c r="AM165" s="4">
        <v>0</v>
      </c>
      <c r="AN165" s="4">
        <v>0</v>
      </c>
      <c r="AO165" s="4">
        <v>0</v>
      </c>
      <c r="AP165" s="4">
        <v>0</v>
      </c>
      <c r="AQ165" s="4">
        <v>0</v>
      </c>
      <c r="AR165" s="4">
        <v>0</v>
      </c>
      <c r="AS165" s="4">
        <v>0</v>
      </c>
      <c r="AT165" s="4">
        <v>0</v>
      </c>
      <c r="AU165" s="4">
        <v>0</v>
      </c>
      <c r="AV165" s="4">
        <v>0</v>
      </c>
      <c r="AW165" s="4">
        <v>0</v>
      </c>
      <c r="AX165" s="4">
        <v>0</v>
      </c>
      <c r="AY165" s="4">
        <v>0</v>
      </c>
      <c r="AZ165" s="4">
        <v>0</v>
      </c>
      <c r="BA165" s="4">
        <v>0</v>
      </c>
      <c r="BB165" s="4">
        <v>0</v>
      </c>
      <c r="BC165" s="4">
        <v>0</v>
      </c>
      <c r="BD165" s="4">
        <v>0</v>
      </c>
      <c r="BE165" s="4">
        <v>0</v>
      </c>
      <c r="BF165" s="4">
        <f t="shared" si="116"/>
        <v>0</v>
      </c>
      <c r="BG165" s="4">
        <f t="shared" si="117"/>
        <v>0</v>
      </c>
      <c r="BH165" s="4">
        <f t="shared" si="118"/>
        <v>0</v>
      </c>
      <c r="BI165" s="4">
        <f t="shared" si="119"/>
        <v>0</v>
      </c>
    </row>
    <row r="166" spans="2:61" x14ac:dyDescent="0.25">
      <c r="C166">
        <v>678</v>
      </c>
      <c r="D166" t="s">
        <v>474</v>
      </c>
      <c r="E166" s="4">
        <v>0</v>
      </c>
      <c r="F166" s="4">
        <v>0</v>
      </c>
      <c r="G166" s="4">
        <v>0</v>
      </c>
      <c r="H166" s="4">
        <v>0</v>
      </c>
      <c r="I166" s="4">
        <v>0</v>
      </c>
      <c r="J166" s="4">
        <v>0</v>
      </c>
      <c r="K166" s="4">
        <v>0</v>
      </c>
      <c r="L166" s="4">
        <v>0</v>
      </c>
      <c r="M166" s="4">
        <v>0</v>
      </c>
      <c r="N166" s="4">
        <v>0</v>
      </c>
      <c r="O166" s="4">
        <v>0</v>
      </c>
      <c r="P166" s="4">
        <v>0</v>
      </c>
      <c r="Q166" s="4">
        <v>0</v>
      </c>
      <c r="R166" s="4">
        <v>0</v>
      </c>
      <c r="S166" s="4">
        <v>0</v>
      </c>
      <c r="T166" s="4">
        <v>0</v>
      </c>
      <c r="U166" s="4">
        <v>0</v>
      </c>
      <c r="V166" s="4">
        <v>0</v>
      </c>
      <c r="W166" s="4">
        <v>0</v>
      </c>
      <c r="X166" s="4">
        <v>0</v>
      </c>
      <c r="Y166" s="4">
        <v>0</v>
      </c>
      <c r="Z166" s="4">
        <v>0</v>
      </c>
      <c r="AA166" s="4">
        <v>0</v>
      </c>
      <c r="AB166" s="4">
        <v>0</v>
      </c>
      <c r="AC166" s="4">
        <v>0</v>
      </c>
      <c r="AD166" s="4">
        <v>0</v>
      </c>
      <c r="AE166" s="4">
        <v>0</v>
      </c>
      <c r="AF166" s="4">
        <v>0</v>
      </c>
      <c r="AG166" s="4">
        <v>0</v>
      </c>
      <c r="AH166" s="4">
        <v>0</v>
      </c>
      <c r="AI166" s="4">
        <v>0</v>
      </c>
      <c r="AJ166" s="4">
        <v>0</v>
      </c>
      <c r="AK166" s="4">
        <v>0</v>
      </c>
      <c r="AL166" s="4">
        <v>0</v>
      </c>
      <c r="AM166" s="4">
        <v>0</v>
      </c>
      <c r="AN166" s="4">
        <v>0</v>
      </c>
      <c r="AO166" s="4">
        <v>0</v>
      </c>
      <c r="AP166" s="4">
        <v>0</v>
      </c>
      <c r="AQ166" s="4">
        <v>0</v>
      </c>
      <c r="AR166" s="4">
        <v>0</v>
      </c>
      <c r="AS166" s="4">
        <v>0</v>
      </c>
      <c r="AT166" s="4">
        <v>0</v>
      </c>
      <c r="AU166" s="4">
        <v>0</v>
      </c>
      <c r="AV166" s="4">
        <v>0</v>
      </c>
      <c r="AW166" s="4">
        <v>0</v>
      </c>
      <c r="AX166" s="4">
        <v>0</v>
      </c>
      <c r="AY166" s="4">
        <v>0</v>
      </c>
      <c r="AZ166" s="4">
        <v>0</v>
      </c>
      <c r="BA166" s="4">
        <v>0</v>
      </c>
      <c r="BB166" s="4">
        <v>0</v>
      </c>
      <c r="BC166" s="4">
        <v>0</v>
      </c>
      <c r="BD166" s="4">
        <v>0</v>
      </c>
      <c r="BE166" s="4">
        <v>0</v>
      </c>
      <c r="BF166" s="4">
        <f t="shared" si="116"/>
        <v>0</v>
      </c>
      <c r="BG166" s="4">
        <f t="shared" si="117"/>
        <v>0</v>
      </c>
      <c r="BH166" s="4">
        <f t="shared" si="118"/>
        <v>0</v>
      </c>
      <c r="BI166" s="4">
        <f t="shared" si="119"/>
        <v>0</v>
      </c>
    </row>
    <row r="167" spans="2:61" x14ac:dyDescent="0.25">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v>0</v>
      </c>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f t="shared" si="119"/>
        <v>0</v>
      </c>
    </row>
    <row r="168" spans="2:61" x14ac:dyDescent="0.25">
      <c r="B168" s="87">
        <v>68</v>
      </c>
      <c r="C168" s="87"/>
      <c r="D168" s="87" t="s">
        <v>489</v>
      </c>
      <c r="E168" s="85">
        <f>E169+E170+E171+E172+E173+E174+E175</f>
        <v>57376.9</v>
      </c>
      <c r="F168" s="85">
        <f t="shared" ref="F168:BI168" si="120">F169+F170+F171+F172+F173+F174+F175</f>
        <v>0</v>
      </c>
      <c r="G168" s="85">
        <f t="shared" si="120"/>
        <v>0</v>
      </c>
      <c r="H168" s="85">
        <f t="shared" si="120"/>
        <v>0</v>
      </c>
      <c r="I168" s="85">
        <f t="shared" si="120"/>
        <v>0</v>
      </c>
      <c r="J168" s="85">
        <f t="shared" si="120"/>
        <v>0</v>
      </c>
      <c r="K168" s="85">
        <f t="shared" si="120"/>
        <v>0</v>
      </c>
      <c r="L168" s="85">
        <f t="shared" si="120"/>
        <v>0</v>
      </c>
      <c r="M168" s="85">
        <f t="shared" si="120"/>
        <v>0</v>
      </c>
      <c r="N168" s="85">
        <f t="shared" si="120"/>
        <v>0</v>
      </c>
      <c r="O168" s="85">
        <f t="shared" si="120"/>
        <v>0</v>
      </c>
      <c r="P168" s="85">
        <f t="shared" si="120"/>
        <v>0</v>
      </c>
      <c r="Q168" s="85">
        <f t="shared" si="120"/>
        <v>0</v>
      </c>
      <c r="R168" s="85">
        <f t="shared" si="120"/>
        <v>0</v>
      </c>
      <c r="S168" s="85">
        <f t="shared" si="120"/>
        <v>0</v>
      </c>
      <c r="T168" s="85">
        <f t="shared" si="120"/>
        <v>0</v>
      </c>
      <c r="U168" s="85">
        <f t="shared" si="120"/>
        <v>0</v>
      </c>
      <c r="V168" s="85">
        <f t="shared" si="120"/>
        <v>0</v>
      </c>
      <c r="W168" s="85">
        <f t="shared" si="120"/>
        <v>0</v>
      </c>
      <c r="X168" s="85">
        <f t="shared" si="120"/>
        <v>0</v>
      </c>
      <c r="Y168" s="85">
        <f t="shared" si="120"/>
        <v>243570.55</v>
      </c>
      <c r="Z168" s="85">
        <f t="shared" si="120"/>
        <v>0</v>
      </c>
      <c r="AA168" s="85">
        <f t="shared" si="120"/>
        <v>0</v>
      </c>
      <c r="AB168" s="85">
        <f t="shared" si="120"/>
        <v>0</v>
      </c>
      <c r="AC168" s="85">
        <f t="shared" si="120"/>
        <v>0</v>
      </c>
      <c r="AD168" s="85">
        <f t="shared" si="120"/>
        <v>256702.11</v>
      </c>
      <c r="AE168" s="85">
        <f t="shared" si="120"/>
        <v>0</v>
      </c>
      <c r="AF168" s="85">
        <f t="shared" si="120"/>
        <v>0</v>
      </c>
      <c r="AG168" s="85">
        <f t="shared" si="120"/>
        <v>0</v>
      </c>
      <c r="AH168" s="85">
        <f t="shared" si="120"/>
        <v>0</v>
      </c>
      <c r="AI168" s="85">
        <f t="shared" si="120"/>
        <v>0</v>
      </c>
      <c r="AJ168" s="85">
        <f t="shared" si="120"/>
        <v>0</v>
      </c>
      <c r="AK168" s="85">
        <f t="shared" si="120"/>
        <v>0</v>
      </c>
      <c r="AL168" s="85">
        <f t="shared" si="120"/>
        <v>0</v>
      </c>
      <c r="AM168" s="85">
        <f t="shared" si="120"/>
        <v>38731</v>
      </c>
      <c r="AN168" s="85">
        <f t="shared" si="120"/>
        <v>0</v>
      </c>
      <c r="AO168" s="85">
        <f t="shared" si="120"/>
        <v>0</v>
      </c>
      <c r="AP168" s="85">
        <f t="shared" si="120"/>
        <v>0</v>
      </c>
      <c r="AQ168" s="85">
        <f t="shared" si="120"/>
        <v>0</v>
      </c>
      <c r="AR168" s="85">
        <f t="shared" si="120"/>
        <v>22617</v>
      </c>
      <c r="AS168" s="85">
        <f t="shared" si="120"/>
        <v>77000</v>
      </c>
      <c r="AT168" s="85">
        <f t="shared" si="120"/>
        <v>6000</v>
      </c>
      <c r="AU168" s="85">
        <f t="shared" si="120"/>
        <v>0</v>
      </c>
      <c r="AV168" s="85">
        <f t="shared" si="120"/>
        <v>0</v>
      </c>
      <c r="AW168" s="85">
        <f t="shared" si="120"/>
        <v>0</v>
      </c>
      <c r="AX168" s="85">
        <f t="shared" si="120"/>
        <v>0</v>
      </c>
      <c r="AY168" s="85">
        <f t="shared" si="120"/>
        <v>0</v>
      </c>
      <c r="AZ168" s="85">
        <f t="shared" si="120"/>
        <v>0</v>
      </c>
      <c r="BA168" s="85">
        <f t="shared" si="120"/>
        <v>0</v>
      </c>
      <c r="BB168" s="85">
        <f t="shared" si="120"/>
        <v>0</v>
      </c>
      <c r="BC168" s="85">
        <f t="shared" si="120"/>
        <v>0</v>
      </c>
      <c r="BD168" s="85">
        <f t="shared" si="120"/>
        <v>0</v>
      </c>
      <c r="BE168" s="85">
        <f t="shared" si="120"/>
        <v>0</v>
      </c>
      <c r="BF168" s="85">
        <f t="shared" si="120"/>
        <v>701997.55999999994</v>
      </c>
      <c r="BG168" s="85">
        <f t="shared" si="120"/>
        <v>57376.9</v>
      </c>
      <c r="BH168" s="85">
        <f t="shared" si="120"/>
        <v>500272.66</v>
      </c>
      <c r="BI168" s="85">
        <f t="shared" si="120"/>
        <v>144348</v>
      </c>
    </row>
    <row r="169" spans="2:61" x14ac:dyDescent="0.25">
      <c r="C169">
        <v>680</v>
      </c>
      <c r="D169" t="s">
        <v>454</v>
      </c>
      <c r="E169" s="4">
        <v>0</v>
      </c>
      <c r="F169" s="4">
        <v>0</v>
      </c>
      <c r="G169" s="4">
        <v>0</v>
      </c>
      <c r="H169" s="4">
        <v>0</v>
      </c>
      <c r="I169" s="4">
        <v>0</v>
      </c>
      <c r="J169" s="4">
        <v>0</v>
      </c>
      <c r="K169" s="4">
        <v>0</v>
      </c>
      <c r="L169" s="4">
        <v>0</v>
      </c>
      <c r="M169" s="4">
        <v>0</v>
      </c>
      <c r="N169" s="4">
        <v>0</v>
      </c>
      <c r="O169" s="4">
        <v>0</v>
      </c>
      <c r="P169" s="4">
        <v>0</v>
      </c>
      <c r="Q169" s="4">
        <v>0</v>
      </c>
      <c r="R169" s="4">
        <v>0</v>
      </c>
      <c r="S169" s="4">
        <v>0</v>
      </c>
      <c r="T169" s="4">
        <v>0</v>
      </c>
      <c r="U169" s="4">
        <v>0</v>
      </c>
      <c r="V169" s="4">
        <v>0</v>
      </c>
      <c r="W169" s="4">
        <v>0</v>
      </c>
      <c r="X169" s="4">
        <v>0</v>
      </c>
      <c r="Y169" s="4">
        <v>243570.55</v>
      </c>
      <c r="Z169" s="4">
        <v>0</v>
      </c>
      <c r="AA169" s="4">
        <v>0</v>
      </c>
      <c r="AB169" s="4">
        <v>0</v>
      </c>
      <c r="AC169" s="4">
        <v>0</v>
      </c>
      <c r="AD169" s="4">
        <v>256702.11</v>
      </c>
      <c r="AE169" s="4">
        <v>0</v>
      </c>
      <c r="AF169" s="4">
        <v>0</v>
      </c>
      <c r="AG169" s="4">
        <v>0</v>
      </c>
      <c r="AH169" s="4">
        <v>0</v>
      </c>
      <c r="AI169" s="4">
        <v>0</v>
      </c>
      <c r="AJ169" s="4">
        <v>0</v>
      </c>
      <c r="AK169" s="4">
        <v>0</v>
      </c>
      <c r="AL169" s="4">
        <v>0</v>
      </c>
      <c r="AM169" s="4">
        <v>0</v>
      </c>
      <c r="AN169" s="4">
        <v>0</v>
      </c>
      <c r="AO169" s="4">
        <v>0</v>
      </c>
      <c r="AP169" s="4">
        <v>0</v>
      </c>
      <c r="AQ169" s="4">
        <v>0</v>
      </c>
      <c r="AR169" s="4">
        <v>22617</v>
      </c>
      <c r="AS169" s="4">
        <v>77000</v>
      </c>
      <c r="AT169" s="4">
        <v>6000</v>
      </c>
      <c r="AU169" s="4">
        <v>0</v>
      </c>
      <c r="AV169" s="4">
        <v>0</v>
      </c>
      <c r="AW169" s="4">
        <v>0</v>
      </c>
      <c r="AX169" s="4">
        <v>0</v>
      </c>
      <c r="AY169" s="4">
        <v>0</v>
      </c>
      <c r="AZ169" s="4">
        <v>0</v>
      </c>
      <c r="BA169" s="4">
        <v>0</v>
      </c>
      <c r="BB169" s="4">
        <v>0</v>
      </c>
      <c r="BC169" s="4">
        <v>0</v>
      </c>
      <c r="BD169" s="4">
        <v>0</v>
      </c>
      <c r="BE169" s="4">
        <v>0</v>
      </c>
      <c r="BF169" s="4">
        <f t="shared" ref="BF169:BF176" si="121">SUM(E169:BE169)</f>
        <v>605889.65999999992</v>
      </c>
      <c r="BG169" s="4">
        <f t="shared" ref="BG169:BG176" si="122">SUM(E169:W169)</f>
        <v>0</v>
      </c>
      <c r="BH169" s="4">
        <f t="shared" ref="BH169:BH175" si="123">SUM(X169:AJ169)</f>
        <v>500272.66</v>
      </c>
      <c r="BI169" s="4">
        <f t="shared" ref="BI169:BI176" si="124">SUM(AK169:BE169)</f>
        <v>105617</v>
      </c>
    </row>
    <row r="170" spans="2:61" x14ac:dyDescent="0.25">
      <c r="C170">
        <v>682</v>
      </c>
      <c r="D170" t="s">
        <v>464</v>
      </c>
      <c r="E170" s="4">
        <v>0</v>
      </c>
      <c r="F170" s="4">
        <v>0</v>
      </c>
      <c r="G170" s="4">
        <v>0</v>
      </c>
      <c r="H170" s="4">
        <v>0</v>
      </c>
      <c r="I170" s="4">
        <v>0</v>
      </c>
      <c r="J170" s="4">
        <v>0</v>
      </c>
      <c r="K170" s="4">
        <v>0</v>
      </c>
      <c r="L170" s="4">
        <v>0</v>
      </c>
      <c r="M170" s="4">
        <v>0</v>
      </c>
      <c r="N170" s="4">
        <v>0</v>
      </c>
      <c r="O170" s="4">
        <v>0</v>
      </c>
      <c r="P170" s="4">
        <v>0</v>
      </c>
      <c r="Q170" s="4">
        <v>0</v>
      </c>
      <c r="R170" s="4">
        <v>0</v>
      </c>
      <c r="S170" s="4">
        <v>0</v>
      </c>
      <c r="T170" s="4">
        <v>0</v>
      </c>
      <c r="U170" s="4">
        <v>0</v>
      </c>
      <c r="V170" s="4">
        <v>0</v>
      </c>
      <c r="W170" s="4">
        <v>0</v>
      </c>
      <c r="X170" s="4">
        <v>0</v>
      </c>
      <c r="Y170" s="4">
        <v>0</v>
      </c>
      <c r="Z170" s="4">
        <v>0</v>
      </c>
      <c r="AA170" s="4">
        <v>0</v>
      </c>
      <c r="AB170" s="4">
        <v>0</v>
      </c>
      <c r="AC170" s="4">
        <v>0</v>
      </c>
      <c r="AD170" s="4">
        <v>0</v>
      </c>
      <c r="AE170" s="4">
        <v>0</v>
      </c>
      <c r="AF170" s="4">
        <v>0</v>
      </c>
      <c r="AG170" s="4">
        <v>0</v>
      </c>
      <c r="AH170" s="4">
        <v>0</v>
      </c>
      <c r="AI170" s="4">
        <v>0</v>
      </c>
      <c r="AJ170" s="4">
        <v>0</v>
      </c>
      <c r="AK170" s="4">
        <v>0</v>
      </c>
      <c r="AL170" s="4">
        <v>0</v>
      </c>
      <c r="AM170" s="4">
        <v>0</v>
      </c>
      <c r="AN170" s="4">
        <v>0</v>
      </c>
      <c r="AO170" s="4">
        <v>0</v>
      </c>
      <c r="AP170" s="4">
        <v>0</v>
      </c>
      <c r="AQ170" s="4">
        <v>0</v>
      </c>
      <c r="AR170" s="4">
        <v>0</v>
      </c>
      <c r="AS170" s="4">
        <v>0</v>
      </c>
      <c r="AT170" s="4">
        <v>0</v>
      </c>
      <c r="AU170" s="4">
        <v>0</v>
      </c>
      <c r="AV170" s="4">
        <v>0</v>
      </c>
      <c r="AW170" s="4">
        <v>0</v>
      </c>
      <c r="AX170" s="4">
        <v>0</v>
      </c>
      <c r="AY170" s="4">
        <v>0</v>
      </c>
      <c r="AZ170" s="4">
        <v>0</v>
      </c>
      <c r="BA170" s="4">
        <v>0</v>
      </c>
      <c r="BB170" s="4">
        <v>0</v>
      </c>
      <c r="BC170" s="4">
        <v>0</v>
      </c>
      <c r="BD170" s="4">
        <v>0</v>
      </c>
      <c r="BE170" s="4">
        <v>0</v>
      </c>
      <c r="BF170" s="4">
        <f t="shared" si="121"/>
        <v>0</v>
      </c>
      <c r="BG170" s="4">
        <f t="shared" si="122"/>
        <v>0</v>
      </c>
      <c r="BH170" s="4">
        <f t="shared" si="123"/>
        <v>0</v>
      </c>
      <c r="BI170" s="4">
        <f t="shared" si="124"/>
        <v>0</v>
      </c>
    </row>
    <row r="171" spans="2:61" x14ac:dyDescent="0.25">
      <c r="C171">
        <v>683</v>
      </c>
      <c r="D171" t="s">
        <v>490</v>
      </c>
      <c r="E171" s="4">
        <v>0</v>
      </c>
      <c r="F171" s="4">
        <v>0</v>
      </c>
      <c r="G171" s="4">
        <v>0</v>
      </c>
      <c r="H171" s="4">
        <v>0</v>
      </c>
      <c r="I171" s="4">
        <v>0</v>
      </c>
      <c r="J171" s="4">
        <v>0</v>
      </c>
      <c r="K171" s="4">
        <v>0</v>
      </c>
      <c r="L171" s="4">
        <v>0</v>
      </c>
      <c r="M171" s="4">
        <v>0</v>
      </c>
      <c r="N171" s="4">
        <v>0</v>
      </c>
      <c r="O171" s="4">
        <v>0</v>
      </c>
      <c r="P171" s="4">
        <v>0</v>
      </c>
      <c r="Q171" s="4">
        <v>0</v>
      </c>
      <c r="R171" s="4">
        <v>0</v>
      </c>
      <c r="S171" s="4">
        <v>0</v>
      </c>
      <c r="T171" s="4">
        <v>0</v>
      </c>
      <c r="U171" s="4">
        <v>0</v>
      </c>
      <c r="V171" s="4">
        <v>0</v>
      </c>
      <c r="W171" s="4">
        <v>0</v>
      </c>
      <c r="X171" s="4">
        <v>0</v>
      </c>
      <c r="Y171" s="4">
        <v>0</v>
      </c>
      <c r="Z171" s="4">
        <v>0</v>
      </c>
      <c r="AA171" s="4">
        <v>0</v>
      </c>
      <c r="AB171" s="4">
        <v>0</v>
      </c>
      <c r="AC171" s="4">
        <v>0</v>
      </c>
      <c r="AD171" s="4">
        <v>0</v>
      </c>
      <c r="AE171" s="4">
        <v>0</v>
      </c>
      <c r="AF171" s="4">
        <v>0</v>
      </c>
      <c r="AG171" s="4">
        <v>0</v>
      </c>
      <c r="AH171" s="4">
        <v>0</v>
      </c>
      <c r="AI171" s="4">
        <v>0</v>
      </c>
      <c r="AJ171" s="4">
        <v>0</v>
      </c>
      <c r="AK171" s="4">
        <v>0</v>
      </c>
      <c r="AL171" s="4">
        <v>0</v>
      </c>
      <c r="AM171" s="4">
        <v>38731</v>
      </c>
      <c r="AN171" s="4">
        <v>0</v>
      </c>
      <c r="AO171" s="4">
        <v>0</v>
      </c>
      <c r="AP171" s="4">
        <v>0</v>
      </c>
      <c r="AQ171" s="4">
        <v>0</v>
      </c>
      <c r="AR171" s="4">
        <v>0</v>
      </c>
      <c r="AS171" s="4">
        <v>0</v>
      </c>
      <c r="AT171" s="4">
        <v>0</v>
      </c>
      <c r="AU171" s="4">
        <v>0</v>
      </c>
      <c r="AV171" s="4">
        <v>0</v>
      </c>
      <c r="AW171" s="4">
        <v>0</v>
      </c>
      <c r="AX171" s="4">
        <v>0</v>
      </c>
      <c r="AY171" s="4">
        <v>0</v>
      </c>
      <c r="AZ171" s="4">
        <v>0</v>
      </c>
      <c r="BA171" s="4">
        <v>0</v>
      </c>
      <c r="BB171" s="4">
        <v>0</v>
      </c>
      <c r="BC171" s="4">
        <v>0</v>
      </c>
      <c r="BD171" s="4">
        <v>0</v>
      </c>
      <c r="BE171" s="4">
        <v>0</v>
      </c>
      <c r="BF171" s="4">
        <f t="shared" si="121"/>
        <v>38731</v>
      </c>
      <c r="BG171" s="4">
        <f t="shared" si="122"/>
        <v>0</v>
      </c>
      <c r="BH171" s="4">
        <f t="shared" si="123"/>
        <v>0</v>
      </c>
      <c r="BI171" s="4">
        <f t="shared" si="124"/>
        <v>38731</v>
      </c>
    </row>
    <row r="172" spans="2:61" x14ac:dyDescent="0.25">
      <c r="C172">
        <v>684</v>
      </c>
      <c r="D172" t="s">
        <v>250</v>
      </c>
      <c r="E172" s="4">
        <v>0</v>
      </c>
      <c r="F172" s="4">
        <v>0</v>
      </c>
      <c r="G172" s="4">
        <v>0</v>
      </c>
      <c r="H172" s="4">
        <v>0</v>
      </c>
      <c r="I172" s="4">
        <v>0</v>
      </c>
      <c r="J172" s="4">
        <v>0</v>
      </c>
      <c r="K172" s="4">
        <v>0</v>
      </c>
      <c r="L172" s="4">
        <v>0</v>
      </c>
      <c r="M172" s="4">
        <v>0</v>
      </c>
      <c r="N172" s="4">
        <v>0</v>
      </c>
      <c r="O172" s="4">
        <v>0</v>
      </c>
      <c r="P172" s="4">
        <v>0</v>
      </c>
      <c r="Q172" s="4">
        <v>0</v>
      </c>
      <c r="R172" s="4">
        <v>0</v>
      </c>
      <c r="S172" s="4">
        <v>0</v>
      </c>
      <c r="T172" s="4">
        <v>0</v>
      </c>
      <c r="U172" s="4">
        <v>0</v>
      </c>
      <c r="V172" s="4">
        <v>0</v>
      </c>
      <c r="W172" s="4">
        <v>0</v>
      </c>
      <c r="X172" s="4">
        <v>0</v>
      </c>
      <c r="Y172" s="4">
        <v>0</v>
      </c>
      <c r="Z172" s="4">
        <v>0</v>
      </c>
      <c r="AA172" s="4">
        <v>0</v>
      </c>
      <c r="AB172" s="4">
        <v>0</v>
      </c>
      <c r="AC172" s="4">
        <v>0</v>
      </c>
      <c r="AD172" s="4">
        <v>0</v>
      </c>
      <c r="AE172" s="4">
        <v>0</v>
      </c>
      <c r="AF172" s="4">
        <v>0</v>
      </c>
      <c r="AG172" s="4">
        <v>0</v>
      </c>
      <c r="AH172" s="4">
        <v>0</v>
      </c>
      <c r="AI172" s="4">
        <v>0</v>
      </c>
      <c r="AJ172" s="4">
        <v>0</v>
      </c>
      <c r="AK172" s="4">
        <v>0</v>
      </c>
      <c r="AL172" s="4">
        <v>0</v>
      </c>
      <c r="AM172" s="4">
        <v>0</v>
      </c>
      <c r="AN172" s="4">
        <v>0</v>
      </c>
      <c r="AO172" s="4">
        <v>0</v>
      </c>
      <c r="AP172" s="4">
        <v>0</v>
      </c>
      <c r="AQ172" s="4">
        <v>0</v>
      </c>
      <c r="AR172" s="4">
        <v>0</v>
      </c>
      <c r="AS172" s="4">
        <v>0</v>
      </c>
      <c r="AT172" s="4">
        <v>0</v>
      </c>
      <c r="AU172" s="4">
        <v>0</v>
      </c>
      <c r="AV172" s="4">
        <v>0</v>
      </c>
      <c r="AW172" s="4">
        <v>0</v>
      </c>
      <c r="AX172" s="4">
        <v>0</v>
      </c>
      <c r="AY172" s="4">
        <v>0</v>
      </c>
      <c r="AZ172" s="4">
        <v>0</v>
      </c>
      <c r="BA172" s="4">
        <v>0</v>
      </c>
      <c r="BB172" s="4">
        <v>0</v>
      </c>
      <c r="BC172" s="4">
        <v>0</v>
      </c>
      <c r="BD172" s="4">
        <v>0</v>
      </c>
      <c r="BE172" s="4">
        <v>0</v>
      </c>
      <c r="BF172" s="4">
        <f t="shared" si="121"/>
        <v>0</v>
      </c>
      <c r="BG172" s="4">
        <f t="shared" si="122"/>
        <v>0</v>
      </c>
      <c r="BH172" s="4">
        <f t="shared" si="123"/>
        <v>0</v>
      </c>
      <c r="BI172" s="4">
        <f t="shared" si="124"/>
        <v>0</v>
      </c>
    </row>
    <row r="173" spans="2:61" x14ac:dyDescent="0.25">
      <c r="C173">
        <v>685</v>
      </c>
      <c r="D173" t="s">
        <v>379</v>
      </c>
      <c r="E173" s="4">
        <v>0</v>
      </c>
      <c r="F173" s="4">
        <v>0</v>
      </c>
      <c r="G173" s="4">
        <v>0</v>
      </c>
      <c r="H173" s="4">
        <v>0</v>
      </c>
      <c r="I173" s="4">
        <v>0</v>
      </c>
      <c r="J173" s="4">
        <v>0</v>
      </c>
      <c r="K173" s="4">
        <v>0</v>
      </c>
      <c r="L173" s="4">
        <v>0</v>
      </c>
      <c r="M173" s="4">
        <v>0</v>
      </c>
      <c r="N173" s="4">
        <v>0</v>
      </c>
      <c r="O173" s="4">
        <v>0</v>
      </c>
      <c r="P173" s="4">
        <v>0</v>
      </c>
      <c r="Q173" s="4">
        <v>0</v>
      </c>
      <c r="R173" s="4">
        <v>0</v>
      </c>
      <c r="S173" s="4">
        <v>0</v>
      </c>
      <c r="T173" s="4">
        <v>0</v>
      </c>
      <c r="U173" s="4">
        <v>0</v>
      </c>
      <c r="V173" s="4">
        <v>0</v>
      </c>
      <c r="W173" s="4">
        <v>0</v>
      </c>
      <c r="X173" s="4">
        <v>0</v>
      </c>
      <c r="Y173" s="4">
        <v>0</v>
      </c>
      <c r="Z173" s="4">
        <v>0</v>
      </c>
      <c r="AA173" s="4">
        <v>0</v>
      </c>
      <c r="AB173" s="4">
        <v>0</v>
      </c>
      <c r="AC173" s="4">
        <v>0</v>
      </c>
      <c r="AD173" s="4">
        <v>0</v>
      </c>
      <c r="AE173" s="4">
        <v>0</v>
      </c>
      <c r="AF173" s="4">
        <v>0</v>
      </c>
      <c r="AG173" s="4">
        <v>0</v>
      </c>
      <c r="AH173" s="4">
        <v>0</v>
      </c>
      <c r="AI173" s="4">
        <v>0</v>
      </c>
      <c r="AJ173" s="4">
        <v>0</v>
      </c>
      <c r="AK173" s="4">
        <v>0</v>
      </c>
      <c r="AL173" s="4">
        <v>0</v>
      </c>
      <c r="AM173" s="4">
        <v>0</v>
      </c>
      <c r="AN173" s="4">
        <v>0</v>
      </c>
      <c r="AO173" s="4">
        <v>0</v>
      </c>
      <c r="AP173" s="4">
        <v>0</v>
      </c>
      <c r="AQ173" s="4">
        <v>0</v>
      </c>
      <c r="AR173" s="4">
        <v>0</v>
      </c>
      <c r="AS173" s="4">
        <v>0</v>
      </c>
      <c r="AT173" s="4">
        <v>0</v>
      </c>
      <c r="AU173" s="4">
        <v>0</v>
      </c>
      <c r="AV173" s="4">
        <v>0</v>
      </c>
      <c r="AW173" s="4">
        <v>0</v>
      </c>
      <c r="AX173" s="4">
        <v>0</v>
      </c>
      <c r="AY173" s="4">
        <v>0</v>
      </c>
      <c r="AZ173" s="4">
        <v>0</v>
      </c>
      <c r="BA173" s="4">
        <v>0</v>
      </c>
      <c r="BB173" s="4">
        <v>0</v>
      </c>
      <c r="BC173" s="4">
        <v>0</v>
      </c>
      <c r="BD173" s="4">
        <v>0</v>
      </c>
      <c r="BE173" s="4">
        <v>0</v>
      </c>
      <c r="BF173" s="4">
        <f t="shared" si="121"/>
        <v>0</v>
      </c>
      <c r="BG173" s="4">
        <f t="shared" si="122"/>
        <v>0</v>
      </c>
      <c r="BH173" s="4">
        <f t="shared" si="123"/>
        <v>0</v>
      </c>
      <c r="BI173" s="4">
        <f t="shared" si="124"/>
        <v>0</v>
      </c>
    </row>
    <row r="174" spans="2:61" x14ac:dyDescent="0.25">
      <c r="C174">
        <v>686</v>
      </c>
      <c r="D174" t="s">
        <v>491</v>
      </c>
      <c r="E174" s="4">
        <v>0</v>
      </c>
      <c r="F174" s="4">
        <v>0</v>
      </c>
      <c r="G174" s="4">
        <v>0</v>
      </c>
      <c r="H174" s="4">
        <v>0</v>
      </c>
      <c r="I174" s="4">
        <v>0</v>
      </c>
      <c r="J174" s="4">
        <v>0</v>
      </c>
      <c r="K174" s="4">
        <v>0</v>
      </c>
      <c r="L174" s="4">
        <v>0</v>
      </c>
      <c r="M174" s="4">
        <v>0</v>
      </c>
      <c r="N174" s="4">
        <v>0</v>
      </c>
      <c r="O174" s="4">
        <v>0</v>
      </c>
      <c r="P174" s="4">
        <v>0</v>
      </c>
      <c r="Q174" s="4">
        <v>0</v>
      </c>
      <c r="R174" s="4">
        <v>0</v>
      </c>
      <c r="S174" s="4">
        <v>0</v>
      </c>
      <c r="T174" s="4">
        <v>0</v>
      </c>
      <c r="U174" s="4">
        <v>0</v>
      </c>
      <c r="V174" s="4">
        <v>0</v>
      </c>
      <c r="W174" s="4">
        <v>0</v>
      </c>
      <c r="X174" s="4">
        <v>0</v>
      </c>
      <c r="Y174" s="4">
        <v>0</v>
      </c>
      <c r="Z174" s="4">
        <v>0</v>
      </c>
      <c r="AA174" s="4">
        <v>0</v>
      </c>
      <c r="AB174" s="4">
        <v>0</v>
      </c>
      <c r="AC174" s="4">
        <v>0</v>
      </c>
      <c r="AD174" s="4">
        <v>0</v>
      </c>
      <c r="AE174" s="4">
        <v>0</v>
      </c>
      <c r="AF174" s="4">
        <v>0</v>
      </c>
      <c r="AG174" s="4">
        <v>0</v>
      </c>
      <c r="AH174" s="4">
        <v>0</v>
      </c>
      <c r="AI174" s="4">
        <v>0</v>
      </c>
      <c r="AJ174" s="4">
        <v>0</v>
      </c>
      <c r="AK174" s="4">
        <v>0</v>
      </c>
      <c r="AL174" s="4">
        <v>0</v>
      </c>
      <c r="AM174" s="4">
        <v>0</v>
      </c>
      <c r="AN174" s="4">
        <v>0</v>
      </c>
      <c r="AO174" s="4">
        <v>0</v>
      </c>
      <c r="AP174" s="4">
        <v>0</v>
      </c>
      <c r="AQ174" s="4">
        <v>0</v>
      </c>
      <c r="AR174" s="4">
        <v>0</v>
      </c>
      <c r="AS174" s="4">
        <v>0</v>
      </c>
      <c r="AT174" s="4">
        <v>0</v>
      </c>
      <c r="AU174" s="4">
        <v>0</v>
      </c>
      <c r="AV174" s="4">
        <v>0</v>
      </c>
      <c r="AW174" s="4">
        <v>0</v>
      </c>
      <c r="AX174" s="4">
        <v>0</v>
      </c>
      <c r="AY174" s="4">
        <v>0</v>
      </c>
      <c r="AZ174" s="4">
        <v>0</v>
      </c>
      <c r="BA174" s="4">
        <v>0</v>
      </c>
      <c r="BB174" s="4">
        <v>0</v>
      </c>
      <c r="BC174" s="4">
        <v>0</v>
      </c>
      <c r="BD174" s="4">
        <v>0</v>
      </c>
      <c r="BE174" s="4">
        <v>0</v>
      </c>
      <c r="BF174" s="4">
        <f t="shared" si="121"/>
        <v>0</v>
      </c>
      <c r="BG174" s="4">
        <f t="shared" si="122"/>
        <v>0</v>
      </c>
      <c r="BH174" s="4">
        <f t="shared" si="123"/>
        <v>0</v>
      </c>
      <c r="BI174" s="4">
        <f t="shared" si="124"/>
        <v>0</v>
      </c>
    </row>
    <row r="175" spans="2:61" x14ac:dyDescent="0.25">
      <c r="C175">
        <v>689</v>
      </c>
      <c r="D175" t="s">
        <v>492</v>
      </c>
      <c r="E175" s="4">
        <v>57376.9</v>
      </c>
      <c r="F175" s="4">
        <v>0</v>
      </c>
      <c r="G175" s="4">
        <v>0</v>
      </c>
      <c r="H175" s="4">
        <v>0</v>
      </c>
      <c r="I175" s="4">
        <v>0</v>
      </c>
      <c r="J175" s="4">
        <v>0</v>
      </c>
      <c r="K175" s="4">
        <v>0</v>
      </c>
      <c r="L175" s="4">
        <v>0</v>
      </c>
      <c r="M175" s="4">
        <v>0</v>
      </c>
      <c r="N175" s="4">
        <v>0</v>
      </c>
      <c r="O175" s="4">
        <v>0</v>
      </c>
      <c r="P175" s="4">
        <v>0</v>
      </c>
      <c r="Q175" s="4">
        <v>0</v>
      </c>
      <c r="R175" s="4">
        <v>0</v>
      </c>
      <c r="S175" s="4">
        <v>0</v>
      </c>
      <c r="T175" s="4">
        <v>0</v>
      </c>
      <c r="U175" s="4">
        <v>0</v>
      </c>
      <c r="V175" s="4">
        <v>0</v>
      </c>
      <c r="W175" s="4">
        <v>0</v>
      </c>
      <c r="X175" s="4">
        <v>0</v>
      </c>
      <c r="Y175" s="4">
        <v>0</v>
      </c>
      <c r="Z175" s="4">
        <v>0</v>
      </c>
      <c r="AA175" s="4">
        <v>0</v>
      </c>
      <c r="AB175" s="4">
        <v>0</v>
      </c>
      <c r="AC175" s="4">
        <v>0</v>
      </c>
      <c r="AD175" s="4">
        <v>0</v>
      </c>
      <c r="AE175" s="4">
        <v>0</v>
      </c>
      <c r="AF175" s="4">
        <v>0</v>
      </c>
      <c r="AG175" s="4">
        <v>0</v>
      </c>
      <c r="AH175" s="4">
        <v>0</v>
      </c>
      <c r="AI175" s="4">
        <v>0</v>
      </c>
      <c r="AJ175" s="4">
        <v>0</v>
      </c>
      <c r="AK175" s="4">
        <v>0</v>
      </c>
      <c r="AL175" s="4">
        <v>0</v>
      </c>
      <c r="AM175" s="4">
        <v>0</v>
      </c>
      <c r="AN175" s="4">
        <v>0</v>
      </c>
      <c r="AO175" s="4">
        <v>0</v>
      </c>
      <c r="AP175" s="4">
        <v>0</v>
      </c>
      <c r="AQ175" s="4">
        <v>0</v>
      </c>
      <c r="AR175" s="4">
        <v>0</v>
      </c>
      <c r="AS175" s="4">
        <v>0</v>
      </c>
      <c r="AT175" s="4">
        <v>0</v>
      </c>
      <c r="AU175" s="4">
        <v>0</v>
      </c>
      <c r="AV175" s="4">
        <v>0</v>
      </c>
      <c r="AW175" s="4">
        <v>0</v>
      </c>
      <c r="AX175" s="4">
        <v>0</v>
      </c>
      <c r="AY175" s="4">
        <v>0</v>
      </c>
      <c r="AZ175" s="4">
        <v>0</v>
      </c>
      <c r="BA175" s="4">
        <v>0</v>
      </c>
      <c r="BB175" s="4">
        <v>0</v>
      </c>
      <c r="BC175" s="4">
        <v>0</v>
      </c>
      <c r="BD175" s="4">
        <v>0</v>
      </c>
      <c r="BE175" s="4">
        <v>0</v>
      </c>
      <c r="BF175" s="4">
        <f t="shared" si="121"/>
        <v>57376.9</v>
      </c>
      <c r="BG175" s="4">
        <f t="shared" si="122"/>
        <v>57376.9</v>
      </c>
      <c r="BH175" s="4">
        <f t="shared" si="123"/>
        <v>0</v>
      </c>
      <c r="BI175" s="4">
        <f t="shared" si="124"/>
        <v>0</v>
      </c>
    </row>
    <row r="176" spans="2:61" x14ac:dyDescent="0.25">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f t="shared" si="121"/>
        <v>0</v>
      </c>
      <c r="BG176" s="4">
        <f t="shared" si="122"/>
        <v>0</v>
      </c>
      <c r="BH176" s="4"/>
      <c r="BI176" s="4">
        <f t="shared" si="124"/>
        <v>0</v>
      </c>
    </row>
    <row r="177" spans="2:61" x14ac:dyDescent="0.25">
      <c r="B177" s="87">
        <v>69</v>
      </c>
      <c r="C177" s="87"/>
      <c r="D177" s="87" t="s">
        <v>493</v>
      </c>
      <c r="E177" s="85">
        <f>E178</f>
        <v>1817467.61</v>
      </c>
      <c r="F177" s="85">
        <f t="shared" ref="F177:BI177" si="125">F178</f>
        <v>350105.49</v>
      </c>
      <c r="G177" s="85">
        <f t="shared" si="125"/>
        <v>303230.01</v>
      </c>
      <c r="H177" s="85">
        <f t="shared" si="125"/>
        <v>122282.8</v>
      </c>
      <c r="I177" s="85">
        <f t="shared" si="125"/>
        <v>574124.02</v>
      </c>
      <c r="J177" s="85">
        <f t="shared" si="125"/>
        <v>1847431.14</v>
      </c>
      <c r="K177" s="85">
        <f t="shared" si="125"/>
        <v>1006228.34</v>
      </c>
      <c r="L177" s="85">
        <f t="shared" si="125"/>
        <v>13702597.810000001</v>
      </c>
      <c r="M177" s="85">
        <f t="shared" si="125"/>
        <v>796260.29</v>
      </c>
      <c r="N177" s="85">
        <f t="shared" si="125"/>
        <v>41267.75</v>
      </c>
      <c r="O177" s="85">
        <f t="shared" si="125"/>
        <v>3552900.5</v>
      </c>
      <c r="P177" s="85">
        <f t="shared" si="125"/>
        <v>135435.99</v>
      </c>
      <c r="Q177" s="85">
        <f t="shared" si="125"/>
        <v>2137</v>
      </c>
      <c r="R177" s="85">
        <f t="shared" si="125"/>
        <v>35597.1</v>
      </c>
      <c r="S177" s="85">
        <f t="shared" si="125"/>
        <v>12586.05</v>
      </c>
      <c r="T177" s="85">
        <f t="shared" si="125"/>
        <v>246921.63</v>
      </c>
      <c r="U177" s="85">
        <f t="shared" si="125"/>
        <v>475208.2</v>
      </c>
      <c r="V177" s="85">
        <f t="shared" si="125"/>
        <v>67939.38</v>
      </c>
      <c r="W177" s="85">
        <f t="shared" si="125"/>
        <v>3657738.51</v>
      </c>
      <c r="X177" s="85">
        <f t="shared" si="125"/>
        <v>120441.4</v>
      </c>
      <c r="Y177" s="85">
        <f t="shared" si="125"/>
        <v>1082163</v>
      </c>
      <c r="Z177" s="85">
        <f t="shared" si="125"/>
        <v>449610.71</v>
      </c>
      <c r="AA177" s="85">
        <f t="shared" si="125"/>
        <v>195636.95</v>
      </c>
      <c r="AB177" s="85">
        <f t="shared" si="125"/>
        <v>651324.15</v>
      </c>
      <c r="AC177" s="85">
        <f t="shared" si="125"/>
        <v>758577.75</v>
      </c>
      <c r="AD177" s="85">
        <f t="shared" si="125"/>
        <v>236816.52</v>
      </c>
      <c r="AE177" s="85">
        <f t="shared" si="125"/>
        <v>560601.35</v>
      </c>
      <c r="AF177" s="85">
        <f t="shared" si="125"/>
        <v>592880.19999999995</v>
      </c>
      <c r="AG177" s="85">
        <f t="shared" si="125"/>
        <v>1120256.05</v>
      </c>
      <c r="AH177" s="85">
        <f t="shared" si="125"/>
        <v>573288.05000000005</v>
      </c>
      <c r="AI177" s="85">
        <f t="shared" si="125"/>
        <v>0</v>
      </c>
      <c r="AJ177" s="85">
        <f t="shared" si="125"/>
        <v>228249.65</v>
      </c>
      <c r="AK177" s="85">
        <f t="shared" si="125"/>
        <v>2857328.1</v>
      </c>
      <c r="AL177" s="85">
        <f t="shared" si="125"/>
        <v>607952.1</v>
      </c>
      <c r="AM177" s="85">
        <f t="shared" si="125"/>
        <v>359831.66</v>
      </c>
      <c r="AN177" s="85">
        <f t="shared" si="125"/>
        <v>744802.89</v>
      </c>
      <c r="AO177" s="85">
        <f t="shared" si="125"/>
        <v>1300821.51</v>
      </c>
      <c r="AP177" s="85">
        <f t="shared" si="125"/>
        <v>407340.9</v>
      </c>
      <c r="AQ177" s="85">
        <f t="shared" si="125"/>
        <v>529521.69999999995</v>
      </c>
      <c r="AR177" s="85">
        <f t="shared" si="125"/>
        <v>2561966.7000000002</v>
      </c>
      <c r="AS177" s="85">
        <f t="shared" si="125"/>
        <v>190136.45</v>
      </c>
      <c r="AT177" s="85">
        <f t="shared" si="125"/>
        <v>1378844.35</v>
      </c>
      <c r="AU177" s="85">
        <f t="shared" si="125"/>
        <v>69113</v>
      </c>
      <c r="AV177" s="85">
        <f t="shared" si="125"/>
        <v>611861.4</v>
      </c>
      <c r="AW177" s="85">
        <f t="shared" si="125"/>
        <v>324404.75</v>
      </c>
      <c r="AX177" s="85">
        <f t="shared" si="125"/>
        <v>0</v>
      </c>
      <c r="AY177" s="85">
        <f t="shared" si="125"/>
        <v>24663.3</v>
      </c>
      <c r="AZ177" s="85">
        <f t="shared" si="125"/>
        <v>17061.55</v>
      </c>
      <c r="BA177" s="85">
        <f t="shared" si="125"/>
        <v>722496.3</v>
      </c>
      <c r="BB177" s="85">
        <f t="shared" si="125"/>
        <v>1057290.32</v>
      </c>
      <c r="BC177" s="85">
        <f t="shared" si="125"/>
        <v>72697.2</v>
      </c>
      <c r="BD177" s="85">
        <f>BD178</f>
        <v>6553486.2199999997</v>
      </c>
      <c r="BE177" s="85">
        <f t="shared" si="125"/>
        <v>104880.05</v>
      </c>
      <c r="BF177" s="85">
        <f t="shared" si="125"/>
        <v>55813805.849999987</v>
      </c>
      <c r="BG177" s="85">
        <f t="shared" si="125"/>
        <v>28747459.619999997</v>
      </c>
      <c r="BH177" s="85">
        <f t="shared" si="125"/>
        <v>6569845.7800000003</v>
      </c>
      <c r="BI177" s="85">
        <f t="shared" si="125"/>
        <v>20496500.450000003</v>
      </c>
    </row>
    <row r="178" spans="2:61" x14ac:dyDescent="0.25">
      <c r="C178">
        <v>690</v>
      </c>
      <c r="D178" t="s">
        <v>493</v>
      </c>
      <c r="E178" s="4">
        <v>1817467.61</v>
      </c>
      <c r="F178" s="4">
        <v>350105.49</v>
      </c>
      <c r="G178" s="4">
        <v>303230.01</v>
      </c>
      <c r="H178" s="4">
        <v>122282.8</v>
      </c>
      <c r="I178" s="4">
        <v>574124.02</v>
      </c>
      <c r="J178" s="4">
        <v>1847431.14</v>
      </c>
      <c r="K178" s="4">
        <v>1006228.34</v>
      </c>
      <c r="L178" s="4">
        <v>13702597.810000001</v>
      </c>
      <c r="M178" s="4">
        <v>796260.29</v>
      </c>
      <c r="N178" s="4">
        <v>41267.75</v>
      </c>
      <c r="O178" s="4">
        <v>3552900.5</v>
      </c>
      <c r="P178" s="4">
        <v>135435.99</v>
      </c>
      <c r="Q178" s="4">
        <v>2137</v>
      </c>
      <c r="R178" s="4">
        <v>35597.1</v>
      </c>
      <c r="S178" s="4">
        <v>12586.05</v>
      </c>
      <c r="T178" s="4">
        <v>246921.63</v>
      </c>
      <c r="U178" s="4">
        <v>475208.2</v>
      </c>
      <c r="V178" s="4">
        <v>67939.38</v>
      </c>
      <c r="W178" s="4">
        <v>3657738.51</v>
      </c>
      <c r="X178" s="4">
        <v>120441.4</v>
      </c>
      <c r="Y178" s="4">
        <v>1082163</v>
      </c>
      <c r="Z178" s="4">
        <v>449610.71</v>
      </c>
      <c r="AA178" s="4">
        <v>195636.95</v>
      </c>
      <c r="AB178" s="4">
        <v>651324.15</v>
      </c>
      <c r="AC178" s="4">
        <v>758577.75</v>
      </c>
      <c r="AD178" s="4">
        <v>236816.52</v>
      </c>
      <c r="AE178" s="4">
        <v>560601.35</v>
      </c>
      <c r="AF178" s="4">
        <v>592880.19999999995</v>
      </c>
      <c r="AG178" s="4">
        <v>1120256.05</v>
      </c>
      <c r="AH178" s="4">
        <v>573288.05000000005</v>
      </c>
      <c r="AI178" s="4">
        <v>0</v>
      </c>
      <c r="AJ178" s="4">
        <v>228249.65</v>
      </c>
      <c r="AK178" s="4">
        <v>2857328.1</v>
      </c>
      <c r="AL178" s="4">
        <v>607952.1</v>
      </c>
      <c r="AM178" s="4">
        <v>359831.66</v>
      </c>
      <c r="AN178" s="4">
        <v>744802.89</v>
      </c>
      <c r="AO178" s="4">
        <v>1300821.51</v>
      </c>
      <c r="AP178" s="4">
        <v>407340.9</v>
      </c>
      <c r="AQ178" s="4">
        <v>529521.69999999995</v>
      </c>
      <c r="AR178" s="4">
        <v>2561966.7000000002</v>
      </c>
      <c r="AS178" s="4">
        <v>190136.45</v>
      </c>
      <c r="AT178" s="4">
        <v>1378844.35</v>
      </c>
      <c r="AU178" s="4">
        <v>69113</v>
      </c>
      <c r="AV178" s="4">
        <v>611861.4</v>
      </c>
      <c r="AW178" s="4">
        <v>324404.75</v>
      </c>
      <c r="AX178" s="4">
        <v>0</v>
      </c>
      <c r="AY178" s="4">
        <v>24663.3</v>
      </c>
      <c r="AZ178" s="4">
        <v>17061.55</v>
      </c>
      <c r="BA178" s="4">
        <v>722496.3</v>
      </c>
      <c r="BB178" s="4">
        <v>1057290.32</v>
      </c>
      <c r="BC178" s="4">
        <v>72697.2</v>
      </c>
      <c r="BD178" s="4">
        <v>6553486.2199999997</v>
      </c>
      <c r="BE178" s="4">
        <v>104880.05</v>
      </c>
      <c r="BF178" s="4">
        <f t="shared" ref="BF178" si="126">SUM(E178:BE178)</f>
        <v>55813805.849999987</v>
      </c>
      <c r="BG178" s="4">
        <f t="shared" ref="BG178" si="127">SUM(E178:W178)</f>
        <v>28747459.619999997</v>
      </c>
      <c r="BH178" s="4">
        <f t="shared" ref="BH178" si="128">SUM(X178:AJ178)</f>
        <v>6569845.7800000003</v>
      </c>
      <c r="BI178" s="4">
        <f t="shared" ref="BI178" si="129">SUM(AK178:BE178)</f>
        <v>20496500.450000003</v>
      </c>
    </row>
    <row r="179" spans="2:61" x14ac:dyDescent="0.25">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row>
    <row r="180" spans="2:61" x14ac:dyDescent="0.25">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row>
    <row r="181" spans="2:61" x14ac:dyDescent="0.25">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row>
    <row r="182" spans="2:61" x14ac:dyDescent="0.25">
      <c r="D182" s="88" t="s">
        <v>221</v>
      </c>
      <c r="E182" s="91">
        <f>E4-E87</f>
        <v>1497456.71</v>
      </c>
      <c r="F182" s="91">
        <f t="shared" ref="F182:BI182" si="130">F4-F87</f>
        <v>147631.94</v>
      </c>
      <c r="G182" s="91">
        <f t="shared" si="130"/>
        <v>59608.210000000021</v>
      </c>
      <c r="H182" s="91">
        <f t="shared" si="130"/>
        <v>122282.8</v>
      </c>
      <c r="I182" s="91">
        <f t="shared" si="130"/>
        <v>429130.22000000003</v>
      </c>
      <c r="J182" s="91">
        <f t="shared" si="130"/>
        <v>542405.93000000017</v>
      </c>
      <c r="K182" s="91">
        <f t="shared" si="130"/>
        <v>615581.08999999985</v>
      </c>
      <c r="L182" s="91">
        <f t="shared" si="130"/>
        <v>12141571.110000001</v>
      </c>
      <c r="M182" s="91">
        <f t="shared" si="130"/>
        <v>796260.29</v>
      </c>
      <c r="N182" s="91">
        <f t="shared" si="130"/>
        <v>41267.75</v>
      </c>
      <c r="O182" s="91">
        <f t="shared" si="130"/>
        <v>2884424.1499999994</v>
      </c>
      <c r="P182" s="91">
        <f t="shared" si="130"/>
        <v>122277.88999999998</v>
      </c>
      <c r="Q182" s="91">
        <f t="shared" si="130"/>
        <v>2137</v>
      </c>
      <c r="R182" s="91">
        <f t="shared" si="130"/>
        <v>35597.1</v>
      </c>
      <c r="S182" s="91">
        <f t="shared" si="130"/>
        <v>-71366.95</v>
      </c>
      <c r="T182" s="91">
        <f t="shared" si="130"/>
        <v>246921.63</v>
      </c>
      <c r="U182" s="91">
        <f t="shared" si="130"/>
        <v>69069.700000000012</v>
      </c>
      <c r="V182" s="91">
        <f t="shared" si="130"/>
        <v>39836.380000000005</v>
      </c>
      <c r="W182" s="91">
        <f t="shared" si="130"/>
        <v>2181309.41</v>
      </c>
      <c r="X182" s="91">
        <f t="shared" si="130"/>
        <v>60441.400000000009</v>
      </c>
      <c r="Y182" s="91">
        <f t="shared" si="130"/>
        <v>369688.05000000005</v>
      </c>
      <c r="Z182" s="91">
        <f t="shared" si="130"/>
        <v>449610.71</v>
      </c>
      <c r="AA182" s="91">
        <f t="shared" si="130"/>
        <v>180906.95</v>
      </c>
      <c r="AB182" s="91">
        <f t="shared" si="130"/>
        <v>430885.14999999991</v>
      </c>
      <c r="AC182" s="91">
        <f t="shared" si="130"/>
        <v>610109.35</v>
      </c>
      <c r="AD182" s="91">
        <f t="shared" si="130"/>
        <v>-148382.57999999999</v>
      </c>
      <c r="AE182" s="91">
        <f t="shared" si="130"/>
        <v>44754.849999999977</v>
      </c>
      <c r="AF182" s="91">
        <f t="shared" si="130"/>
        <v>376642.19999999995</v>
      </c>
      <c r="AG182" s="91">
        <f t="shared" si="130"/>
        <v>1010976.8</v>
      </c>
      <c r="AH182" s="91">
        <f t="shared" si="130"/>
        <v>441600.30000000005</v>
      </c>
      <c r="AI182" s="91">
        <f t="shared" si="130"/>
        <v>112427.62</v>
      </c>
      <c r="AJ182" s="91">
        <f t="shared" si="130"/>
        <v>33644.449999999983</v>
      </c>
      <c r="AK182" s="91">
        <f t="shared" si="130"/>
        <v>1548005.9500000002</v>
      </c>
      <c r="AL182" s="91">
        <f t="shared" si="130"/>
        <v>321251</v>
      </c>
      <c r="AM182" s="91">
        <f t="shared" si="130"/>
        <v>219854.65999999997</v>
      </c>
      <c r="AN182" s="91">
        <f t="shared" si="130"/>
        <v>-729276.29</v>
      </c>
      <c r="AO182" s="91">
        <f t="shared" si="130"/>
        <v>1212650.06</v>
      </c>
      <c r="AP182" s="91">
        <f t="shared" si="130"/>
        <v>309277.75</v>
      </c>
      <c r="AQ182" s="91">
        <f t="shared" si="130"/>
        <v>518633.20000000007</v>
      </c>
      <c r="AR182" s="91">
        <f t="shared" si="130"/>
        <v>1869226.3999999997</v>
      </c>
      <c r="AS182" s="91">
        <f t="shared" si="130"/>
        <v>113136.45000000001</v>
      </c>
      <c r="AT182" s="91">
        <f t="shared" si="130"/>
        <v>1172844.3500000001</v>
      </c>
      <c r="AU182" s="91">
        <f t="shared" si="130"/>
        <v>-119310.5</v>
      </c>
      <c r="AV182" s="91">
        <f t="shared" si="130"/>
        <v>584361.4</v>
      </c>
      <c r="AW182" s="91">
        <f t="shared" si="130"/>
        <v>342404.75</v>
      </c>
      <c r="AX182" s="91">
        <f t="shared" si="130"/>
        <v>0</v>
      </c>
      <c r="AY182" s="91">
        <f t="shared" si="130"/>
        <v>10868.3</v>
      </c>
      <c r="AZ182" s="91">
        <f t="shared" si="130"/>
        <v>12209.199999999999</v>
      </c>
      <c r="BA182" s="91">
        <f t="shared" si="130"/>
        <v>562496.30000000005</v>
      </c>
      <c r="BB182" s="91">
        <f t="shared" si="130"/>
        <v>1048148.3200000001</v>
      </c>
      <c r="BC182" s="91">
        <f t="shared" si="130"/>
        <v>72697.2</v>
      </c>
      <c r="BD182" s="91">
        <f t="shared" si="130"/>
        <v>4023738.7199999997</v>
      </c>
      <c r="BE182" s="91">
        <f t="shared" si="130"/>
        <v>104880.05</v>
      </c>
      <c r="BF182" s="91">
        <f t="shared" si="130"/>
        <v>39074804.879999995</v>
      </c>
      <c r="BG182" s="91">
        <f t="shared" si="130"/>
        <v>21903402.359999992</v>
      </c>
      <c r="BH182" s="91">
        <f t="shared" si="130"/>
        <v>3973305.2499999995</v>
      </c>
      <c r="BI182" s="91">
        <f t="shared" si="130"/>
        <v>13198097.27</v>
      </c>
    </row>
    <row r="184" spans="2:61" x14ac:dyDescent="0.25">
      <c r="L184" s="4"/>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5" tint="0.59999389629810485"/>
  </sheetPr>
  <dimension ref="A1:BI61"/>
  <sheetViews>
    <sheetView workbookViewId="0">
      <pane xSplit="4" ySplit="3" topLeftCell="AS31" activePane="bottomRight" state="frozen"/>
      <selection pane="topRight" activeCell="E1" sqref="E1"/>
      <selection pane="bottomLeft" activeCell="A4" sqref="A4"/>
      <selection pane="bottomRight" activeCell="D38" sqref="D38"/>
    </sheetView>
  </sheetViews>
  <sheetFormatPr baseColWidth="10" defaultColWidth="11.42578125" defaultRowHeight="15" x14ac:dyDescent="0.25"/>
  <cols>
    <col min="1" max="2" width="5.7109375" customWidth="1"/>
    <col min="3" max="3" width="9" customWidth="1"/>
    <col min="4" max="4" width="63.5703125" customWidth="1"/>
    <col min="5" max="58" width="16.28515625" customWidth="1"/>
    <col min="59" max="61" width="17.85546875" customWidth="1"/>
  </cols>
  <sheetData>
    <row r="1" spans="1:61" ht="26.25" x14ac:dyDescent="0.4">
      <c r="A1" s="32" t="s">
        <v>275</v>
      </c>
      <c r="B1" s="7"/>
      <c r="C1" s="7"/>
      <c r="D1" s="7"/>
    </row>
    <row r="2" spans="1:61" x14ac:dyDescent="0.25">
      <c r="A2" s="7" t="s">
        <v>854</v>
      </c>
      <c r="E2" s="45">
        <f>'Base de données pop.'!C2</f>
        <v>947</v>
      </c>
      <c r="F2" s="45">
        <f>'Base de données pop.'!C3</f>
        <v>265</v>
      </c>
      <c r="G2" s="45">
        <f>'Base de données pop.'!C4</f>
        <v>469</v>
      </c>
      <c r="H2" s="45">
        <f>'Base de données pop.'!C5</f>
        <v>439</v>
      </c>
      <c r="I2" s="45">
        <f>'Base de données pop.'!C6</f>
        <v>3728</v>
      </c>
      <c r="J2" s="45">
        <f>'Base de données pop.'!C7</f>
        <v>3345</v>
      </c>
      <c r="K2" s="45">
        <f>'Base de données pop.'!C8</f>
        <v>2652</v>
      </c>
      <c r="L2" s="45">
        <f>'Base de données pop.'!C9</f>
        <v>12479</v>
      </c>
      <c r="M2" s="45">
        <f>'Base de données pop.'!C10</f>
        <v>1359</v>
      </c>
      <c r="N2" s="45">
        <f>'Base de données pop.'!C11</f>
        <v>117</v>
      </c>
      <c r="O2" s="45">
        <f>'Base de données pop.'!C12</f>
        <v>7261</v>
      </c>
      <c r="P2" s="45">
        <f>'Base de données pop.'!C13</f>
        <v>538</v>
      </c>
      <c r="Q2" s="45">
        <f>'Base de données pop.'!C14</f>
        <v>111</v>
      </c>
      <c r="R2" s="45">
        <f>'Base de données pop.'!C15</f>
        <v>421</v>
      </c>
      <c r="S2" s="45">
        <f>'Base de données pop.'!C16</f>
        <v>346</v>
      </c>
      <c r="T2" s="45">
        <f>'Base de données pop.'!C17</f>
        <v>710</v>
      </c>
      <c r="U2" s="45">
        <f>'Base de données pop.'!C18</f>
        <v>269</v>
      </c>
      <c r="V2" s="45">
        <f>'Base de données pop.'!C19</f>
        <v>440</v>
      </c>
      <c r="W2" s="45">
        <f>'Base de données pop.'!C20</f>
        <v>3229</v>
      </c>
      <c r="X2" s="45">
        <f>'Base de données pop.'!C21</f>
        <v>310</v>
      </c>
      <c r="Y2" s="45">
        <f>'Base de données pop.'!C22</f>
        <v>1270</v>
      </c>
      <c r="Z2" s="45">
        <f>'Base de données pop.'!C23</f>
        <v>1506</v>
      </c>
      <c r="AA2" s="45">
        <f>'Base de données pop.'!C24</f>
        <v>96</v>
      </c>
      <c r="AB2" s="45">
        <f>'Base de données pop.'!C25</f>
        <v>148</v>
      </c>
      <c r="AC2" s="45">
        <f>'Base de données pop.'!C26</f>
        <v>518</v>
      </c>
      <c r="AD2" s="45">
        <f>'Base de données pop.'!C27</f>
        <v>701</v>
      </c>
      <c r="AE2" s="45">
        <f>'Base de données pop.'!C28</f>
        <v>564</v>
      </c>
      <c r="AF2" s="45">
        <f>'Base de données pop.'!C29</f>
        <v>525</v>
      </c>
      <c r="AG2" s="45">
        <f>'Base de données pop.'!C30</f>
        <v>1909</v>
      </c>
      <c r="AH2" s="45">
        <f>'Base de données pop.'!C31</f>
        <v>2580</v>
      </c>
      <c r="AI2" s="45">
        <f>'Base de données pop.'!C32</f>
        <v>222</v>
      </c>
      <c r="AJ2" s="45">
        <f>'Base de données pop.'!C33</f>
        <v>129</v>
      </c>
      <c r="AK2" s="45">
        <f>'Base de données pop.'!C34</f>
        <v>1891</v>
      </c>
      <c r="AL2" s="45">
        <f>'Base de données pop.'!C35</f>
        <v>1126</v>
      </c>
      <c r="AM2" s="45">
        <f>'Base de données pop.'!C36</f>
        <v>1225</v>
      </c>
      <c r="AN2" s="45">
        <f>'Base de données pop.'!C37</f>
        <v>117</v>
      </c>
      <c r="AO2" s="45">
        <f>'Base de données pop.'!C38</f>
        <v>1185</v>
      </c>
      <c r="AP2" s="45">
        <f>'Base de données pop.'!C39</f>
        <v>642</v>
      </c>
      <c r="AQ2" s="45">
        <f>'Base de données pop.'!C40</f>
        <v>633</v>
      </c>
      <c r="AR2" s="45">
        <f>'Base de données pop.'!C41</f>
        <v>1284</v>
      </c>
      <c r="AS2" s="45">
        <f>'Base de données pop.'!C42</f>
        <v>731</v>
      </c>
      <c r="AT2" s="45">
        <f>'Base de données pop.'!C43</f>
        <v>1016</v>
      </c>
      <c r="AU2" s="45">
        <f>'Base de données pop.'!C44</f>
        <v>304</v>
      </c>
      <c r="AV2" s="45">
        <f>'Base de données pop.'!C45</f>
        <v>2412</v>
      </c>
      <c r="AW2" s="45">
        <f>'Base de données pop.'!C46</f>
        <v>735</v>
      </c>
      <c r="AX2" s="45">
        <f>'Base de données pop.'!C47</f>
        <v>185</v>
      </c>
      <c r="AY2" s="45">
        <f>'Base de données pop.'!C48</f>
        <v>340</v>
      </c>
      <c r="AZ2" s="45">
        <f>'Base de données pop.'!C49</f>
        <v>1697</v>
      </c>
      <c r="BA2" s="45">
        <f>'Base de données pop.'!C50</f>
        <v>390</v>
      </c>
      <c r="BB2" s="45">
        <f>'Base de données pop.'!C51</f>
        <v>1073</v>
      </c>
      <c r="BC2" s="45">
        <f>'Base de données pop.'!C52</f>
        <v>184</v>
      </c>
      <c r="BD2" s="45">
        <f>'Base de données pop.'!C53</f>
        <v>6466</v>
      </c>
      <c r="BE2" s="45">
        <f>'Base de données pop.'!C54</f>
        <v>559</v>
      </c>
      <c r="BF2" s="45">
        <f>SUM(E2:BE2)</f>
        <v>73798</v>
      </c>
      <c r="BG2" s="45">
        <f>SUM(E2:W2)</f>
        <v>39125</v>
      </c>
      <c r="BH2" s="45">
        <f>SUM(X2:AJ2)</f>
        <v>10478</v>
      </c>
      <c r="BI2" s="45">
        <f>SUM(AK2:BE2)</f>
        <v>24195</v>
      </c>
    </row>
    <row r="3" spans="1:61" x14ac:dyDescent="0.25">
      <c r="E3" s="33" t="s">
        <v>56</v>
      </c>
      <c r="F3" s="33" t="s">
        <v>18</v>
      </c>
      <c r="G3" s="33" t="s">
        <v>57</v>
      </c>
      <c r="H3" s="33" t="s">
        <v>53</v>
      </c>
      <c r="I3" s="33" t="s">
        <v>33</v>
      </c>
      <c r="J3" s="33" t="s">
        <v>10</v>
      </c>
      <c r="K3" s="33" t="s">
        <v>15</v>
      </c>
      <c r="L3" s="33" t="s">
        <v>28</v>
      </c>
      <c r="M3" s="33" t="s">
        <v>42</v>
      </c>
      <c r="N3" s="33" t="s">
        <v>23</v>
      </c>
      <c r="O3" s="33" t="s">
        <v>22</v>
      </c>
      <c r="P3" s="33" t="s">
        <v>13</v>
      </c>
      <c r="Q3" s="33" t="s">
        <v>17</v>
      </c>
      <c r="R3" s="33" t="s">
        <v>43</v>
      </c>
      <c r="S3" s="33" t="s">
        <v>40</v>
      </c>
      <c r="T3" s="33" t="s">
        <v>31</v>
      </c>
      <c r="U3" s="33" t="s">
        <v>12</v>
      </c>
      <c r="V3" s="33" t="s">
        <v>59</v>
      </c>
      <c r="W3" s="33" t="s">
        <v>27</v>
      </c>
      <c r="X3" s="34" t="s">
        <v>30</v>
      </c>
      <c r="Y3" s="34" t="s">
        <v>20</v>
      </c>
      <c r="Z3" s="34" t="s">
        <v>45</v>
      </c>
      <c r="AA3" s="34" t="s">
        <v>71</v>
      </c>
      <c r="AB3" s="34" t="s">
        <v>39</v>
      </c>
      <c r="AC3" s="34" t="s">
        <v>19</v>
      </c>
      <c r="AD3" s="34" t="s">
        <v>41</v>
      </c>
      <c r="AE3" s="34" t="s">
        <v>36</v>
      </c>
      <c r="AF3" s="34" t="s">
        <v>7</v>
      </c>
      <c r="AG3" s="34" t="s">
        <v>55</v>
      </c>
      <c r="AH3" s="34" t="s">
        <v>21</v>
      </c>
      <c r="AI3" s="34" t="s">
        <v>6</v>
      </c>
      <c r="AJ3" s="34" t="s">
        <v>34</v>
      </c>
      <c r="AK3" s="35" t="s">
        <v>52</v>
      </c>
      <c r="AL3" s="35" t="s">
        <v>14</v>
      </c>
      <c r="AM3" s="35" t="s">
        <v>32</v>
      </c>
      <c r="AN3" s="35" t="s">
        <v>29</v>
      </c>
      <c r="AO3" s="35" t="s">
        <v>26</v>
      </c>
      <c r="AP3" s="35" t="s">
        <v>48</v>
      </c>
      <c r="AQ3" s="35" t="s">
        <v>44</v>
      </c>
      <c r="AR3" s="35" t="s">
        <v>37</v>
      </c>
      <c r="AS3" s="35" t="s">
        <v>51</v>
      </c>
      <c r="AT3" s="35" t="s">
        <v>8</v>
      </c>
      <c r="AU3" s="35" t="s">
        <v>24</v>
      </c>
      <c r="AV3" s="35" t="s">
        <v>9</v>
      </c>
      <c r="AW3" s="35" t="s">
        <v>62</v>
      </c>
      <c r="AX3" s="35" t="s">
        <v>46</v>
      </c>
      <c r="AY3" s="35" t="s">
        <v>35</v>
      </c>
      <c r="AZ3" s="35" t="s">
        <v>49</v>
      </c>
      <c r="BA3" s="35" t="s">
        <v>47</v>
      </c>
      <c r="BB3" s="35" t="s">
        <v>58</v>
      </c>
      <c r="BC3" s="35" t="s">
        <v>50</v>
      </c>
      <c r="BD3" s="35" t="s">
        <v>16</v>
      </c>
      <c r="BE3" s="35" t="s">
        <v>25</v>
      </c>
      <c r="BF3" s="36" t="s">
        <v>65</v>
      </c>
      <c r="BG3" s="37" t="s">
        <v>28</v>
      </c>
      <c r="BH3" s="34" t="s">
        <v>64</v>
      </c>
      <c r="BI3" s="35" t="s">
        <v>16</v>
      </c>
    </row>
    <row r="4" spans="1:61" ht="21" x14ac:dyDescent="0.35">
      <c r="A4" s="74">
        <v>1</v>
      </c>
      <c r="B4" s="74"/>
      <c r="C4" s="74"/>
      <c r="D4" s="74" t="s">
        <v>239</v>
      </c>
      <c r="E4" s="75"/>
      <c r="F4" s="75"/>
      <c r="G4" s="75"/>
      <c r="H4" s="75"/>
      <c r="I4" s="75"/>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75"/>
      <c r="BE4" s="75"/>
      <c r="BF4" s="75"/>
      <c r="BG4" s="75"/>
      <c r="BH4" s="75"/>
      <c r="BI4" s="75"/>
    </row>
    <row r="5" spans="1:61" x14ac:dyDescent="0.25">
      <c r="C5">
        <v>10</v>
      </c>
      <c r="D5" t="s">
        <v>240</v>
      </c>
      <c r="E5" s="4">
        <v>6215834.75</v>
      </c>
      <c r="F5" s="4">
        <v>1141851.18</v>
      </c>
      <c r="G5" s="4">
        <v>3560116.59</v>
      </c>
      <c r="H5" s="4">
        <v>4665729.1100000003</v>
      </c>
      <c r="I5" s="4">
        <v>15358859</v>
      </c>
      <c r="J5" s="4">
        <v>8576665.4700000007</v>
      </c>
      <c r="K5" s="4">
        <v>10901550.18</v>
      </c>
      <c r="L5" s="4">
        <v>50722063</v>
      </c>
      <c r="M5" s="4">
        <v>3552476.33</v>
      </c>
      <c r="N5" s="4">
        <v>387086.74</v>
      </c>
      <c r="O5" s="4">
        <v>18670168.030000001</v>
      </c>
      <c r="P5" s="4">
        <v>2335602.86</v>
      </c>
      <c r="Q5" s="4">
        <v>533749.43999999994</v>
      </c>
      <c r="R5" s="4">
        <v>1346191.77</v>
      </c>
      <c r="S5" s="4">
        <v>2420446.7000000002</v>
      </c>
      <c r="T5" s="4">
        <v>5477916.4500000002</v>
      </c>
      <c r="U5" s="4">
        <v>758188.35</v>
      </c>
      <c r="V5" s="4">
        <v>2180801.88</v>
      </c>
      <c r="W5" s="4">
        <v>6432633.5</v>
      </c>
      <c r="X5" s="4">
        <v>1924600</v>
      </c>
      <c r="Y5" s="4">
        <v>4480522.83</v>
      </c>
      <c r="Z5" s="4">
        <v>24040991.960000001</v>
      </c>
      <c r="AA5" s="4">
        <v>767484.1</v>
      </c>
      <c r="AB5" s="4">
        <v>1679089.31</v>
      </c>
      <c r="AC5" s="4">
        <v>3151827.65</v>
      </c>
      <c r="AD5" s="4">
        <v>2703468.09</v>
      </c>
      <c r="AE5" s="4">
        <v>2598603.84</v>
      </c>
      <c r="AF5" s="4">
        <v>4859272.7300000004</v>
      </c>
      <c r="AG5" s="4">
        <v>8453727.2599999998</v>
      </c>
      <c r="AH5" s="4">
        <v>9931261.6699999999</v>
      </c>
      <c r="AI5" s="4">
        <v>1884581.56</v>
      </c>
      <c r="AJ5" s="4">
        <v>2077662.84</v>
      </c>
      <c r="AK5" s="4">
        <v>6066530.1399999997</v>
      </c>
      <c r="AL5" s="4">
        <v>5775298.5199999996</v>
      </c>
      <c r="AM5" s="4">
        <v>5469328.1600000001</v>
      </c>
      <c r="AN5" s="4">
        <v>1688154.88</v>
      </c>
      <c r="AO5" s="4">
        <v>13922324.970000001</v>
      </c>
      <c r="AP5" s="4">
        <v>3675736.55</v>
      </c>
      <c r="AQ5" s="4">
        <v>2883653</v>
      </c>
      <c r="AR5" s="4">
        <v>11869488.51</v>
      </c>
      <c r="AS5" s="4">
        <v>2610512.23</v>
      </c>
      <c r="AT5" s="4">
        <v>4064289.31</v>
      </c>
      <c r="AU5" s="4">
        <v>3238914.92</v>
      </c>
      <c r="AV5" s="4">
        <v>5993608.2599999998</v>
      </c>
      <c r="AW5" s="4">
        <v>3392744.83</v>
      </c>
      <c r="AX5" s="4">
        <v>734999</v>
      </c>
      <c r="AY5" s="4">
        <v>2708714.28</v>
      </c>
      <c r="AZ5" s="4">
        <v>4744472.3600000003</v>
      </c>
      <c r="BA5" s="4">
        <v>2973001.33</v>
      </c>
      <c r="BB5" s="4">
        <v>4994920.1399999997</v>
      </c>
      <c r="BC5" s="4">
        <v>881392.45</v>
      </c>
      <c r="BD5" s="4">
        <v>27043126.07</v>
      </c>
      <c r="BE5" s="4">
        <v>2304845.67</v>
      </c>
      <c r="BF5" s="4">
        <f>SUM(E5:BE5)</f>
        <v>330827080.74999988</v>
      </c>
      <c r="BG5" s="4">
        <f>SUM(E5:W5)</f>
        <v>145237931.32999998</v>
      </c>
      <c r="BH5" s="4">
        <f>SUM(X5:AJ5)</f>
        <v>68553093.840000004</v>
      </c>
      <c r="BI5" s="4">
        <f>SUM(AK5:BE5)</f>
        <v>117036055.58</v>
      </c>
    </row>
    <row r="6" spans="1:61" x14ac:dyDescent="0.25">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row>
    <row r="7" spans="1:61" ht="21" x14ac:dyDescent="0.35">
      <c r="A7" s="80">
        <v>2</v>
      </c>
      <c r="B7" s="80"/>
      <c r="C7" s="80"/>
      <c r="D7" s="80" t="s">
        <v>251</v>
      </c>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row>
    <row r="8" spans="1:61" x14ac:dyDescent="0.25">
      <c r="B8" s="7"/>
      <c r="C8">
        <v>20</v>
      </c>
      <c r="D8" t="s">
        <v>252</v>
      </c>
      <c r="E8" s="4">
        <v>10597593.460000001</v>
      </c>
      <c r="F8" s="4">
        <v>2476025.2000000002</v>
      </c>
      <c r="G8" s="4">
        <v>6054411.8899999997</v>
      </c>
      <c r="H8" s="4">
        <v>4819394.95</v>
      </c>
      <c r="I8" s="4">
        <v>24955383</v>
      </c>
      <c r="J8" s="4">
        <v>24713296.989999998</v>
      </c>
      <c r="K8" s="4">
        <v>11514993.67</v>
      </c>
      <c r="L8" s="4">
        <v>146151956.09999999</v>
      </c>
      <c r="M8" s="4">
        <v>6829297.8200000003</v>
      </c>
      <c r="N8" s="4">
        <v>1044108.48</v>
      </c>
      <c r="O8" s="4">
        <v>45801119</v>
      </c>
      <c r="P8" s="4">
        <v>3495201.54</v>
      </c>
      <c r="Q8" s="4">
        <v>574956.75</v>
      </c>
      <c r="R8" s="4">
        <v>3100133.92</v>
      </c>
      <c r="S8" s="4">
        <v>4169598.16</v>
      </c>
      <c r="T8" s="4">
        <v>5269530.68</v>
      </c>
      <c r="U8" s="4">
        <v>1053712.07</v>
      </c>
      <c r="V8" s="4">
        <v>4133437.39</v>
      </c>
      <c r="W8" s="4">
        <v>17259552.27</v>
      </c>
      <c r="X8" s="4">
        <v>665836</v>
      </c>
      <c r="Y8" s="4">
        <v>10920765.789999999</v>
      </c>
      <c r="Z8" s="4">
        <v>13660696.18</v>
      </c>
      <c r="AA8" s="4">
        <v>841503</v>
      </c>
      <c r="AB8" s="4">
        <v>1355565.94</v>
      </c>
      <c r="AC8" s="4">
        <v>4501281.16</v>
      </c>
      <c r="AD8" s="4">
        <v>7319398.3799999999</v>
      </c>
      <c r="AE8" s="4">
        <v>4025148.31</v>
      </c>
      <c r="AF8" s="4">
        <v>2045263.37</v>
      </c>
      <c r="AG8" s="4">
        <v>7020295.6699999999</v>
      </c>
      <c r="AH8" s="4">
        <v>18244470.899999999</v>
      </c>
      <c r="AI8" s="4">
        <v>1796313.43</v>
      </c>
      <c r="AJ8" s="4">
        <v>1072034.6499999999</v>
      </c>
      <c r="AK8" s="4">
        <v>18843045</v>
      </c>
      <c r="AL8" s="4">
        <v>10070987.34</v>
      </c>
      <c r="AM8" s="4">
        <v>11888425.890000001</v>
      </c>
      <c r="AN8" s="4">
        <v>1619181.74</v>
      </c>
      <c r="AO8" s="4">
        <v>9669024.3300000001</v>
      </c>
      <c r="AP8" s="4">
        <v>5070636.54</v>
      </c>
      <c r="AQ8" s="4">
        <v>4144008</v>
      </c>
      <c r="AR8" s="4">
        <v>11559620.699999999</v>
      </c>
      <c r="AS8" s="4">
        <v>5697376.5700000003</v>
      </c>
      <c r="AT8" s="4">
        <v>9161039.7400000002</v>
      </c>
      <c r="AU8" s="4">
        <v>2148930.5699999998</v>
      </c>
      <c r="AV8" s="4">
        <v>13712349.01</v>
      </c>
      <c r="AW8" s="4">
        <v>6198010.5700000003</v>
      </c>
      <c r="AX8" s="4">
        <v>913998</v>
      </c>
      <c r="AY8" s="4">
        <v>2071378.69</v>
      </c>
      <c r="AZ8" s="4">
        <v>20057446.789999999</v>
      </c>
      <c r="BA8" s="4">
        <v>2088786.85</v>
      </c>
      <c r="BB8" s="4">
        <v>10822262.43</v>
      </c>
      <c r="BC8" s="4">
        <v>305132.06</v>
      </c>
      <c r="BD8" s="4">
        <v>69166529.180000007</v>
      </c>
      <c r="BE8" s="4">
        <v>4285692.38</v>
      </c>
      <c r="BF8" s="4">
        <f t="shared" ref="BF8:BF14" si="0">SUM(E8:BE8)</f>
        <v>616976138.49999988</v>
      </c>
      <c r="BG8" s="4">
        <f t="shared" ref="BG8:BG14" si="1">SUM(E8:W8)</f>
        <v>324013703.33999997</v>
      </c>
      <c r="BH8" s="4">
        <f t="shared" ref="BH8:BH14" si="2">SUM(X8:AJ8)</f>
        <v>73468572.780000016</v>
      </c>
      <c r="BI8" s="4">
        <f t="shared" ref="BI8:BI14" si="3">SUM(AK8:BE8)</f>
        <v>219493862.38</v>
      </c>
    </row>
    <row r="9" spans="1:61" x14ac:dyDescent="0.25">
      <c r="C9">
        <v>200</v>
      </c>
      <c r="D9" t="s">
        <v>253</v>
      </c>
      <c r="E9" s="4">
        <v>0</v>
      </c>
      <c r="F9" s="4">
        <v>96415.1</v>
      </c>
      <c r="G9" s="4">
        <v>204208.4</v>
      </c>
      <c r="H9" s="4">
        <v>288807.18</v>
      </c>
      <c r="I9" s="4">
        <v>770196</v>
      </c>
      <c r="J9" s="4">
        <v>1390243.5</v>
      </c>
      <c r="K9" s="4">
        <v>386006.85</v>
      </c>
      <c r="L9" s="4">
        <v>10226270.390000001</v>
      </c>
      <c r="M9" s="4">
        <v>313883.77</v>
      </c>
      <c r="N9" s="4">
        <v>78133.58</v>
      </c>
      <c r="O9" s="4">
        <v>1915537.59</v>
      </c>
      <c r="P9" s="4">
        <v>103015.62</v>
      </c>
      <c r="Q9" s="4">
        <v>537.75</v>
      </c>
      <c r="R9" s="4">
        <v>140154.57</v>
      </c>
      <c r="S9" s="4">
        <v>61278.31</v>
      </c>
      <c r="T9" s="4">
        <v>224663.18</v>
      </c>
      <c r="U9" s="4">
        <v>264819.38</v>
      </c>
      <c r="V9" s="4">
        <v>293780.13</v>
      </c>
      <c r="W9" s="4">
        <v>1439741.95</v>
      </c>
      <c r="X9" s="4">
        <v>0</v>
      </c>
      <c r="Y9" s="4">
        <v>-43502.31</v>
      </c>
      <c r="Z9" s="4">
        <v>5139268.8499999996</v>
      </c>
      <c r="AA9" s="4">
        <v>66448.5</v>
      </c>
      <c r="AB9" s="4">
        <v>30930.55</v>
      </c>
      <c r="AC9" s="4">
        <v>360279.41</v>
      </c>
      <c r="AD9" s="4">
        <v>146295.12</v>
      </c>
      <c r="AE9" s="4">
        <v>20883.599999999999</v>
      </c>
      <c r="AF9" s="4">
        <v>177481.53</v>
      </c>
      <c r="AG9" s="4">
        <v>1236141.22</v>
      </c>
      <c r="AH9" s="4">
        <v>774396.68</v>
      </c>
      <c r="AI9" s="4">
        <v>607793.76</v>
      </c>
      <c r="AJ9" s="4">
        <v>60243.5</v>
      </c>
      <c r="AK9" s="4">
        <v>149235.53</v>
      </c>
      <c r="AL9" s="4">
        <v>400259.22</v>
      </c>
      <c r="AM9" s="4">
        <v>373344.66</v>
      </c>
      <c r="AN9" s="4">
        <v>25435.59</v>
      </c>
      <c r="AO9" s="4">
        <v>1045617.86</v>
      </c>
      <c r="AP9" s="4">
        <v>356679.72</v>
      </c>
      <c r="AQ9" s="4">
        <v>115182</v>
      </c>
      <c r="AR9" s="4">
        <v>779647.5</v>
      </c>
      <c r="AS9" s="4">
        <v>578207.18000000005</v>
      </c>
      <c r="AT9" s="4">
        <v>304650.15999999997</v>
      </c>
      <c r="AU9" s="4">
        <v>41809.15</v>
      </c>
      <c r="AV9" s="4">
        <v>169682.91</v>
      </c>
      <c r="AW9" s="4">
        <v>96698.8</v>
      </c>
      <c r="AX9" s="4">
        <v>67075</v>
      </c>
      <c r="AY9" s="4">
        <v>124398.05</v>
      </c>
      <c r="AZ9" s="4">
        <v>1017304</v>
      </c>
      <c r="BA9" s="4">
        <v>47647.15</v>
      </c>
      <c r="BB9" s="4">
        <v>547198.9</v>
      </c>
      <c r="BC9" s="4">
        <v>81146.8</v>
      </c>
      <c r="BD9" s="4">
        <v>4206691.96</v>
      </c>
      <c r="BE9" s="4">
        <v>275797.33</v>
      </c>
      <c r="BF9" s="4">
        <f t="shared" si="0"/>
        <v>37578063.129999995</v>
      </c>
      <c r="BG9" s="4">
        <f t="shared" si="1"/>
        <v>18197693.25</v>
      </c>
      <c r="BH9" s="4">
        <f t="shared" si="2"/>
        <v>8576660.4100000001</v>
      </c>
      <c r="BI9" s="4">
        <f t="shared" si="3"/>
        <v>10803709.470000001</v>
      </c>
    </row>
    <row r="10" spans="1:61" x14ac:dyDescent="0.25">
      <c r="C10">
        <v>201</v>
      </c>
      <c r="D10" t="s">
        <v>254</v>
      </c>
      <c r="E10" s="4">
        <v>5748056.3600000003</v>
      </c>
      <c r="F10" s="4">
        <v>308700</v>
      </c>
      <c r="G10" s="4">
        <v>140800</v>
      </c>
      <c r="H10" s="4">
        <v>252741.72</v>
      </c>
      <c r="I10" s="4">
        <v>5587130</v>
      </c>
      <c r="J10" s="4">
        <v>6015550</v>
      </c>
      <c r="K10" s="4">
        <v>390000</v>
      </c>
      <c r="L10" s="4">
        <v>37051659</v>
      </c>
      <c r="M10" s="4">
        <v>267000</v>
      </c>
      <c r="N10" s="4">
        <v>0</v>
      </c>
      <c r="O10" s="4">
        <v>16290985.550000001</v>
      </c>
      <c r="P10" s="4">
        <v>1214136.27</v>
      </c>
      <c r="Q10" s="4">
        <v>120408.18</v>
      </c>
      <c r="R10" s="4">
        <v>0</v>
      </c>
      <c r="S10" s="4">
        <v>2979081.9</v>
      </c>
      <c r="T10" s="4">
        <v>0</v>
      </c>
      <c r="U10" s="4">
        <v>168291.86</v>
      </c>
      <c r="V10" s="4">
        <v>235989.23</v>
      </c>
      <c r="W10" s="4">
        <v>2545622.62</v>
      </c>
      <c r="X10" s="4">
        <v>405605</v>
      </c>
      <c r="Y10" s="4">
        <v>1490285.95</v>
      </c>
      <c r="Z10" s="4">
        <v>2640000</v>
      </c>
      <c r="AA10" s="4">
        <v>0</v>
      </c>
      <c r="AB10" s="4">
        <v>12500</v>
      </c>
      <c r="AC10" s="4">
        <v>1235051.02</v>
      </c>
      <c r="AD10" s="4">
        <v>-22825.81</v>
      </c>
      <c r="AE10" s="4">
        <v>587125.71</v>
      </c>
      <c r="AF10" s="4">
        <v>490796.4</v>
      </c>
      <c r="AG10" s="4">
        <v>876760.84</v>
      </c>
      <c r="AH10" s="4">
        <v>1234262.1499999999</v>
      </c>
      <c r="AI10" s="4">
        <v>242085.96</v>
      </c>
      <c r="AJ10" s="4">
        <v>148300</v>
      </c>
      <c r="AK10" s="4">
        <v>496152.57</v>
      </c>
      <c r="AL10" s="4">
        <v>573216.67000000004</v>
      </c>
      <c r="AM10" s="4">
        <v>230143.03</v>
      </c>
      <c r="AN10" s="4">
        <v>0</v>
      </c>
      <c r="AO10" s="4">
        <v>0</v>
      </c>
      <c r="AP10" s="4">
        <v>102400</v>
      </c>
      <c r="AQ10" s="4">
        <v>536240</v>
      </c>
      <c r="AR10" s="4">
        <v>1050</v>
      </c>
      <c r="AS10" s="4">
        <v>249777.17</v>
      </c>
      <c r="AT10" s="4">
        <v>294313</v>
      </c>
      <c r="AU10" s="4">
        <v>19300</v>
      </c>
      <c r="AV10" s="4">
        <v>0</v>
      </c>
      <c r="AW10" s="4">
        <v>666341.01</v>
      </c>
      <c r="AX10" s="4">
        <v>238.5</v>
      </c>
      <c r="AY10" s="4">
        <v>0</v>
      </c>
      <c r="AZ10" s="4">
        <v>999818.38</v>
      </c>
      <c r="BA10" s="4">
        <v>1162137.02</v>
      </c>
      <c r="BB10" s="4">
        <v>2681903.5299999998</v>
      </c>
      <c r="BC10" s="4">
        <v>0</v>
      </c>
      <c r="BD10" s="4">
        <v>10280540</v>
      </c>
      <c r="BE10" s="4">
        <v>185450.16</v>
      </c>
      <c r="BF10" s="4">
        <f t="shared" si="0"/>
        <v>107135120.95</v>
      </c>
      <c r="BG10" s="4">
        <f t="shared" si="1"/>
        <v>79316152.690000013</v>
      </c>
      <c r="BH10" s="4">
        <f t="shared" si="2"/>
        <v>9339947.2200000025</v>
      </c>
      <c r="BI10" s="4">
        <f t="shared" si="3"/>
        <v>18479021.039999999</v>
      </c>
    </row>
    <row r="11" spans="1:61" x14ac:dyDescent="0.25">
      <c r="C11">
        <v>2016</v>
      </c>
      <c r="D11" t="s">
        <v>269</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4">
        <v>0</v>
      </c>
      <c r="AG11" s="4">
        <v>0</v>
      </c>
      <c r="AH11" s="4">
        <v>0</v>
      </c>
      <c r="AI11" s="4">
        <v>0</v>
      </c>
      <c r="AJ11" s="4">
        <v>0</v>
      </c>
      <c r="AK11" s="4">
        <v>0</v>
      </c>
      <c r="AL11" s="4">
        <v>0</v>
      </c>
      <c r="AM11" s="4">
        <v>0</v>
      </c>
      <c r="AN11" s="4">
        <v>0</v>
      </c>
      <c r="AO11" s="4">
        <v>0</v>
      </c>
      <c r="AP11" s="4">
        <v>0</v>
      </c>
      <c r="AQ11" s="4">
        <v>0</v>
      </c>
      <c r="AR11" s="4">
        <v>0</v>
      </c>
      <c r="AS11" s="4">
        <v>0</v>
      </c>
      <c r="AT11" s="4">
        <v>0</v>
      </c>
      <c r="AU11" s="4">
        <v>0</v>
      </c>
      <c r="AV11" s="4">
        <v>0</v>
      </c>
      <c r="AW11" s="4">
        <v>0</v>
      </c>
      <c r="AX11" s="4">
        <v>0</v>
      </c>
      <c r="AY11" s="4">
        <v>0</v>
      </c>
      <c r="AZ11" s="4">
        <v>0</v>
      </c>
      <c r="BA11" s="4">
        <v>0</v>
      </c>
      <c r="BB11" s="4">
        <v>0</v>
      </c>
      <c r="BC11" s="4">
        <v>0</v>
      </c>
      <c r="BD11" s="4">
        <v>0</v>
      </c>
      <c r="BE11" s="4">
        <v>0</v>
      </c>
      <c r="BF11" s="4">
        <f t="shared" si="0"/>
        <v>0</v>
      </c>
      <c r="BG11" s="4">
        <f t="shared" si="1"/>
        <v>0</v>
      </c>
      <c r="BH11" s="4">
        <f t="shared" si="2"/>
        <v>0</v>
      </c>
      <c r="BI11" s="4">
        <f t="shared" si="3"/>
        <v>0</v>
      </c>
    </row>
    <row r="12" spans="1:61" x14ac:dyDescent="0.25">
      <c r="C12">
        <v>206</v>
      </c>
      <c r="D12" t="s">
        <v>257</v>
      </c>
      <c r="E12" s="4">
        <v>4604400</v>
      </c>
      <c r="F12" s="4">
        <v>2069199.6</v>
      </c>
      <c r="G12" s="4">
        <v>5177800</v>
      </c>
      <c r="H12" s="4">
        <v>3890756.96</v>
      </c>
      <c r="I12" s="4">
        <v>17756300</v>
      </c>
      <c r="J12" s="4">
        <v>16190550</v>
      </c>
      <c r="K12" s="4">
        <v>9785495.1300000008</v>
      </c>
      <c r="L12" s="4">
        <v>95091195.150000006</v>
      </c>
      <c r="M12" s="4">
        <v>6134829.75</v>
      </c>
      <c r="N12" s="4">
        <v>780304.9</v>
      </c>
      <c r="O12" s="4">
        <v>25935350.149999999</v>
      </c>
      <c r="P12" s="4">
        <v>1776635.35</v>
      </c>
      <c r="Q12" s="4">
        <v>376450</v>
      </c>
      <c r="R12" s="4">
        <v>2943627.35</v>
      </c>
      <c r="S12" s="4">
        <v>1060911</v>
      </c>
      <c r="T12" s="4">
        <v>4871800</v>
      </c>
      <c r="U12" s="4">
        <v>504350</v>
      </c>
      <c r="V12" s="4">
        <v>3263161.06</v>
      </c>
      <c r="W12" s="4">
        <v>12462575</v>
      </c>
      <c r="X12" s="4">
        <v>196736</v>
      </c>
      <c r="Y12" s="4">
        <v>9245800</v>
      </c>
      <c r="Z12" s="4">
        <v>700000</v>
      </c>
      <c r="AA12" s="4">
        <v>768670.9</v>
      </c>
      <c r="AB12" s="4">
        <v>1175000</v>
      </c>
      <c r="AC12" s="4">
        <v>2701405</v>
      </c>
      <c r="AD12" s="4">
        <v>7038135.8499999996</v>
      </c>
      <c r="AE12" s="4">
        <v>3142600</v>
      </c>
      <c r="AF12" s="4">
        <v>490800</v>
      </c>
      <c r="AG12" s="4">
        <v>4291400</v>
      </c>
      <c r="AH12" s="4">
        <v>14869135.15</v>
      </c>
      <c r="AI12" s="4">
        <v>832150.62</v>
      </c>
      <c r="AJ12" s="4">
        <v>823610</v>
      </c>
      <c r="AK12" s="4">
        <v>17359320</v>
      </c>
      <c r="AL12" s="4">
        <v>8587000</v>
      </c>
      <c r="AM12" s="4">
        <v>10303874.300000001</v>
      </c>
      <c r="AN12" s="4">
        <v>1584400</v>
      </c>
      <c r="AO12" s="4">
        <v>8421550</v>
      </c>
      <c r="AP12" s="4">
        <v>4601800</v>
      </c>
      <c r="AQ12" s="4">
        <v>3432745</v>
      </c>
      <c r="AR12" s="4">
        <v>10477846.050000001</v>
      </c>
      <c r="AS12" s="4">
        <v>4848271.0999999996</v>
      </c>
      <c r="AT12" s="4">
        <v>8332909.5</v>
      </c>
      <c r="AU12" s="4">
        <v>1806665</v>
      </c>
      <c r="AV12" s="4">
        <v>12929000</v>
      </c>
      <c r="AW12" s="4">
        <v>5224542</v>
      </c>
      <c r="AX12" s="4">
        <v>637770</v>
      </c>
      <c r="AY12" s="4">
        <v>1878500</v>
      </c>
      <c r="AZ12" s="4">
        <v>17770972</v>
      </c>
      <c r="BA12" s="4">
        <v>860500</v>
      </c>
      <c r="BB12" s="4">
        <v>7129460</v>
      </c>
      <c r="BC12" s="4">
        <v>138745.70000000001</v>
      </c>
      <c r="BD12" s="4">
        <v>52417022</v>
      </c>
      <c r="BE12" s="4">
        <v>3579778.15</v>
      </c>
      <c r="BF12" s="4">
        <f t="shared" si="0"/>
        <v>443273805.72000003</v>
      </c>
      <c r="BG12" s="4">
        <f t="shared" si="1"/>
        <v>214675691.40000001</v>
      </c>
      <c r="BH12" s="4">
        <f t="shared" si="2"/>
        <v>46275443.519999996</v>
      </c>
      <c r="BI12" s="4">
        <f t="shared" si="3"/>
        <v>182322670.79999998</v>
      </c>
    </row>
    <row r="13" spans="1:61" x14ac:dyDescent="0.25">
      <c r="C13">
        <v>29</v>
      </c>
      <c r="D13" t="s">
        <v>260</v>
      </c>
      <c r="E13" s="4">
        <v>4591168.79</v>
      </c>
      <c r="F13" s="4">
        <v>489947.82</v>
      </c>
      <c r="G13" s="4">
        <v>242257.76</v>
      </c>
      <c r="H13" s="4">
        <v>2478153.36</v>
      </c>
      <c r="I13" s="4">
        <v>10879188</v>
      </c>
      <c r="J13" s="4">
        <v>7466060.8099999996</v>
      </c>
      <c r="K13" s="4">
        <v>9902110.8699999992</v>
      </c>
      <c r="L13" s="4">
        <v>31445698.129999999</v>
      </c>
      <c r="M13" s="4">
        <v>4109993.71</v>
      </c>
      <c r="N13" s="4">
        <v>592146.18000000005</v>
      </c>
      <c r="O13" s="4">
        <v>7719981.0300000003</v>
      </c>
      <c r="P13" s="4">
        <v>1516663.51</v>
      </c>
      <c r="Q13" s="4">
        <v>218655.59</v>
      </c>
      <c r="R13" s="4">
        <v>841563.2</v>
      </c>
      <c r="S13" s="4">
        <v>1246092.5900000001</v>
      </c>
      <c r="T13" s="4">
        <v>2986346.35</v>
      </c>
      <c r="U13" s="4">
        <v>778606.28</v>
      </c>
      <c r="V13" s="4">
        <v>732922.32</v>
      </c>
      <c r="W13" s="4">
        <v>5689759.8499999996</v>
      </c>
      <c r="X13" s="4">
        <v>3329459</v>
      </c>
      <c r="Y13" s="4">
        <v>4003307.67</v>
      </c>
      <c r="Z13" s="4">
        <v>18646639.780000001</v>
      </c>
      <c r="AA13" s="4">
        <v>783430.4</v>
      </c>
      <c r="AB13" s="4">
        <v>1756230.92</v>
      </c>
      <c r="AC13" s="4">
        <v>1653734.19</v>
      </c>
      <c r="AD13" s="4">
        <v>1688217.67</v>
      </c>
      <c r="AE13" s="4">
        <v>2850990.03</v>
      </c>
      <c r="AF13" s="4">
        <v>7189603.1100000003</v>
      </c>
      <c r="AG13" s="4">
        <v>9329240.9800000004</v>
      </c>
      <c r="AH13" s="4">
        <v>9305592.6500000004</v>
      </c>
      <c r="AI13" s="4">
        <v>2109625.85</v>
      </c>
      <c r="AJ13" s="4">
        <v>2150451.9900000002</v>
      </c>
      <c r="AK13" s="4">
        <v>4123303.76</v>
      </c>
      <c r="AL13" s="4">
        <v>6031579.1799999997</v>
      </c>
      <c r="AM13" s="4">
        <v>3517376.03</v>
      </c>
      <c r="AN13" s="4">
        <v>1354915.12</v>
      </c>
      <c r="AO13" s="4">
        <v>20716013.460000001</v>
      </c>
      <c r="AP13" s="4">
        <v>2862488.41</v>
      </c>
      <c r="AQ13" s="4">
        <v>2624412</v>
      </c>
      <c r="AR13" s="4">
        <v>11016037.99</v>
      </c>
      <c r="AS13" s="4">
        <v>1866267.79</v>
      </c>
      <c r="AT13" s="4">
        <v>1689247.36</v>
      </c>
      <c r="AU13" s="4">
        <v>3800407.95</v>
      </c>
      <c r="AV13" s="4">
        <v>7596912.5</v>
      </c>
      <c r="AW13" s="4">
        <v>2726265.09</v>
      </c>
      <c r="AX13" s="4">
        <v>645900</v>
      </c>
      <c r="AY13" s="4">
        <v>1563470.96</v>
      </c>
      <c r="AZ13" s="4">
        <v>3415164.47</v>
      </c>
      <c r="BA13" s="4">
        <v>3310776.98</v>
      </c>
      <c r="BB13" s="4">
        <v>4660911.91</v>
      </c>
      <c r="BC13" s="4">
        <v>1281823.19</v>
      </c>
      <c r="BD13" s="4">
        <v>10716577.42</v>
      </c>
      <c r="BE13" s="4">
        <v>1565660.99</v>
      </c>
      <c r="BF13" s="4">
        <f t="shared" si="0"/>
        <v>255809352.95000002</v>
      </c>
      <c r="BG13" s="4">
        <f t="shared" si="1"/>
        <v>93927316.149999991</v>
      </c>
      <c r="BH13" s="4">
        <f t="shared" si="2"/>
        <v>64796524.240000002</v>
      </c>
      <c r="BI13" s="4">
        <f t="shared" si="3"/>
        <v>97085512.559999987</v>
      </c>
    </row>
    <row r="14" spans="1:61" x14ac:dyDescent="0.25">
      <c r="C14">
        <v>299</v>
      </c>
      <c r="D14" t="s">
        <v>574</v>
      </c>
      <c r="E14" s="83">
        <v>2069048.43</v>
      </c>
      <c r="F14" s="83">
        <v>127490.92</v>
      </c>
      <c r="G14" s="83">
        <v>-139643.88</v>
      </c>
      <c r="H14" s="83">
        <v>1172311.1200000001</v>
      </c>
      <c r="I14" s="83">
        <v>4902188</v>
      </c>
      <c r="J14" s="83">
        <v>2114950.44</v>
      </c>
      <c r="K14" s="83">
        <v>2918225.13</v>
      </c>
      <c r="L14" s="83">
        <v>3641639.15</v>
      </c>
      <c r="M14" s="83">
        <v>1078367.83</v>
      </c>
      <c r="N14" s="83">
        <v>545419.93000000005</v>
      </c>
      <c r="O14" s="49">
        <v>328580.07</v>
      </c>
      <c r="P14" s="83">
        <v>870195.9</v>
      </c>
      <c r="Q14" s="83">
        <v>55492.12</v>
      </c>
      <c r="R14" s="83">
        <v>251856.94</v>
      </c>
      <c r="S14" s="83">
        <v>-235158.55</v>
      </c>
      <c r="T14" s="83">
        <v>969710.25</v>
      </c>
      <c r="U14" s="83">
        <v>369776.03</v>
      </c>
      <c r="V14" s="83">
        <v>230388.43</v>
      </c>
      <c r="W14" s="83">
        <v>1701670.13</v>
      </c>
      <c r="X14" s="83">
        <v>2382632</v>
      </c>
      <c r="Y14" s="83">
        <v>3013602.85</v>
      </c>
      <c r="Z14" s="83">
        <v>11642204.380000001</v>
      </c>
      <c r="AA14" s="83">
        <v>359527.63</v>
      </c>
      <c r="AB14" s="83">
        <v>1093652.3799999999</v>
      </c>
      <c r="AC14" s="83">
        <v>819609.84</v>
      </c>
      <c r="AD14" s="83">
        <v>715356.11</v>
      </c>
      <c r="AE14" s="83">
        <v>1176011.99</v>
      </c>
      <c r="AF14" s="83">
        <v>4624157.3</v>
      </c>
      <c r="AG14" s="83">
        <v>3981805.73</v>
      </c>
      <c r="AH14" s="83">
        <v>1901857.74</v>
      </c>
      <c r="AI14" s="83">
        <v>1126620.6000000001</v>
      </c>
      <c r="AJ14" s="83">
        <v>1358453.23</v>
      </c>
      <c r="AK14" s="83">
        <v>745205.46</v>
      </c>
      <c r="AL14" s="83">
        <v>3388985.41</v>
      </c>
      <c r="AM14" s="83">
        <v>2634789.11</v>
      </c>
      <c r="AN14" s="83">
        <v>513721.09</v>
      </c>
      <c r="AO14" s="83">
        <v>6934776.4000000004</v>
      </c>
      <c r="AP14" s="83">
        <v>1859200.25</v>
      </c>
      <c r="AQ14" s="83">
        <v>1247136</v>
      </c>
      <c r="AR14" s="83">
        <v>7568228.8700000001</v>
      </c>
      <c r="AS14" s="83">
        <v>361872.32</v>
      </c>
      <c r="AT14" s="83">
        <v>537738.39</v>
      </c>
      <c r="AU14" s="83">
        <v>2993715.14</v>
      </c>
      <c r="AV14" s="83">
        <v>4999580.3</v>
      </c>
      <c r="AW14" s="83">
        <v>576147.78</v>
      </c>
      <c r="AX14" s="83">
        <v>168122</v>
      </c>
      <c r="AY14" s="83">
        <v>592723.38</v>
      </c>
      <c r="AZ14" s="83">
        <v>2121290.9</v>
      </c>
      <c r="BA14" s="83">
        <v>1474378.81</v>
      </c>
      <c r="BB14" s="83">
        <v>2353345.9300000002</v>
      </c>
      <c r="BC14" s="83">
        <v>772481.9</v>
      </c>
      <c r="BD14" s="83">
        <v>1169070.55</v>
      </c>
      <c r="BE14" s="83">
        <v>685302.43</v>
      </c>
      <c r="BF14" s="4">
        <f t="shared" si="0"/>
        <v>100865812.59000003</v>
      </c>
      <c r="BG14" s="4">
        <f t="shared" si="1"/>
        <v>22972508.390000001</v>
      </c>
      <c r="BH14" s="4">
        <f t="shared" si="2"/>
        <v>34195491.779999994</v>
      </c>
      <c r="BI14" s="4">
        <f t="shared" si="3"/>
        <v>43697812.420000002</v>
      </c>
    </row>
    <row r="15" spans="1:61" x14ac:dyDescent="0.25">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row>
    <row r="16" spans="1:61" ht="21" x14ac:dyDescent="0.35">
      <c r="A16" s="64">
        <v>3</v>
      </c>
      <c r="B16" s="64"/>
      <c r="C16" s="64"/>
      <c r="D16" s="64" t="s">
        <v>60</v>
      </c>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c r="AO16" s="65"/>
      <c r="AP16" s="65"/>
      <c r="AQ16" s="65"/>
      <c r="AR16" s="65"/>
      <c r="AS16" s="65"/>
      <c r="AT16" s="65"/>
      <c r="AU16" s="65"/>
      <c r="AV16" s="65"/>
      <c r="AW16" s="65"/>
      <c r="AX16" s="65"/>
      <c r="AY16" s="65"/>
      <c r="AZ16" s="65"/>
      <c r="BA16" s="65"/>
      <c r="BB16" s="65"/>
      <c r="BC16" s="65"/>
      <c r="BD16" s="65"/>
      <c r="BE16" s="65"/>
      <c r="BF16" s="65"/>
      <c r="BG16" s="65"/>
      <c r="BH16" s="65"/>
      <c r="BI16" s="65"/>
    </row>
    <row r="17" spans="2:61" x14ac:dyDescent="0.25">
      <c r="B17" s="7"/>
      <c r="C17">
        <v>30</v>
      </c>
      <c r="D17" t="s">
        <v>276</v>
      </c>
      <c r="E17" s="4">
        <v>450690.3</v>
      </c>
      <c r="F17" s="4">
        <v>53889.4</v>
      </c>
      <c r="G17" s="4">
        <v>132393.1</v>
      </c>
      <c r="H17" s="4">
        <v>258390.39999999999</v>
      </c>
      <c r="I17" s="4">
        <v>2657324</v>
      </c>
      <c r="J17" s="4">
        <v>3047621.84</v>
      </c>
      <c r="K17" s="4">
        <v>1079335.8500000001</v>
      </c>
      <c r="L17" s="4">
        <v>24161377.41</v>
      </c>
      <c r="M17" s="4">
        <v>1263436.25</v>
      </c>
      <c r="N17" s="4">
        <v>54332.7</v>
      </c>
      <c r="O17" s="4">
        <v>3750775.35</v>
      </c>
      <c r="P17" s="4">
        <v>171867.15</v>
      </c>
      <c r="Q17" s="4">
        <v>69241.5</v>
      </c>
      <c r="R17" s="4">
        <v>235485.55</v>
      </c>
      <c r="S17" s="4">
        <v>146114.39000000001</v>
      </c>
      <c r="T17" s="4">
        <v>257989.9</v>
      </c>
      <c r="U17" s="4">
        <v>119902.39999999999</v>
      </c>
      <c r="V17" s="4">
        <v>352193.45</v>
      </c>
      <c r="W17" s="4">
        <v>2297351.7000000002</v>
      </c>
      <c r="X17" s="4">
        <v>91997</v>
      </c>
      <c r="Y17" s="4">
        <v>1314388.25</v>
      </c>
      <c r="Z17" s="4">
        <v>17014739.890000001</v>
      </c>
      <c r="AA17" s="4">
        <v>81630.3</v>
      </c>
      <c r="AB17" s="4">
        <v>67663.399999999994</v>
      </c>
      <c r="AC17" s="4">
        <v>380712.95</v>
      </c>
      <c r="AD17" s="4">
        <v>577583.19999999995</v>
      </c>
      <c r="AE17" s="4">
        <v>337240.4</v>
      </c>
      <c r="AF17" s="4">
        <v>320113.7</v>
      </c>
      <c r="AG17" s="4">
        <v>996104.95</v>
      </c>
      <c r="AH17" s="4">
        <v>1786409.6</v>
      </c>
      <c r="AI17" s="4">
        <v>113364</v>
      </c>
      <c r="AJ17" s="4">
        <v>64499.6</v>
      </c>
      <c r="AK17" s="4">
        <v>748307.08</v>
      </c>
      <c r="AL17" s="4">
        <v>657667</v>
      </c>
      <c r="AM17" s="4">
        <v>488008.4</v>
      </c>
      <c r="AN17" s="4">
        <v>70210.33</v>
      </c>
      <c r="AO17" s="4">
        <v>1366767.95</v>
      </c>
      <c r="AP17" s="4">
        <v>782553.45</v>
      </c>
      <c r="AQ17" s="4">
        <v>215792</v>
      </c>
      <c r="AR17" s="4">
        <v>1185466</v>
      </c>
      <c r="AS17" s="4">
        <v>408302</v>
      </c>
      <c r="AT17" s="4">
        <v>478325.85</v>
      </c>
      <c r="AU17" s="4">
        <v>112105.3</v>
      </c>
      <c r="AV17" s="4">
        <v>1009880.65</v>
      </c>
      <c r="AW17" s="4">
        <v>455851.81</v>
      </c>
      <c r="AX17" s="4">
        <v>89789</v>
      </c>
      <c r="AY17" s="4">
        <v>145853.9</v>
      </c>
      <c r="AZ17" s="4">
        <v>859063.05</v>
      </c>
      <c r="BA17" s="4">
        <v>134115.22</v>
      </c>
      <c r="BB17" s="4">
        <v>1296398.55</v>
      </c>
      <c r="BC17" s="4">
        <v>73305.88</v>
      </c>
      <c r="BD17" s="4">
        <v>10605254.83</v>
      </c>
      <c r="BE17" s="4">
        <v>314902.15000000002</v>
      </c>
      <c r="BF17" s="4">
        <f t="shared" ref="BF17:BF34" si="4">SUM(E17:BE17)</f>
        <v>85204080.280000001</v>
      </c>
      <c r="BG17" s="4">
        <f t="shared" ref="BG17:BG34" si="5">SUM(E17:W17)</f>
        <v>40559712.640000001</v>
      </c>
      <c r="BH17" s="4">
        <f t="shared" ref="BH17:BH34" si="6">SUM(X17:AJ17)</f>
        <v>23146447.239999998</v>
      </c>
      <c r="BI17" s="4">
        <f t="shared" ref="BI17:BI34" si="7">SUM(AK17:BE17)</f>
        <v>21497920.399999999</v>
      </c>
    </row>
    <row r="18" spans="2:61" x14ac:dyDescent="0.25">
      <c r="C18">
        <v>31</v>
      </c>
      <c r="D18" t="s">
        <v>277</v>
      </c>
      <c r="E18" s="4">
        <v>549823.39</v>
      </c>
      <c r="F18" s="4">
        <v>254518.51</v>
      </c>
      <c r="G18" s="4">
        <v>248418.09</v>
      </c>
      <c r="H18" s="4">
        <v>410875.58</v>
      </c>
      <c r="I18" s="4">
        <v>3068964</v>
      </c>
      <c r="J18" s="4">
        <v>2179901.38</v>
      </c>
      <c r="K18" s="4">
        <v>1530298.89</v>
      </c>
      <c r="L18" s="4">
        <v>22441748.620000001</v>
      </c>
      <c r="M18" s="4">
        <v>2000847.41</v>
      </c>
      <c r="N18" s="4">
        <v>80647.23</v>
      </c>
      <c r="O18" s="4">
        <v>4072112.65</v>
      </c>
      <c r="P18" s="4">
        <v>353807.63</v>
      </c>
      <c r="Q18" s="4">
        <v>97542.23</v>
      </c>
      <c r="R18" s="4">
        <v>225879.16</v>
      </c>
      <c r="S18" s="4">
        <v>258484.23</v>
      </c>
      <c r="T18" s="4">
        <v>663454.38</v>
      </c>
      <c r="U18" s="4">
        <v>223295.85</v>
      </c>
      <c r="V18" s="4">
        <v>633090.27</v>
      </c>
      <c r="W18" s="4">
        <v>1937241.99</v>
      </c>
      <c r="X18" s="4">
        <v>484719</v>
      </c>
      <c r="Y18" s="4">
        <v>1120838.97</v>
      </c>
      <c r="Z18" s="4">
        <v>2551755.75</v>
      </c>
      <c r="AA18" s="4">
        <v>159472.39000000001</v>
      </c>
      <c r="AB18" s="4">
        <v>203627.18</v>
      </c>
      <c r="AC18" s="4">
        <v>806435.3</v>
      </c>
      <c r="AD18" s="4">
        <v>968075.99</v>
      </c>
      <c r="AE18" s="4">
        <v>951096.62</v>
      </c>
      <c r="AF18" s="4">
        <v>920038.68</v>
      </c>
      <c r="AG18" s="4">
        <v>1931402.26</v>
      </c>
      <c r="AH18" s="4">
        <v>2541619.29</v>
      </c>
      <c r="AI18" s="4">
        <v>385034.32</v>
      </c>
      <c r="AJ18" s="4">
        <v>168436.82</v>
      </c>
      <c r="AK18" s="4">
        <v>1046838.46</v>
      </c>
      <c r="AL18" s="4">
        <v>1139293</v>
      </c>
      <c r="AM18" s="4">
        <v>1125481.8700000001</v>
      </c>
      <c r="AN18" s="4">
        <v>168227.13</v>
      </c>
      <c r="AO18" s="4">
        <v>1909042.09</v>
      </c>
      <c r="AP18" s="4">
        <v>673337.42</v>
      </c>
      <c r="AQ18" s="4">
        <v>410167</v>
      </c>
      <c r="AR18" s="4">
        <v>1477711.29</v>
      </c>
      <c r="AS18" s="4">
        <v>544709.1</v>
      </c>
      <c r="AT18" s="4">
        <v>749388.76</v>
      </c>
      <c r="AU18" s="4">
        <v>328578.21000000002</v>
      </c>
      <c r="AV18" s="4">
        <v>1375544.67</v>
      </c>
      <c r="AW18" s="4">
        <v>609520.12</v>
      </c>
      <c r="AX18" s="4">
        <v>110413.71</v>
      </c>
      <c r="AY18" s="4">
        <v>371740.68</v>
      </c>
      <c r="AZ18" s="4">
        <v>1160379.23</v>
      </c>
      <c r="BA18" s="4">
        <v>377914.53</v>
      </c>
      <c r="BB18" s="4">
        <v>1139781.6399999999</v>
      </c>
      <c r="BC18" s="4">
        <v>133571.25</v>
      </c>
      <c r="BD18" s="4">
        <v>6516264.1500000004</v>
      </c>
      <c r="BE18" s="4">
        <v>366139.94</v>
      </c>
      <c r="BF18" s="4">
        <f t="shared" si="4"/>
        <v>76157548.310000002</v>
      </c>
      <c r="BG18" s="4">
        <f t="shared" si="5"/>
        <v>41230951.490000002</v>
      </c>
      <c r="BH18" s="4">
        <f t="shared" si="6"/>
        <v>13192552.57</v>
      </c>
      <c r="BI18" s="4">
        <f t="shared" si="7"/>
        <v>21734044.250000004</v>
      </c>
    </row>
    <row r="19" spans="2:61" x14ac:dyDescent="0.25">
      <c r="C19">
        <v>3180</v>
      </c>
      <c r="D19" t="s">
        <v>96</v>
      </c>
      <c r="E19" s="4">
        <v>-53000</v>
      </c>
      <c r="F19" s="4">
        <v>-3146.94</v>
      </c>
      <c r="G19" s="4">
        <v>0</v>
      </c>
      <c r="H19" s="4">
        <v>0</v>
      </c>
      <c r="I19" s="4">
        <v>207963</v>
      </c>
      <c r="J19" s="4">
        <v>34000</v>
      </c>
      <c r="K19" s="4">
        <v>-8652.44</v>
      </c>
      <c r="L19" s="4">
        <v>-101700</v>
      </c>
      <c r="M19" s="4">
        <v>-737.84</v>
      </c>
      <c r="N19" s="4">
        <v>0</v>
      </c>
      <c r="O19" s="4">
        <v>44244</v>
      </c>
      <c r="P19" s="4">
        <v>0</v>
      </c>
      <c r="Q19" s="4">
        <v>0</v>
      </c>
      <c r="R19" s="4">
        <v>0</v>
      </c>
      <c r="S19" s="4">
        <v>-4049.8</v>
      </c>
      <c r="T19" s="4">
        <v>0</v>
      </c>
      <c r="U19" s="4">
        <v>1166.75</v>
      </c>
      <c r="V19" s="4">
        <v>-2845.35</v>
      </c>
      <c r="W19" s="4">
        <v>82352.289999999994</v>
      </c>
      <c r="X19" s="4">
        <v>11260.26</v>
      </c>
      <c r="Y19" s="4">
        <v>0</v>
      </c>
      <c r="Z19" s="4">
        <v>-2546.8000000000002</v>
      </c>
      <c r="AA19" s="4">
        <v>0</v>
      </c>
      <c r="AB19" s="4">
        <v>-1589.55</v>
      </c>
      <c r="AC19" s="4">
        <v>64700</v>
      </c>
      <c r="AD19" s="4">
        <v>12321.05</v>
      </c>
      <c r="AE19" s="4">
        <v>0</v>
      </c>
      <c r="AF19" s="4">
        <v>0</v>
      </c>
      <c r="AG19" s="4">
        <v>13410</v>
      </c>
      <c r="AH19" s="4">
        <v>11980.23</v>
      </c>
      <c r="AI19" s="4">
        <v>3592</v>
      </c>
      <c r="AJ19" s="4">
        <v>-10399.35</v>
      </c>
      <c r="AK19" s="4">
        <v>0</v>
      </c>
      <c r="AL19" s="4">
        <v>60665</v>
      </c>
      <c r="AM19" s="4">
        <v>22102.93</v>
      </c>
      <c r="AN19" s="4">
        <v>26355.39</v>
      </c>
      <c r="AO19" s="4">
        <v>45247.95</v>
      </c>
      <c r="AP19" s="4">
        <v>3029.03</v>
      </c>
      <c r="AQ19" s="4">
        <v>0</v>
      </c>
      <c r="AR19" s="4">
        <v>0</v>
      </c>
      <c r="AS19" s="4">
        <v>6963.69</v>
      </c>
      <c r="AT19" s="4">
        <v>-2306.16</v>
      </c>
      <c r="AU19" s="4">
        <v>10000</v>
      </c>
      <c r="AV19" s="4">
        <v>15640.45</v>
      </c>
      <c r="AW19" s="4">
        <v>-8934.17</v>
      </c>
      <c r="AX19" s="4">
        <v>5386</v>
      </c>
      <c r="AY19" s="4">
        <v>15842.4</v>
      </c>
      <c r="AZ19" s="4">
        <v>0</v>
      </c>
      <c r="BA19" s="4">
        <v>35343.15</v>
      </c>
      <c r="BB19" s="4">
        <v>23557.95</v>
      </c>
      <c r="BC19" s="4">
        <v>5937.9</v>
      </c>
      <c r="BD19" s="4">
        <v>0</v>
      </c>
      <c r="BE19" s="4">
        <v>39212.879999999997</v>
      </c>
      <c r="BF19" s="4">
        <f t="shared" si="4"/>
        <v>602365.90000000014</v>
      </c>
      <c r="BG19" s="4">
        <f t="shared" si="5"/>
        <v>195593.66999999998</v>
      </c>
      <c r="BH19" s="4">
        <f t="shared" si="6"/>
        <v>102727.84</v>
      </c>
      <c r="BI19" s="4">
        <f t="shared" si="7"/>
        <v>304044.39</v>
      </c>
    </row>
    <row r="20" spans="2:61" x14ac:dyDescent="0.25">
      <c r="C20">
        <v>33</v>
      </c>
      <c r="D20" t="s">
        <v>98</v>
      </c>
      <c r="E20" s="4">
        <v>282130.74</v>
      </c>
      <c r="F20" s="4">
        <v>82434</v>
      </c>
      <c r="G20" s="4">
        <v>75868.399999999994</v>
      </c>
      <c r="H20" s="4">
        <v>97710</v>
      </c>
      <c r="I20" s="4">
        <v>967279</v>
      </c>
      <c r="J20" s="4">
        <v>1031543.09</v>
      </c>
      <c r="K20" s="4">
        <v>507798.55</v>
      </c>
      <c r="L20" s="4">
        <v>5626924.5</v>
      </c>
      <c r="M20" s="4">
        <v>236080</v>
      </c>
      <c r="N20" s="4">
        <v>50797.67</v>
      </c>
      <c r="O20" s="4">
        <v>1215448.1000000001</v>
      </c>
      <c r="P20" s="4">
        <v>117103</v>
      </c>
      <c r="Q20" s="4">
        <v>12561</v>
      </c>
      <c r="R20" s="4">
        <v>94900</v>
      </c>
      <c r="S20" s="4">
        <v>107211</v>
      </c>
      <c r="T20" s="4">
        <v>116736.9</v>
      </c>
      <c r="U20" s="4">
        <v>33089.699999999997</v>
      </c>
      <c r="V20" s="4">
        <v>155684.85</v>
      </c>
      <c r="W20" s="4">
        <v>940048.97</v>
      </c>
      <c r="X20" s="4">
        <v>40515</v>
      </c>
      <c r="Y20" s="4">
        <v>269737.3</v>
      </c>
      <c r="Z20" s="4">
        <v>354358.34</v>
      </c>
      <c r="AA20" s="4">
        <v>48600</v>
      </c>
      <c r="AB20" s="4">
        <v>700</v>
      </c>
      <c r="AC20" s="4">
        <v>88682.95</v>
      </c>
      <c r="AD20" s="4">
        <v>189752.77</v>
      </c>
      <c r="AE20" s="4">
        <v>146039.14000000001</v>
      </c>
      <c r="AF20" s="4">
        <v>86837.65</v>
      </c>
      <c r="AG20" s="4">
        <v>616217.30000000005</v>
      </c>
      <c r="AH20" s="4">
        <v>768732</v>
      </c>
      <c r="AI20" s="4">
        <v>53527</v>
      </c>
      <c r="AJ20" s="4">
        <v>54670.8</v>
      </c>
      <c r="AK20" s="4">
        <v>702484</v>
      </c>
      <c r="AL20" s="4">
        <v>408999</v>
      </c>
      <c r="AM20" s="4">
        <v>262400</v>
      </c>
      <c r="AN20" s="4">
        <v>34064</v>
      </c>
      <c r="AO20" s="4">
        <v>599305.21</v>
      </c>
      <c r="AP20" s="4">
        <v>85150</v>
      </c>
      <c r="AQ20" s="4">
        <v>220973</v>
      </c>
      <c r="AR20" s="4">
        <v>180610</v>
      </c>
      <c r="AS20" s="4">
        <v>178081.75</v>
      </c>
      <c r="AT20" s="4">
        <v>248187</v>
      </c>
      <c r="AU20" s="4">
        <v>76788.100000000006</v>
      </c>
      <c r="AV20" s="4">
        <v>465912.53</v>
      </c>
      <c r="AW20" s="4">
        <v>132346.01999999999</v>
      </c>
      <c r="AX20" s="4">
        <v>33410</v>
      </c>
      <c r="AY20" s="4">
        <v>185465</v>
      </c>
      <c r="AZ20" s="4">
        <v>583142</v>
      </c>
      <c r="BA20" s="4">
        <v>31888.18</v>
      </c>
      <c r="BB20" s="4">
        <v>381525.81</v>
      </c>
      <c r="BC20" s="4">
        <v>13961</v>
      </c>
      <c r="BD20" s="4">
        <v>2988366.11</v>
      </c>
      <c r="BE20" s="4">
        <v>101119</v>
      </c>
      <c r="BF20" s="4">
        <f t="shared" si="4"/>
        <v>22383897.43</v>
      </c>
      <c r="BG20" s="4">
        <f t="shared" si="5"/>
        <v>11751349.469999999</v>
      </c>
      <c r="BH20" s="4">
        <f t="shared" si="6"/>
        <v>2718370.25</v>
      </c>
      <c r="BI20" s="4">
        <f t="shared" si="7"/>
        <v>7914177.709999999</v>
      </c>
    </row>
    <row r="21" spans="2:61" x14ac:dyDescent="0.25">
      <c r="C21">
        <v>34</v>
      </c>
      <c r="D21" t="s">
        <v>101</v>
      </c>
      <c r="E21" s="4">
        <v>38934.65</v>
      </c>
      <c r="F21" s="4">
        <v>47203.63</v>
      </c>
      <c r="G21" s="4">
        <v>100058.82</v>
      </c>
      <c r="H21" s="4">
        <v>72918.87</v>
      </c>
      <c r="I21" s="4">
        <v>575915</v>
      </c>
      <c r="J21" s="4">
        <v>311634.11</v>
      </c>
      <c r="K21" s="4">
        <v>212656.85</v>
      </c>
      <c r="L21" s="4">
        <v>1762202.09</v>
      </c>
      <c r="M21" s="4">
        <v>67667.070000000007</v>
      </c>
      <c r="N21" s="4">
        <v>8121.91</v>
      </c>
      <c r="O21" s="4">
        <v>363958.46</v>
      </c>
      <c r="P21" s="4">
        <v>47542.29</v>
      </c>
      <c r="Q21" s="4">
        <v>8946.48</v>
      </c>
      <c r="R21" s="4">
        <v>53453.82</v>
      </c>
      <c r="S21" s="4">
        <v>69384.44</v>
      </c>
      <c r="T21" s="4">
        <v>66325.72</v>
      </c>
      <c r="U21" s="4">
        <v>14511.68</v>
      </c>
      <c r="V21" s="4">
        <v>52127.99</v>
      </c>
      <c r="W21" s="4">
        <v>202554.03</v>
      </c>
      <c r="X21" s="4">
        <v>14076.05</v>
      </c>
      <c r="Y21" s="4">
        <v>158659.09</v>
      </c>
      <c r="Z21" s="4">
        <v>18628.560000000001</v>
      </c>
      <c r="AA21" s="4">
        <v>3560.17</v>
      </c>
      <c r="AB21" s="4">
        <v>15806.06</v>
      </c>
      <c r="AC21" s="4">
        <v>76538.850000000006</v>
      </c>
      <c r="AD21" s="4">
        <v>116578.73</v>
      </c>
      <c r="AE21" s="4">
        <v>38264.15</v>
      </c>
      <c r="AF21" s="4">
        <v>76299.45</v>
      </c>
      <c r="AG21" s="4">
        <v>106342.45</v>
      </c>
      <c r="AH21" s="4">
        <v>192435.77</v>
      </c>
      <c r="AI21" s="4">
        <v>17489.71</v>
      </c>
      <c r="AJ21" s="4">
        <v>24620.6</v>
      </c>
      <c r="AK21" s="4">
        <v>163387.26999999999</v>
      </c>
      <c r="AL21" s="4">
        <v>199635</v>
      </c>
      <c r="AM21" s="4">
        <v>172278.25</v>
      </c>
      <c r="AN21" s="4">
        <v>20793.810000000001</v>
      </c>
      <c r="AO21" s="4">
        <v>302592</v>
      </c>
      <c r="AP21" s="4">
        <v>72703.8</v>
      </c>
      <c r="AQ21" s="4">
        <v>62321</v>
      </c>
      <c r="AR21" s="4">
        <v>244846.24</v>
      </c>
      <c r="AS21" s="4">
        <v>85953.99</v>
      </c>
      <c r="AT21" s="4">
        <v>155846.23000000001</v>
      </c>
      <c r="AU21" s="4">
        <v>22674.73</v>
      </c>
      <c r="AV21" s="4">
        <v>301937.46000000002</v>
      </c>
      <c r="AW21" s="4">
        <v>74054.740000000005</v>
      </c>
      <c r="AX21" s="4">
        <v>8054</v>
      </c>
      <c r="AY21" s="4">
        <v>15749.32</v>
      </c>
      <c r="AZ21" s="4">
        <v>324265.33</v>
      </c>
      <c r="BA21" s="4">
        <v>26202.06</v>
      </c>
      <c r="BB21" s="4">
        <v>129553.11</v>
      </c>
      <c r="BC21" s="4">
        <v>371.1</v>
      </c>
      <c r="BD21" s="4">
        <v>874506.93</v>
      </c>
      <c r="BE21" s="4">
        <v>57204</v>
      </c>
      <c r="BF21" s="4">
        <f t="shared" si="4"/>
        <v>8250347.9199999999</v>
      </c>
      <c r="BG21" s="4">
        <f t="shared" si="5"/>
        <v>4076117.9100000006</v>
      </c>
      <c r="BH21" s="4">
        <f t="shared" si="6"/>
        <v>859299.64</v>
      </c>
      <c r="BI21" s="4">
        <f t="shared" si="7"/>
        <v>3314930.37</v>
      </c>
    </row>
    <row r="22" spans="2:61" x14ac:dyDescent="0.25">
      <c r="C22">
        <v>340</v>
      </c>
      <c r="D22" t="s">
        <v>282</v>
      </c>
      <c r="E22" s="4">
        <v>38934.65</v>
      </c>
      <c r="F22" s="4">
        <v>37718.33</v>
      </c>
      <c r="G22" s="4">
        <v>63703.07</v>
      </c>
      <c r="H22" s="4">
        <v>50695.97</v>
      </c>
      <c r="I22" s="4">
        <v>441586</v>
      </c>
      <c r="J22" s="4">
        <v>256881.91</v>
      </c>
      <c r="K22" s="4">
        <v>135437.13</v>
      </c>
      <c r="L22" s="4">
        <v>1605830.89</v>
      </c>
      <c r="M22" s="4">
        <v>44645.69</v>
      </c>
      <c r="N22" s="4">
        <v>8121.91</v>
      </c>
      <c r="O22" s="4">
        <v>277293.21000000002</v>
      </c>
      <c r="P22" s="4">
        <v>37908.54</v>
      </c>
      <c r="Q22" s="4">
        <v>8389.0300000000007</v>
      </c>
      <c r="R22" s="4">
        <v>45100.37</v>
      </c>
      <c r="S22" s="4">
        <v>64989.99</v>
      </c>
      <c r="T22" s="4">
        <v>48118.02</v>
      </c>
      <c r="U22" s="4">
        <v>8827.43</v>
      </c>
      <c r="V22" s="4">
        <v>42480.34</v>
      </c>
      <c r="W22" s="4">
        <v>185337.29</v>
      </c>
      <c r="X22" s="4">
        <v>6978.81</v>
      </c>
      <c r="Y22" s="4">
        <v>158659.09</v>
      </c>
      <c r="Z22" s="4">
        <v>10036.209999999999</v>
      </c>
      <c r="AA22" s="4">
        <v>3455.77</v>
      </c>
      <c r="AB22" s="4">
        <v>3676.22</v>
      </c>
      <c r="AC22" s="4">
        <v>51756.65</v>
      </c>
      <c r="AD22" s="4">
        <v>79274.83</v>
      </c>
      <c r="AE22" s="4">
        <v>38264.15</v>
      </c>
      <c r="AF22" s="4">
        <v>8911.5</v>
      </c>
      <c r="AG22" s="4">
        <v>55215</v>
      </c>
      <c r="AH22" s="4">
        <v>172314.82</v>
      </c>
      <c r="AI22" s="4">
        <v>29078.26</v>
      </c>
      <c r="AJ22" s="4">
        <v>4752.6000000000004</v>
      </c>
      <c r="AK22" s="4">
        <v>144522.82</v>
      </c>
      <c r="AL22" s="4">
        <v>135519</v>
      </c>
      <c r="AM22" s="4">
        <v>136276.35</v>
      </c>
      <c r="AN22" s="4">
        <v>19639.759999999998</v>
      </c>
      <c r="AO22" s="4">
        <v>67994.080000000002</v>
      </c>
      <c r="AP22" s="4">
        <v>60019.839999999997</v>
      </c>
      <c r="AQ22" s="4">
        <v>62321</v>
      </c>
      <c r="AR22" s="4">
        <v>81690.240000000005</v>
      </c>
      <c r="AS22" s="4">
        <v>80902.12</v>
      </c>
      <c r="AT22" s="4">
        <v>131647.57999999999</v>
      </c>
      <c r="AU22" s="4">
        <v>22674.73</v>
      </c>
      <c r="AV22" s="4">
        <v>301752.61</v>
      </c>
      <c r="AW22" s="4">
        <v>56642.14</v>
      </c>
      <c r="AX22" s="4">
        <v>7339</v>
      </c>
      <c r="AY22" s="4">
        <v>15749.32</v>
      </c>
      <c r="AZ22" s="4">
        <v>306670.73</v>
      </c>
      <c r="BA22" s="4">
        <v>11746.61</v>
      </c>
      <c r="BB22" s="4">
        <v>79671.94</v>
      </c>
      <c r="BC22" s="4">
        <v>60.65</v>
      </c>
      <c r="BD22" s="4">
        <v>763187.49</v>
      </c>
      <c r="BE22" s="4">
        <v>39123.85</v>
      </c>
      <c r="BF22" s="4">
        <f t="shared" si="4"/>
        <v>6549525.540000001</v>
      </c>
      <c r="BG22" s="4">
        <f t="shared" si="5"/>
        <v>3401999.7700000005</v>
      </c>
      <c r="BH22" s="4">
        <f t="shared" si="6"/>
        <v>622373.91</v>
      </c>
      <c r="BI22" s="4">
        <f t="shared" si="7"/>
        <v>2525151.86</v>
      </c>
    </row>
    <row r="23" spans="2:61" x14ac:dyDescent="0.25">
      <c r="C23">
        <v>344</v>
      </c>
      <c r="D23" t="s">
        <v>575</v>
      </c>
      <c r="E23" s="4">
        <v>0</v>
      </c>
      <c r="F23" s="4">
        <v>0</v>
      </c>
      <c r="G23" s="4">
        <v>0</v>
      </c>
      <c r="H23" s="4">
        <v>0</v>
      </c>
      <c r="I23" s="4">
        <v>0</v>
      </c>
      <c r="J23" s="4">
        <v>0</v>
      </c>
      <c r="K23" s="4">
        <v>4290.42</v>
      </c>
      <c r="L23" s="4">
        <v>0</v>
      </c>
      <c r="M23" s="4">
        <v>0</v>
      </c>
      <c r="N23" s="4">
        <v>0</v>
      </c>
      <c r="O23" s="4">
        <v>0</v>
      </c>
      <c r="P23" s="4">
        <v>0</v>
      </c>
      <c r="Q23" s="4">
        <v>0</v>
      </c>
      <c r="R23" s="4">
        <v>0</v>
      </c>
      <c r="S23" s="4">
        <v>0</v>
      </c>
      <c r="T23" s="4">
        <v>3356.65</v>
      </c>
      <c r="U23" s="4">
        <v>0</v>
      </c>
      <c r="V23" s="4">
        <v>0</v>
      </c>
      <c r="W23" s="4">
        <v>0</v>
      </c>
      <c r="X23" s="4">
        <v>0</v>
      </c>
      <c r="Y23" s="4">
        <v>0</v>
      </c>
      <c r="Z23" s="4">
        <v>0</v>
      </c>
      <c r="AA23" s="4">
        <v>0</v>
      </c>
      <c r="AB23" s="4">
        <v>0</v>
      </c>
      <c r="AC23" s="4">
        <v>0</v>
      </c>
      <c r="AD23" s="4">
        <v>2</v>
      </c>
      <c r="AE23" s="4">
        <v>0</v>
      </c>
      <c r="AF23" s="4">
        <v>0</v>
      </c>
      <c r="AG23" s="4">
        <v>0</v>
      </c>
      <c r="AH23" s="4">
        <v>0</v>
      </c>
      <c r="AI23" s="4">
        <v>-11588.55</v>
      </c>
      <c r="AJ23" s="4">
        <v>0</v>
      </c>
      <c r="AK23" s="4">
        <v>0</v>
      </c>
      <c r="AL23" s="4">
        <v>0</v>
      </c>
      <c r="AM23" s="4">
        <v>0</v>
      </c>
      <c r="AN23" s="4">
        <v>0</v>
      </c>
      <c r="AO23" s="4">
        <v>0</v>
      </c>
      <c r="AP23" s="4">
        <v>0</v>
      </c>
      <c r="AQ23" s="4">
        <v>0</v>
      </c>
      <c r="AR23" s="4">
        <v>0</v>
      </c>
      <c r="AS23" s="4">
        <v>0</v>
      </c>
      <c r="AT23" s="4">
        <v>0</v>
      </c>
      <c r="AU23" s="4">
        <v>0</v>
      </c>
      <c r="AV23" s="4">
        <v>0</v>
      </c>
      <c r="AW23" s="4">
        <v>0</v>
      </c>
      <c r="AX23" s="4">
        <v>0</v>
      </c>
      <c r="AY23" s="4">
        <v>0</v>
      </c>
      <c r="AZ23" s="4">
        <v>0</v>
      </c>
      <c r="BA23" s="4">
        <v>0</v>
      </c>
      <c r="BB23" s="4">
        <v>300</v>
      </c>
      <c r="BC23" s="4">
        <v>0</v>
      </c>
      <c r="BD23" s="4">
        <v>0</v>
      </c>
      <c r="BE23" s="4">
        <v>0</v>
      </c>
      <c r="BF23" s="4">
        <f t="shared" si="4"/>
        <v>-3639.4799999999996</v>
      </c>
      <c r="BG23" s="4">
        <f t="shared" si="5"/>
        <v>7647.07</v>
      </c>
      <c r="BH23" s="4">
        <f t="shared" si="6"/>
        <v>-11586.55</v>
      </c>
      <c r="BI23" s="4">
        <f t="shared" si="7"/>
        <v>300</v>
      </c>
    </row>
    <row r="24" spans="2:61" x14ac:dyDescent="0.25">
      <c r="C24">
        <v>35</v>
      </c>
      <c r="D24" t="s">
        <v>227</v>
      </c>
      <c r="E24" s="4">
        <v>16978.75</v>
      </c>
      <c r="F24" s="4">
        <v>15022.35</v>
      </c>
      <c r="G24" s="4">
        <v>4842.95</v>
      </c>
      <c r="H24" s="4">
        <v>0</v>
      </c>
      <c r="I24" s="4">
        <v>112388</v>
      </c>
      <c r="J24" s="4">
        <v>8283.2099999999991</v>
      </c>
      <c r="K24" s="4">
        <v>30083.4</v>
      </c>
      <c r="L24" s="4">
        <v>0</v>
      </c>
      <c r="M24" s="4">
        <v>108697.49</v>
      </c>
      <c r="N24" s="4">
        <v>9500</v>
      </c>
      <c r="O24" s="4">
        <v>738557.5</v>
      </c>
      <c r="P24" s="4">
        <v>0</v>
      </c>
      <c r="Q24" s="4">
        <v>0</v>
      </c>
      <c r="R24" s="4">
        <v>-45.4</v>
      </c>
      <c r="S24" s="4">
        <v>29000</v>
      </c>
      <c r="T24" s="4">
        <v>0</v>
      </c>
      <c r="U24" s="4">
        <v>14808.4</v>
      </c>
      <c r="V24" s="4">
        <v>0</v>
      </c>
      <c r="W24" s="4">
        <v>0</v>
      </c>
      <c r="X24" s="4">
        <v>74767.850000000006</v>
      </c>
      <c r="Y24" s="4">
        <v>1646.6</v>
      </c>
      <c r="Z24" s="4">
        <v>64419</v>
      </c>
      <c r="AA24" s="4">
        <v>0</v>
      </c>
      <c r="AB24" s="4">
        <v>8123.55</v>
      </c>
      <c r="AC24" s="4">
        <v>5397.7</v>
      </c>
      <c r="AD24" s="4">
        <v>3500</v>
      </c>
      <c r="AE24" s="4">
        <v>5379.25</v>
      </c>
      <c r="AF24" s="4">
        <v>6081.76</v>
      </c>
      <c r="AG24" s="4">
        <v>57650.95</v>
      </c>
      <c r="AH24" s="4">
        <v>24180.25</v>
      </c>
      <c r="AI24" s="4">
        <v>15605.95</v>
      </c>
      <c r="AJ24" s="4">
        <v>3000</v>
      </c>
      <c r="AK24" s="4">
        <v>60056.55</v>
      </c>
      <c r="AL24" s="4">
        <v>5884</v>
      </c>
      <c r="AM24" s="4">
        <v>44358.37</v>
      </c>
      <c r="AN24" s="4">
        <v>0</v>
      </c>
      <c r="AO24" s="4">
        <v>0</v>
      </c>
      <c r="AP24" s="4">
        <v>9464.7800000000007</v>
      </c>
      <c r="AQ24" s="4">
        <v>13193</v>
      </c>
      <c r="AR24" s="4">
        <v>112767.45</v>
      </c>
      <c r="AS24" s="4">
        <v>99540</v>
      </c>
      <c r="AT24" s="4">
        <v>196054.44</v>
      </c>
      <c r="AU24" s="4">
        <v>1484.3</v>
      </c>
      <c r="AV24" s="4">
        <v>167384.66</v>
      </c>
      <c r="AW24" s="4">
        <v>13512</v>
      </c>
      <c r="AX24" s="4">
        <v>35.86</v>
      </c>
      <c r="AY24" s="4">
        <v>-310</v>
      </c>
      <c r="AZ24" s="4">
        <v>10462.5</v>
      </c>
      <c r="BA24" s="4">
        <v>5123</v>
      </c>
      <c r="BB24" s="4">
        <v>39690.97</v>
      </c>
      <c r="BC24" s="4">
        <v>5104</v>
      </c>
      <c r="BD24" s="4">
        <v>10234.450000000001</v>
      </c>
      <c r="BE24" s="4">
        <v>19316.63</v>
      </c>
      <c r="BF24" s="4">
        <f t="shared" si="4"/>
        <v>2171226.4700000002</v>
      </c>
      <c r="BG24" s="4">
        <f t="shared" si="5"/>
        <v>1088116.6499999999</v>
      </c>
      <c r="BH24" s="4">
        <f t="shared" si="6"/>
        <v>269752.86000000004</v>
      </c>
      <c r="BI24" s="4">
        <f t="shared" si="7"/>
        <v>813356.96000000008</v>
      </c>
    </row>
    <row r="25" spans="2:61" x14ac:dyDescent="0.25">
      <c r="C25">
        <v>36</v>
      </c>
      <c r="D25" t="s">
        <v>286</v>
      </c>
      <c r="E25" s="4">
        <v>2209370.23</v>
      </c>
      <c r="F25" s="4">
        <v>627387.05000000005</v>
      </c>
      <c r="G25" s="4">
        <v>1067999.6299999999</v>
      </c>
      <c r="H25" s="4">
        <v>993032.24</v>
      </c>
      <c r="I25" s="4">
        <v>7195314</v>
      </c>
      <c r="J25" s="4">
        <v>6522316.0499999998</v>
      </c>
      <c r="K25" s="4">
        <v>6360565.75</v>
      </c>
      <c r="L25" s="4">
        <v>41645193.57</v>
      </c>
      <c r="M25" s="4">
        <v>3711345.35</v>
      </c>
      <c r="N25" s="4">
        <v>332621.14</v>
      </c>
      <c r="O25" s="4">
        <v>16420305.289999999</v>
      </c>
      <c r="P25" s="4">
        <v>1067370.28</v>
      </c>
      <c r="Q25" s="4">
        <v>237243.12</v>
      </c>
      <c r="R25" s="4">
        <v>848961.15</v>
      </c>
      <c r="S25" s="4">
        <v>695404.95</v>
      </c>
      <c r="T25" s="4">
        <v>1370064.75</v>
      </c>
      <c r="U25" s="4">
        <v>555580.94999999995</v>
      </c>
      <c r="V25" s="4">
        <v>1279572.96</v>
      </c>
      <c r="W25" s="4">
        <v>5914198.4800000004</v>
      </c>
      <c r="X25" s="4">
        <v>654769.9</v>
      </c>
      <c r="Y25" s="4">
        <v>2887179.59</v>
      </c>
      <c r="Z25" s="4">
        <v>5156029.13</v>
      </c>
      <c r="AA25" s="4">
        <v>188983.15</v>
      </c>
      <c r="AB25" s="4">
        <v>409650.75</v>
      </c>
      <c r="AC25" s="4">
        <v>1343491.8</v>
      </c>
      <c r="AD25" s="4">
        <v>1472669.32</v>
      </c>
      <c r="AE25" s="4">
        <v>1233611.2</v>
      </c>
      <c r="AF25" s="4">
        <v>1215526.6200000001</v>
      </c>
      <c r="AG25" s="4">
        <v>4919792.47</v>
      </c>
      <c r="AH25" s="4">
        <v>5843500.3099999996</v>
      </c>
      <c r="AI25" s="4">
        <v>502593.45</v>
      </c>
      <c r="AJ25" s="4">
        <v>353426.6</v>
      </c>
      <c r="AK25" s="4">
        <v>4906314.28</v>
      </c>
      <c r="AL25" s="4">
        <v>2669208</v>
      </c>
      <c r="AM25" s="4">
        <v>3094597.22</v>
      </c>
      <c r="AN25" s="4">
        <v>308362.87</v>
      </c>
      <c r="AO25" s="4">
        <v>4180721.17</v>
      </c>
      <c r="AP25" s="4">
        <v>1966950.19</v>
      </c>
      <c r="AQ25" s="4">
        <v>1366302</v>
      </c>
      <c r="AR25" s="4">
        <v>3014483.7</v>
      </c>
      <c r="AS25" s="4">
        <v>1826552.7</v>
      </c>
      <c r="AT25" s="4">
        <v>2626079.9500000002</v>
      </c>
      <c r="AU25" s="4">
        <v>861136.67</v>
      </c>
      <c r="AV25" s="4">
        <v>6327870.8499999996</v>
      </c>
      <c r="AW25" s="4">
        <v>1685038.83</v>
      </c>
      <c r="AX25" s="4">
        <v>455572.24</v>
      </c>
      <c r="AY25" s="4">
        <v>681002.32</v>
      </c>
      <c r="AZ25" s="4">
        <v>4013802.46</v>
      </c>
      <c r="BA25" s="4">
        <v>1037836.91</v>
      </c>
      <c r="BB25" s="4">
        <v>2527216.2200000002</v>
      </c>
      <c r="BC25" s="4">
        <v>482252.09</v>
      </c>
      <c r="BD25" s="4">
        <v>18522704.539999999</v>
      </c>
      <c r="BE25" s="4">
        <v>1443374.01</v>
      </c>
      <c r="BF25" s="4">
        <f t="shared" si="4"/>
        <v>189232450.44999996</v>
      </c>
      <c r="BG25" s="4">
        <f t="shared" si="5"/>
        <v>99053846.939999998</v>
      </c>
      <c r="BH25" s="4">
        <f t="shared" si="6"/>
        <v>26181224.289999999</v>
      </c>
      <c r="BI25" s="4">
        <f t="shared" si="7"/>
        <v>63997379.219999999</v>
      </c>
    </row>
    <row r="26" spans="2:61" x14ac:dyDescent="0.25">
      <c r="C26">
        <v>36227</v>
      </c>
      <c r="D26" t="s">
        <v>271</v>
      </c>
      <c r="E26" s="4">
        <v>0</v>
      </c>
      <c r="F26" s="4">
        <v>0</v>
      </c>
      <c r="G26" s="4">
        <v>0</v>
      </c>
      <c r="H26" s="4">
        <v>0</v>
      </c>
      <c r="I26" s="4">
        <v>0</v>
      </c>
      <c r="J26" s="4">
        <v>0</v>
      </c>
      <c r="K26" s="4">
        <v>128164</v>
      </c>
      <c r="L26" s="4">
        <v>910184</v>
      </c>
      <c r="M26" s="4">
        <v>41860.949999999997</v>
      </c>
      <c r="N26" s="4">
        <v>0</v>
      </c>
      <c r="O26" s="4">
        <v>0</v>
      </c>
      <c r="P26" s="4">
        <v>0</v>
      </c>
      <c r="Q26" s="4">
        <v>0</v>
      </c>
      <c r="R26" s="4">
        <v>0</v>
      </c>
      <c r="S26" s="4">
        <v>0</v>
      </c>
      <c r="T26" s="4">
        <v>29695.95</v>
      </c>
      <c r="U26" s="4">
        <v>4287</v>
      </c>
      <c r="V26" s="4">
        <v>52463</v>
      </c>
      <c r="W26" s="4">
        <v>0</v>
      </c>
      <c r="X26" s="4">
        <v>0</v>
      </c>
      <c r="Y26" s="4">
        <v>0</v>
      </c>
      <c r="Z26" s="4">
        <v>1844217</v>
      </c>
      <c r="AA26" s="4">
        <v>0</v>
      </c>
      <c r="AB26" s="4">
        <v>0</v>
      </c>
      <c r="AC26" s="4">
        <v>12380</v>
      </c>
      <c r="AD26" s="4">
        <v>0</v>
      </c>
      <c r="AE26" s="4">
        <v>0</v>
      </c>
      <c r="AF26" s="4">
        <v>1331</v>
      </c>
      <c r="AG26" s="4">
        <v>289157</v>
      </c>
      <c r="AH26" s="4">
        <v>0</v>
      </c>
      <c r="AI26" s="4">
        <v>0</v>
      </c>
      <c r="AJ26" s="4">
        <v>0</v>
      </c>
      <c r="AK26" s="4">
        <v>0</v>
      </c>
      <c r="AL26" s="4">
        <v>105139</v>
      </c>
      <c r="AM26" s="4">
        <v>0</v>
      </c>
      <c r="AN26" s="4">
        <v>0</v>
      </c>
      <c r="AO26" s="4">
        <v>0</v>
      </c>
      <c r="AP26" s="4">
        <v>8591</v>
      </c>
      <c r="AQ26" s="4">
        <v>17577</v>
      </c>
      <c r="AR26" s="4">
        <v>0</v>
      </c>
      <c r="AS26" s="4">
        <v>0</v>
      </c>
      <c r="AT26" s="4">
        <v>0</v>
      </c>
      <c r="AU26" s="4">
        <v>89804</v>
      </c>
      <c r="AV26" s="4">
        <v>0</v>
      </c>
      <c r="AW26" s="4">
        <v>0</v>
      </c>
      <c r="AX26" s="4">
        <v>0</v>
      </c>
      <c r="AY26" s="4">
        <v>0</v>
      </c>
      <c r="AZ26" s="4">
        <v>0</v>
      </c>
      <c r="BA26" s="4">
        <v>0</v>
      </c>
      <c r="BB26" s="4">
        <v>39223</v>
      </c>
      <c r="BC26" s="4">
        <v>0</v>
      </c>
      <c r="BD26" s="4">
        <v>467838</v>
      </c>
      <c r="BE26" s="4">
        <v>0</v>
      </c>
      <c r="BF26" s="4">
        <f t="shared" si="4"/>
        <v>4041911.9</v>
      </c>
      <c r="BG26" s="4">
        <f t="shared" si="5"/>
        <v>1166654.8999999999</v>
      </c>
      <c r="BH26" s="4">
        <f t="shared" si="6"/>
        <v>2147085</v>
      </c>
      <c r="BI26" s="4">
        <f t="shared" si="7"/>
        <v>728172</v>
      </c>
    </row>
    <row r="27" spans="2:61" x14ac:dyDescent="0.25">
      <c r="C27">
        <v>36228</v>
      </c>
      <c r="D27" t="s">
        <v>288</v>
      </c>
      <c r="E27" s="4">
        <v>22114</v>
      </c>
      <c r="F27" s="4">
        <v>6240</v>
      </c>
      <c r="G27" s="4">
        <v>0</v>
      </c>
      <c r="H27" s="4">
        <v>0</v>
      </c>
      <c r="I27" s="4">
        <v>140230</v>
      </c>
      <c r="J27" s="4">
        <v>130811</v>
      </c>
      <c r="K27" s="4">
        <v>0</v>
      </c>
      <c r="L27" s="4">
        <v>18916.5</v>
      </c>
      <c r="M27" s="4">
        <v>55030.05</v>
      </c>
      <c r="N27" s="4">
        <v>0</v>
      </c>
      <c r="O27" s="4">
        <v>224405</v>
      </c>
      <c r="P27" s="4">
        <v>0</v>
      </c>
      <c r="Q27" s="4">
        <v>3347</v>
      </c>
      <c r="R27" s="4">
        <v>0</v>
      </c>
      <c r="S27" s="4">
        <v>0</v>
      </c>
      <c r="T27" s="4">
        <v>0</v>
      </c>
      <c r="U27" s="4">
        <v>0</v>
      </c>
      <c r="V27" s="4">
        <v>0</v>
      </c>
      <c r="W27" s="4">
        <v>0</v>
      </c>
      <c r="X27" s="4">
        <v>0</v>
      </c>
      <c r="Y27" s="4">
        <v>0</v>
      </c>
      <c r="Z27" s="4">
        <v>0</v>
      </c>
      <c r="AA27" s="4">
        <v>0</v>
      </c>
      <c r="AB27" s="4">
        <v>0</v>
      </c>
      <c r="AC27" s="4">
        <v>0</v>
      </c>
      <c r="AD27" s="4">
        <v>0</v>
      </c>
      <c r="AE27" s="4">
        <v>0</v>
      </c>
      <c r="AF27" s="4">
        <v>0</v>
      </c>
      <c r="AG27" s="4">
        <v>0</v>
      </c>
      <c r="AH27" s="4">
        <v>0</v>
      </c>
      <c r="AI27" s="4">
        <v>0</v>
      </c>
      <c r="AJ27" s="4">
        <v>0</v>
      </c>
      <c r="AK27" s="4">
        <v>0</v>
      </c>
      <c r="AL27" s="4">
        <v>44122</v>
      </c>
      <c r="AM27" s="4">
        <v>0</v>
      </c>
      <c r="AN27" s="4">
        <v>0</v>
      </c>
      <c r="AO27" s="4">
        <v>0</v>
      </c>
      <c r="AP27" s="4">
        <v>0</v>
      </c>
      <c r="AQ27" s="4">
        <v>0</v>
      </c>
      <c r="AR27" s="4">
        <v>0</v>
      </c>
      <c r="AS27" s="4">
        <v>0</v>
      </c>
      <c r="AT27" s="4">
        <v>0</v>
      </c>
      <c r="AU27" s="4">
        <v>0</v>
      </c>
      <c r="AV27" s="4">
        <v>64315</v>
      </c>
      <c r="AW27" s="4">
        <v>0</v>
      </c>
      <c r="AX27" s="4">
        <v>0</v>
      </c>
      <c r="AY27" s="4">
        <v>0</v>
      </c>
      <c r="AZ27" s="4">
        <v>45951</v>
      </c>
      <c r="BA27" s="4">
        <v>5113</v>
      </c>
      <c r="BB27" s="4">
        <v>0</v>
      </c>
      <c r="BC27" s="4">
        <v>0</v>
      </c>
      <c r="BD27" s="4">
        <v>0</v>
      </c>
      <c r="BE27" s="4">
        <v>0</v>
      </c>
      <c r="BF27" s="4">
        <f t="shared" si="4"/>
        <v>760594.55</v>
      </c>
      <c r="BG27" s="4">
        <f t="shared" si="5"/>
        <v>601093.55000000005</v>
      </c>
      <c r="BH27" s="4">
        <f t="shared" si="6"/>
        <v>0</v>
      </c>
      <c r="BI27" s="4">
        <f t="shared" si="7"/>
        <v>159501</v>
      </c>
    </row>
    <row r="28" spans="2:61" x14ac:dyDescent="0.25">
      <c r="C28">
        <v>364</v>
      </c>
      <c r="D28" t="s">
        <v>234</v>
      </c>
      <c r="E28" s="4">
        <v>0</v>
      </c>
      <c r="F28" s="4">
        <v>0</v>
      </c>
      <c r="G28" s="4">
        <v>0</v>
      </c>
      <c r="H28" s="4">
        <v>0</v>
      </c>
      <c r="I28" s="4">
        <v>0</v>
      </c>
      <c r="J28" s="4">
        <v>0</v>
      </c>
      <c r="K28" s="4">
        <v>0</v>
      </c>
      <c r="L28" s="4">
        <v>0</v>
      </c>
      <c r="M28" s="4">
        <v>0</v>
      </c>
      <c r="N28" s="4">
        <v>0</v>
      </c>
      <c r="O28" s="4">
        <v>0</v>
      </c>
      <c r="P28" s="4">
        <v>0</v>
      </c>
      <c r="Q28" s="4">
        <v>0</v>
      </c>
      <c r="R28" s="4">
        <v>0</v>
      </c>
      <c r="S28" s="4">
        <v>0</v>
      </c>
      <c r="T28" s="4">
        <v>0</v>
      </c>
      <c r="U28" s="4">
        <v>0</v>
      </c>
      <c r="V28" s="4">
        <v>0</v>
      </c>
      <c r="W28" s="4">
        <v>0</v>
      </c>
      <c r="X28" s="4">
        <v>0</v>
      </c>
      <c r="Y28" s="4">
        <v>0</v>
      </c>
      <c r="Z28" s="4">
        <v>0</v>
      </c>
      <c r="AA28" s="4">
        <v>0</v>
      </c>
      <c r="AB28" s="4">
        <v>0</v>
      </c>
      <c r="AC28" s="4">
        <v>0</v>
      </c>
      <c r="AD28" s="4">
        <v>0</v>
      </c>
      <c r="AE28" s="4">
        <v>0</v>
      </c>
      <c r="AF28" s="4">
        <v>0</v>
      </c>
      <c r="AG28" s="4">
        <v>0</v>
      </c>
      <c r="AH28" s="4">
        <v>0</v>
      </c>
      <c r="AI28" s="4">
        <v>0</v>
      </c>
      <c r="AJ28" s="4">
        <v>0</v>
      </c>
      <c r="AK28" s="4">
        <v>0</v>
      </c>
      <c r="AL28" s="4">
        <v>0</v>
      </c>
      <c r="AM28" s="4">
        <v>0</v>
      </c>
      <c r="AN28" s="4">
        <v>0</v>
      </c>
      <c r="AO28" s="4">
        <v>0</v>
      </c>
      <c r="AP28" s="4">
        <v>0</v>
      </c>
      <c r="AQ28" s="4">
        <v>0</v>
      </c>
      <c r="AR28" s="4">
        <v>0</v>
      </c>
      <c r="AS28" s="4">
        <v>0</v>
      </c>
      <c r="AT28" s="4">
        <v>0</v>
      </c>
      <c r="AU28" s="4">
        <v>0</v>
      </c>
      <c r="AV28" s="4">
        <v>0</v>
      </c>
      <c r="AW28" s="4">
        <v>0</v>
      </c>
      <c r="AX28" s="4">
        <v>0</v>
      </c>
      <c r="AY28" s="4">
        <v>0</v>
      </c>
      <c r="AZ28" s="4">
        <v>0</v>
      </c>
      <c r="BA28" s="4">
        <v>0</v>
      </c>
      <c r="BB28" s="4">
        <v>0</v>
      </c>
      <c r="BC28" s="4">
        <v>0</v>
      </c>
      <c r="BD28" s="4">
        <v>0</v>
      </c>
      <c r="BE28" s="4">
        <v>0</v>
      </c>
      <c r="BF28" s="4">
        <f t="shared" si="4"/>
        <v>0</v>
      </c>
      <c r="BG28" s="4">
        <f t="shared" si="5"/>
        <v>0</v>
      </c>
      <c r="BH28" s="4">
        <f t="shared" si="6"/>
        <v>0</v>
      </c>
      <c r="BI28" s="4">
        <f t="shared" si="7"/>
        <v>0</v>
      </c>
    </row>
    <row r="29" spans="2:61" x14ac:dyDescent="0.25">
      <c r="C29">
        <v>365</v>
      </c>
      <c r="D29" t="s">
        <v>235</v>
      </c>
      <c r="E29" s="4">
        <v>0</v>
      </c>
      <c r="F29" s="4">
        <v>0</v>
      </c>
      <c r="G29" s="4">
        <v>0</v>
      </c>
      <c r="H29" s="4">
        <v>0</v>
      </c>
      <c r="I29" s="4">
        <v>0</v>
      </c>
      <c r="J29" s="4">
        <v>0</v>
      </c>
      <c r="K29" s="4">
        <v>0</v>
      </c>
      <c r="L29" s="4">
        <v>0</v>
      </c>
      <c r="M29" s="4">
        <v>0</v>
      </c>
      <c r="N29" s="4">
        <v>0</v>
      </c>
      <c r="O29" s="4">
        <v>0</v>
      </c>
      <c r="P29" s="4">
        <v>0</v>
      </c>
      <c r="Q29" s="4">
        <v>0</v>
      </c>
      <c r="R29" s="4">
        <v>0</v>
      </c>
      <c r="S29" s="4">
        <v>0</v>
      </c>
      <c r="T29" s="4">
        <v>0</v>
      </c>
      <c r="U29" s="4">
        <v>7400</v>
      </c>
      <c r="V29" s="4">
        <v>0</v>
      </c>
      <c r="W29" s="4">
        <v>0</v>
      </c>
      <c r="X29" s="4">
        <v>0</v>
      </c>
      <c r="Y29" s="4">
        <v>0</v>
      </c>
      <c r="Z29" s="4">
        <v>0</v>
      </c>
      <c r="AA29" s="4">
        <v>0</v>
      </c>
      <c r="AB29" s="4">
        <v>0</v>
      </c>
      <c r="AC29" s="4">
        <v>0</v>
      </c>
      <c r="AD29" s="4">
        <v>0</v>
      </c>
      <c r="AE29" s="4">
        <v>0</v>
      </c>
      <c r="AF29" s="4">
        <v>0</v>
      </c>
      <c r="AG29" s="4">
        <v>0</v>
      </c>
      <c r="AH29" s="4">
        <v>0</v>
      </c>
      <c r="AI29" s="4">
        <v>0</v>
      </c>
      <c r="AJ29" s="4">
        <v>0</v>
      </c>
      <c r="AK29" s="4">
        <v>0</v>
      </c>
      <c r="AL29" s="4">
        <v>0</v>
      </c>
      <c r="AM29" s="4">
        <v>0</v>
      </c>
      <c r="AN29" s="4">
        <v>0</v>
      </c>
      <c r="AO29" s="4">
        <v>0</v>
      </c>
      <c r="AP29" s="4">
        <v>0</v>
      </c>
      <c r="AQ29" s="4">
        <v>0</v>
      </c>
      <c r="AR29" s="4">
        <v>0</v>
      </c>
      <c r="AS29" s="4">
        <v>0</v>
      </c>
      <c r="AT29" s="4">
        <v>0</v>
      </c>
      <c r="AU29" s="4">
        <v>0</v>
      </c>
      <c r="AV29" s="4">
        <v>0</v>
      </c>
      <c r="AW29" s="4">
        <v>0</v>
      </c>
      <c r="AX29" s="4">
        <v>0</v>
      </c>
      <c r="AY29" s="4">
        <v>0</v>
      </c>
      <c r="AZ29" s="4">
        <v>13420</v>
      </c>
      <c r="BA29" s="4">
        <v>0</v>
      </c>
      <c r="BB29" s="4">
        <v>0</v>
      </c>
      <c r="BC29" s="4">
        <v>0</v>
      </c>
      <c r="BD29" s="4">
        <v>0</v>
      </c>
      <c r="BE29" s="4">
        <v>0</v>
      </c>
      <c r="BF29" s="4">
        <f t="shared" si="4"/>
        <v>20820</v>
      </c>
      <c r="BG29" s="4">
        <f t="shared" si="5"/>
        <v>7400</v>
      </c>
      <c r="BH29" s="4">
        <f t="shared" si="6"/>
        <v>0</v>
      </c>
      <c r="BI29" s="4">
        <f t="shared" si="7"/>
        <v>13420</v>
      </c>
    </row>
    <row r="30" spans="2:61" x14ac:dyDescent="0.25">
      <c r="C30">
        <v>366</v>
      </c>
      <c r="D30" t="s">
        <v>117</v>
      </c>
      <c r="E30" s="4">
        <v>0</v>
      </c>
      <c r="F30" s="4">
        <v>0</v>
      </c>
      <c r="G30" s="4">
        <v>0</v>
      </c>
      <c r="H30" s="4">
        <v>0</v>
      </c>
      <c r="I30" s="4">
        <v>0</v>
      </c>
      <c r="J30" s="4">
        <v>0</v>
      </c>
      <c r="K30" s="4">
        <v>0</v>
      </c>
      <c r="L30" s="4">
        <v>0</v>
      </c>
      <c r="M30" s="4">
        <v>0</v>
      </c>
      <c r="N30" s="4">
        <v>0</v>
      </c>
      <c r="O30" s="4">
        <v>15250</v>
      </c>
      <c r="P30" s="4">
        <v>0</v>
      </c>
      <c r="Q30" s="4">
        <v>0</v>
      </c>
      <c r="R30" s="4">
        <v>0</v>
      </c>
      <c r="S30" s="4">
        <v>0</v>
      </c>
      <c r="T30" s="4">
        <v>0</v>
      </c>
      <c r="U30" s="4">
        <v>0</v>
      </c>
      <c r="V30" s="4">
        <v>0</v>
      </c>
      <c r="W30" s="4">
        <v>0</v>
      </c>
      <c r="X30" s="4">
        <v>0</v>
      </c>
      <c r="Y30" s="4">
        <v>5000</v>
      </c>
      <c r="Z30" s="4">
        <v>0</v>
      </c>
      <c r="AA30" s="4">
        <v>0</v>
      </c>
      <c r="AB30" s="4">
        <v>0</v>
      </c>
      <c r="AC30" s="4">
        <v>0</v>
      </c>
      <c r="AD30" s="4">
        <v>0</v>
      </c>
      <c r="AE30" s="4">
        <v>0</v>
      </c>
      <c r="AF30" s="4">
        <v>0</v>
      </c>
      <c r="AG30" s="4">
        <v>0</v>
      </c>
      <c r="AH30" s="4">
        <v>0</v>
      </c>
      <c r="AI30" s="4">
        <v>0</v>
      </c>
      <c r="AJ30" s="4">
        <v>0</v>
      </c>
      <c r="AK30" s="4">
        <v>0</v>
      </c>
      <c r="AL30" s="4">
        <v>0</v>
      </c>
      <c r="AM30" s="4">
        <v>0</v>
      </c>
      <c r="AN30" s="4">
        <v>0</v>
      </c>
      <c r="AO30" s="4">
        <v>0</v>
      </c>
      <c r="AP30" s="4">
        <v>0</v>
      </c>
      <c r="AQ30" s="4">
        <v>0</v>
      </c>
      <c r="AR30" s="4">
        <v>0</v>
      </c>
      <c r="AS30" s="4">
        <v>0</v>
      </c>
      <c r="AT30" s="4">
        <v>0</v>
      </c>
      <c r="AU30" s="4">
        <v>0</v>
      </c>
      <c r="AV30" s="4">
        <v>0</v>
      </c>
      <c r="AW30" s="4">
        <v>0</v>
      </c>
      <c r="AX30" s="4">
        <v>0</v>
      </c>
      <c r="AY30" s="4">
        <v>0</v>
      </c>
      <c r="AZ30" s="4">
        <v>0</v>
      </c>
      <c r="BA30" s="4">
        <v>0</v>
      </c>
      <c r="BB30" s="4">
        <v>0</v>
      </c>
      <c r="BC30" s="4">
        <v>0</v>
      </c>
      <c r="BD30" s="4">
        <v>0</v>
      </c>
      <c r="BE30" s="4">
        <v>0</v>
      </c>
      <c r="BF30" s="4">
        <f t="shared" si="4"/>
        <v>20250</v>
      </c>
      <c r="BG30" s="4">
        <f t="shared" si="5"/>
        <v>15250</v>
      </c>
      <c r="BH30" s="4">
        <f t="shared" si="6"/>
        <v>5000</v>
      </c>
      <c r="BI30" s="4">
        <f t="shared" si="7"/>
        <v>0</v>
      </c>
    </row>
    <row r="31" spans="2:61" x14ac:dyDescent="0.25">
      <c r="C31">
        <v>389</v>
      </c>
      <c r="D31" t="s">
        <v>290</v>
      </c>
      <c r="E31" s="4">
        <v>0</v>
      </c>
      <c r="F31" s="4">
        <v>0</v>
      </c>
      <c r="G31" s="4">
        <v>0</v>
      </c>
      <c r="H31" s="4">
        <v>0</v>
      </c>
      <c r="I31" s="4">
        <v>470000</v>
      </c>
      <c r="J31" s="4">
        <v>0</v>
      </c>
      <c r="K31" s="4">
        <v>100000</v>
      </c>
      <c r="L31" s="4">
        <v>0</v>
      </c>
      <c r="M31" s="4">
        <v>0</v>
      </c>
      <c r="N31" s="4">
        <v>0</v>
      </c>
      <c r="O31" s="4">
        <v>0</v>
      </c>
      <c r="P31" s="4">
        <v>0</v>
      </c>
      <c r="Q31" s="4">
        <v>0</v>
      </c>
      <c r="R31" s="4">
        <v>0</v>
      </c>
      <c r="S31" s="4">
        <v>23651.4</v>
      </c>
      <c r="T31" s="4">
        <v>0</v>
      </c>
      <c r="U31" s="4">
        <v>0</v>
      </c>
      <c r="V31" s="4">
        <v>0</v>
      </c>
      <c r="W31" s="4">
        <v>787113.6</v>
      </c>
      <c r="X31" s="4">
        <v>21795.38</v>
      </c>
      <c r="Y31" s="4">
        <v>0</v>
      </c>
      <c r="Z31" s="4">
        <v>51438.41</v>
      </c>
      <c r="AA31" s="4">
        <v>0</v>
      </c>
      <c r="AB31" s="4">
        <v>0</v>
      </c>
      <c r="AC31" s="4">
        <v>0</v>
      </c>
      <c r="AD31" s="4">
        <v>0</v>
      </c>
      <c r="AE31" s="4">
        <v>0</v>
      </c>
      <c r="AF31" s="4">
        <v>0</v>
      </c>
      <c r="AG31" s="4">
        <v>200000</v>
      </c>
      <c r="AH31" s="4">
        <v>650000</v>
      </c>
      <c r="AI31" s="4">
        <v>0</v>
      </c>
      <c r="AJ31" s="4">
        <v>0</v>
      </c>
      <c r="AK31" s="4">
        <v>401659.89</v>
      </c>
      <c r="AL31" s="4">
        <v>32541</v>
      </c>
      <c r="AM31" s="4">
        <v>100000</v>
      </c>
      <c r="AN31" s="4">
        <v>2106.63</v>
      </c>
      <c r="AO31" s="4">
        <v>800000</v>
      </c>
      <c r="AP31" s="4">
        <v>0</v>
      </c>
      <c r="AQ31" s="4">
        <v>0</v>
      </c>
      <c r="AR31" s="4">
        <v>270000</v>
      </c>
      <c r="AS31" s="4">
        <v>275000</v>
      </c>
      <c r="AT31" s="4">
        <v>0</v>
      </c>
      <c r="AU31" s="4">
        <v>0</v>
      </c>
      <c r="AV31" s="4">
        <v>100000</v>
      </c>
      <c r="AW31" s="4">
        <v>248757.85</v>
      </c>
      <c r="AX31" s="4">
        <v>0</v>
      </c>
      <c r="AY31" s="4">
        <v>0</v>
      </c>
      <c r="AZ31" s="4">
        <v>200000</v>
      </c>
      <c r="BA31" s="4">
        <v>0</v>
      </c>
      <c r="BB31" s="4">
        <v>58973.21</v>
      </c>
      <c r="BC31" s="4">
        <v>0</v>
      </c>
      <c r="BD31" s="4">
        <v>0</v>
      </c>
      <c r="BE31" s="4">
        <v>60000</v>
      </c>
      <c r="BF31" s="4">
        <f t="shared" si="4"/>
        <v>4853037.37</v>
      </c>
      <c r="BG31" s="4">
        <f t="shared" si="5"/>
        <v>1380765</v>
      </c>
      <c r="BH31" s="4">
        <f t="shared" si="6"/>
        <v>923233.79</v>
      </c>
      <c r="BI31" s="4">
        <f t="shared" si="7"/>
        <v>2549038.58</v>
      </c>
    </row>
    <row r="32" spans="2:61" x14ac:dyDescent="0.25">
      <c r="C32">
        <v>3898</v>
      </c>
      <c r="D32" t="s">
        <v>292</v>
      </c>
      <c r="E32" s="4">
        <v>0</v>
      </c>
      <c r="F32" s="4">
        <v>0</v>
      </c>
      <c r="G32" s="4">
        <v>0</v>
      </c>
      <c r="H32" s="4">
        <v>0</v>
      </c>
      <c r="I32" s="4">
        <v>0</v>
      </c>
      <c r="J32" s="4">
        <v>0</v>
      </c>
      <c r="K32" s="4">
        <v>0</v>
      </c>
      <c r="L32" s="4">
        <v>0</v>
      </c>
      <c r="M32" s="4">
        <v>0</v>
      </c>
      <c r="N32" s="4">
        <v>0</v>
      </c>
      <c r="O32" s="4">
        <v>0</v>
      </c>
      <c r="P32" s="4">
        <v>0</v>
      </c>
      <c r="Q32" s="4">
        <v>0</v>
      </c>
      <c r="R32" s="4">
        <v>0</v>
      </c>
      <c r="S32" s="4">
        <v>0</v>
      </c>
      <c r="T32" s="4">
        <v>0</v>
      </c>
      <c r="U32" s="4">
        <v>0</v>
      </c>
      <c r="V32" s="4">
        <v>0</v>
      </c>
      <c r="W32" s="4">
        <v>0</v>
      </c>
      <c r="X32" s="4">
        <v>0</v>
      </c>
      <c r="Y32" s="4">
        <v>0</v>
      </c>
      <c r="Z32" s="4">
        <v>0</v>
      </c>
      <c r="AA32" s="4">
        <v>0</v>
      </c>
      <c r="AB32" s="4">
        <v>0</v>
      </c>
      <c r="AC32" s="4">
        <v>0</v>
      </c>
      <c r="AD32" s="4">
        <v>0</v>
      </c>
      <c r="AE32" s="4">
        <v>0</v>
      </c>
      <c r="AF32" s="4">
        <v>0</v>
      </c>
      <c r="AG32" s="4">
        <v>0</v>
      </c>
      <c r="AH32" s="4">
        <v>0</v>
      </c>
      <c r="AI32" s="4">
        <v>40000</v>
      </c>
      <c r="AJ32" s="4">
        <v>0</v>
      </c>
      <c r="AK32" s="4">
        <v>0</v>
      </c>
      <c r="AL32" s="4">
        <v>156400</v>
      </c>
      <c r="AM32" s="4">
        <v>0</v>
      </c>
      <c r="AN32" s="4">
        <v>0</v>
      </c>
      <c r="AO32" s="4">
        <v>0</v>
      </c>
      <c r="AP32" s="4">
        <v>0</v>
      </c>
      <c r="AQ32" s="4">
        <v>0</v>
      </c>
      <c r="AR32" s="4">
        <v>0</v>
      </c>
      <c r="AS32" s="4">
        <v>0</v>
      </c>
      <c r="AT32" s="4">
        <v>0</v>
      </c>
      <c r="AU32" s="4">
        <v>0</v>
      </c>
      <c r="AV32" s="4">
        <v>0</v>
      </c>
      <c r="AW32" s="4">
        <v>0</v>
      </c>
      <c r="AX32" s="4">
        <v>0</v>
      </c>
      <c r="AY32" s="4">
        <v>0</v>
      </c>
      <c r="AZ32" s="4">
        <v>0</v>
      </c>
      <c r="BA32" s="4">
        <v>0</v>
      </c>
      <c r="BB32" s="4">
        <v>0</v>
      </c>
      <c r="BC32" s="4">
        <v>0</v>
      </c>
      <c r="BD32" s="4">
        <v>0</v>
      </c>
      <c r="BE32" s="4">
        <v>0</v>
      </c>
      <c r="BF32" s="4">
        <f t="shared" si="4"/>
        <v>196400</v>
      </c>
      <c r="BG32" s="4">
        <f t="shared" si="5"/>
        <v>0</v>
      </c>
      <c r="BH32" s="4">
        <f t="shared" si="6"/>
        <v>40000</v>
      </c>
      <c r="BI32" s="4">
        <f t="shared" si="7"/>
        <v>156400</v>
      </c>
    </row>
    <row r="33" spans="1:61" x14ac:dyDescent="0.25">
      <c r="C33">
        <v>90010</v>
      </c>
      <c r="D33" t="s">
        <v>293</v>
      </c>
      <c r="E33" s="4">
        <v>0</v>
      </c>
      <c r="F33" s="4">
        <v>0</v>
      </c>
      <c r="G33" s="4">
        <v>0</v>
      </c>
      <c r="H33" s="4">
        <v>0</v>
      </c>
      <c r="I33" s="4">
        <v>0</v>
      </c>
      <c r="J33" s="4">
        <v>0</v>
      </c>
      <c r="K33" s="4">
        <v>0</v>
      </c>
      <c r="L33" s="4">
        <v>0</v>
      </c>
      <c r="M33" s="4">
        <v>0</v>
      </c>
      <c r="N33" s="4">
        <v>0</v>
      </c>
      <c r="O33" s="4">
        <v>0</v>
      </c>
      <c r="P33" s="4">
        <v>0</v>
      </c>
      <c r="Q33" s="4">
        <v>0</v>
      </c>
      <c r="R33" s="4">
        <v>0</v>
      </c>
      <c r="S33" s="4">
        <v>0</v>
      </c>
      <c r="T33" s="4">
        <v>0</v>
      </c>
      <c r="U33" s="4">
        <v>0</v>
      </c>
      <c r="V33" s="4">
        <v>0</v>
      </c>
      <c r="W33" s="4">
        <v>0</v>
      </c>
      <c r="X33" s="4">
        <v>0</v>
      </c>
      <c r="Y33" s="4">
        <v>0</v>
      </c>
      <c r="Z33" s="4">
        <v>0</v>
      </c>
      <c r="AA33" s="4">
        <v>0</v>
      </c>
      <c r="AB33" s="4">
        <v>0</v>
      </c>
      <c r="AC33" s="4">
        <v>0</v>
      </c>
      <c r="AD33" s="4">
        <v>0</v>
      </c>
      <c r="AE33" s="4">
        <v>0</v>
      </c>
      <c r="AF33" s="4">
        <v>0</v>
      </c>
      <c r="AG33" s="4">
        <v>0</v>
      </c>
      <c r="AH33" s="4">
        <v>0</v>
      </c>
      <c r="AI33" s="4">
        <v>0</v>
      </c>
      <c r="AJ33" s="4">
        <v>0</v>
      </c>
      <c r="AK33" s="4">
        <v>0</v>
      </c>
      <c r="AL33" s="4">
        <v>0</v>
      </c>
      <c r="AM33" s="4">
        <v>0</v>
      </c>
      <c r="AN33" s="4">
        <v>0</v>
      </c>
      <c r="AO33" s="4">
        <v>0</v>
      </c>
      <c r="AP33" s="4">
        <v>0</v>
      </c>
      <c r="AQ33" s="4">
        <v>0</v>
      </c>
      <c r="AR33" s="4">
        <v>0</v>
      </c>
      <c r="AS33" s="4">
        <v>0</v>
      </c>
      <c r="AT33" s="4">
        <v>0</v>
      </c>
      <c r="AU33" s="4">
        <v>0</v>
      </c>
      <c r="AV33" s="4">
        <v>0</v>
      </c>
      <c r="AW33" s="4">
        <v>0</v>
      </c>
      <c r="AX33" s="4">
        <v>0</v>
      </c>
      <c r="AY33" s="4">
        <v>0</v>
      </c>
      <c r="AZ33" s="4">
        <v>0</v>
      </c>
      <c r="BA33" s="4">
        <v>0</v>
      </c>
      <c r="BB33" s="4">
        <v>0</v>
      </c>
      <c r="BC33" s="4">
        <v>0</v>
      </c>
      <c r="BD33" s="4">
        <v>0</v>
      </c>
      <c r="BE33" s="4">
        <v>0</v>
      </c>
      <c r="BF33" s="4">
        <f t="shared" si="4"/>
        <v>0</v>
      </c>
      <c r="BG33" s="4">
        <f t="shared" si="5"/>
        <v>0</v>
      </c>
      <c r="BH33" s="4">
        <f t="shared" si="6"/>
        <v>0</v>
      </c>
      <c r="BI33" s="4">
        <f t="shared" si="7"/>
        <v>0</v>
      </c>
    </row>
    <row r="34" spans="1:61" x14ac:dyDescent="0.25">
      <c r="C34">
        <v>9031</v>
      </c>
      <c r="D34" t="s">
        <v>294</v>
      </c>
      <c r="E34" s="4">
        <v>0</v>
      </c>
      <c r="F34" s="4">
        <v>0</v>
      </c>
      <c r="G34" s="4">
        <v>0</v>
      </c>
      <c r="H34" s="4">
        <v>0</v>
      </c>
      <c r="I34" s="4">
        <v>0</v>
      </c>
      <c r="J34" s="4">
        <v>0</v>
      </c>
      <c r="K34" s="4">
        <v>0</v>
      </c>
      <c r="L34" s="4">
        <v>0</v>
      </c>
      <c r="M34" s="4">
        <v>0</v>
      </c>
      <c r="N34" s="4">
        <v>0</v>
      </c>
      <c r="O34" s="4">
        <v>0</v>
      </c>
      <c r="P34" s="4">
        <v>0</v>
      </c>
      <c r="Q34" s="4">
        <v>0</v>
      </c>
      <c r="R34" s="4">
        <v>0</v>
      </c>
      <c r="S34" s="4">
        <v>0</v>
      </c>
      <c r="T34" s="4">
        <v>0</v>
      </c>
      <c r="U34" s="4">
        <v>0</v>
      </c>
      <c r="V34" s="4">
        <v>0</v>
      </c>
      <c r="W34" s="4">
        <v>0</v>
      </c>
      <c r="X34" s="4">
        <v>0</v>
      </c>
      <c r="Y34" s="4">
        <v>0</v>
      </c>
      <c r="Z34" s="4">
        <v>0</v>
      </c>
      <c r="AA34" s="4">
        <v>0</v>
      </c>
      <c r="AB34" s="4">
        <v>0</v>
      </c>
      <c r="AC34" s="4">
        <v>0</v>
      </c>
      <c r="AD34" s="4">
        <v>0</v>
      </c>
      <c r="AE34" s="4">
        <v>0</v>
      </c>
      <c r="AF34" s="4">
        <v>0</v>
      </c>
      <c r="AG34" s="4">
        <v>0</v>
      </c>
      <c r="AH34" s="4">
        <v>0</v>
      </c>
      <c r="AI34" s="4">
        <v>0</v>
      </c>
      <c r="AJ34" s="4">
        <v>0</v>
      </c>
      <c r="AK34" s="4">
        <v>0</v>
      </c>
      <c r="AL34" s="4">
        <v>0</v>
      </c>
      <c r="AM34" s="4">
        <v>0</v>
      </c>
      <c r="AN34" s="4">
        <v>0</v>
      </c>
      <c r="AO34" s="4">
        <v>0</v>
      </c>
      <c r="AP34" s="4">
        <v>0</v>
      </c>
      <c r="AQ34" s="4">
        <v>0</v>
      </c>
      <c r="AR34" s="4">
        <v>0</v>
      </c>
      <c r="AS34" s="4">
        <v>0</v>
      </c>
      <c r="AT34" s="4">
        <v>0</v>
      </c>
      <c r="AU34" s="4">
        <v>0</v>
      </c>
      <c r="AV34" s="4">
        <v>0</v>
      </c>
      <c r="AW34" s="4">
        <v>0</v>
      </c>
      <c r="AX34" s="4">
        <v>0</v>
      </c>
      <c r="AY34" s="4">
        <v>0</v>
      </c>
      <c r="AZ34" s="4">
        <v>0</v>
      </c>
      <c r="BA34" s="4">
        <v>0</v>
      </c>
      <c r="BB34" s="4">
        <v>0</v>
      </c>
      <c r="BC34" s="4">
        <v>0</v>
      </c>
      <c r="BD34" s="4">
        <v>0</v>
      </c>
      <c r="BE34" s="4">
        <v>0</v>
      </c>
      <c r="BF34" s="4">
        <f t="shared" si="4"/>
        <v>0</v>
      </c>
      <c r="BG34" s="4">
        <f t="shared" si="5"/>
        <v>0</v>
      </c>
      <c r="BH34" s="4">
        <f t="shared" si="6"/>
        <v>0</v>
      </c>
      <c r="BI34" s="4">
        <f t="shared" si="7"/>
        <v>0</v>
      </c>
    </row>
    <row r="35" spans="1:61" x14ac:dyDescent="0.25">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row>
    <row r="36" spans="1:61" ht="21" x14ac:dyDescent="0.35">
      <c r="A36" s="110">
        <v>4</v>
      </c>
      <c r="B36" s="110"/>
      <c r="C36" s="110"/>
      <c r="D36" s="110" t="s">
        <v>576</v>
      </c>
      <c r="E36" s="111"/>
      <c r="F36" s="111"/>
      <c r="G36" s="111"/>
      <c r="H36" s="111"/>
      <c r="I36" s="111"/>
      <c r="J36" s="111"/>
      <c r="K36" s="111"/>
      <c r="L36" s="111"/>
      <c r="M36" s="111"/>
      <c r="N36" s="111"/>
      <c r="O36" s="111"/>
      <c r="P36" s="111"/>
      <c r="Q36" s="111"/>
      <c r="R36" s="111"/>
      <c r="S36" s="111"/>
      <c r="T36" s="111"/>
      <c r="U36" s="111"/>
      <c r="V36" s="111"/>
      <c r="W36" s="111"/>
      <c r="X36" s="111"/>
      <c r="Y36" s="111"/>
      <c r="Z36" s="111"/>
      <c r="AA36" s="111"/>
      <c r="AB36" s="111"/>
      <c r="AC36" s="111"/>
      <c r="AD36" s="111"/>
      <c r="AE36" s="111"/>
      <c r="AF36" s="111"/>
      <c r="AG36" s="111"/>
      <c r="AH36" s="111"/>
      <c r="AI36" s="111"/>
      <c r="AJ36" s="111"/>
      <c r="AK36" s="111"/>
      <c r="AL36" s="111"/>
      <c r="AM36" s="111"/>
      <c r="AN36" s="111"/>
      <c r="AO36" s="111"/>
      <c r="AP36" s="111"/>
      <c r="AQ36" s="111"/>
      <c r="AR36" s="111"/>
      <c r="AS36" s="111"/>
      <c r="AT36" s="111"/>
      <c r="AU36" s="111"/>
      <c r="AV36" s="111"/>
      <c r="AW36" s="111"/>
      <c r="AX36" s="111"/>
      <c r="AY36" s="111"/>
      <c r="AZ36" s="111"/>
      <c r="BA36" s="111"/>
      <c r="BB36" s="111"/>
      <c r="BC36" s="111"/>
      <c r="BD36" s="111"/>
      <c r="BE36" s="111"/>
      <c r="BF36" s="111"/>
      <c r="BG36" s="111"/>
      <c r="BH36" s="111"/>
      <c r="BI36" s="111"/>
    </row>
    <row r="37" spans="1:61" x14ac:dyDescent="0.25">
      <c r="C37">
        <v>4</v>
      </c>
      <c r="D37" t="s">
        <v>137</v>
      </c>
      <c r="E37" s="4">
        <v>2484648.4500000002</v>
      </c>
      <c r="F37" s="4">
        <v>1055665.27</v>
      </c>
      <c r="G37" s="4">
        <v>1542170.09</v>
      </c>
      <c r="H37" s="4">
        <v>1977595.98</v>
      </c>
      <c r="I37" s="4">
        <v>15874152</v>
      </c>
      <c r="J37" s="4">
        <v>13528253.02</v>
      </c>
      <c r="K37" s="4">
        <v>10538476.91</v>
      </c>
      <c r="L37" s="4">
        <v>104352081.14</v>
      </c>
      <c r="M37" s="4">
        <v>7769549.9000000004</v>
      </c>
      <c r="N37" s="4">
        <v>526788.53</v>
      </c>
      <c r="O37" s="4">
        <v>27337755.82</v>
      </c>
      <c r="P37" s="4">
        <v>1889354.54</v>
      </c>
      <c r="Q37" s="4">
        <v>420828.52</v>
      </c>
      <c r="R37" s="4">
        <v>1018982.93</v>
      </c>
      <c r="S37" s="4">
        <v>837138.83</v>
      </c>
      <c r="T37" s="4">
        <v>3028687.98</v>
      </c>
      <c r="U37" s="4">
        <v>946108.07</v>
      </c>
      <c r="V37" s="4">
        <v>2158247.85</v>
      </c>
      <c r="W37" s="4">
        <v>12795603.93</v>
      </c>
      <c r="X37" s="4">
        <v>822382.96</v>
      </c>
      <c r="Y37" s="4">
        <v>7518799.2599999998</v>
      </c>
      <c r="Z37" s="4">
        <v>11534604.16</v>
      </c>
      <c r="AA37" s="4">
        <v>656370.62</v>
      </c>
      <c r="AB37" s="4">
        <v>883560.33</v>
      </c>
      <c r="AC37" s="4">
        <v>1416378.81</v>
      </c>
      <c r="AD37" s="4">
        <v>3410325.77</v>
      </c>
      <c r="AE37" s="4">
        <v>2778539.63</v>
      </c>
      <c r="AF37" s="4">
        <v>3466791.29</v>
      </c>
      <c r="AG37" s="4">
        <v>10157491.630000001</v>
      </c>
      <c r="AH37" s="4">
        <v>12700411.98</v>
      </c>
      <c r="AI37" s="4">
        <v>1094727.8799999999</v>
      </c>
      <c r="AJ37" s="4">
        <v>716212.09</v>
      </c>
      <c r="AK37" s="4">
        <v>5885786.6500000004</v>
      </c>
      <c r="AL37" s="4">
        <v>5678645</v>
      </c>
      <c r="AM37" s="4">
        <v>5433082.5800000001</v>
      </c>
      <c r="AN37" s="4">
        <v>342747.26</v>
      </c>
      <c r="AO37" s="4">
        <v>9404092.9000000004</v>
      </c>
      <c r="AP37" s="4">
        <v>3880880.65</v>
      </c>
      <c r="AQ37" s="4">
        <v>1738358</v>
      </c>
      <c r="AR37" s="4">
        <v>3259670.81</v>
      </c>
      <c r="AS37" s="4">
        <v>1748640.05</v>
      </c>
      <c r="AT37" s="4">
        <v>2536343.5</v>
      </c>
      <c r="AU37" s="4">
        <v>283135.43</v>
      </c>
      <c r="AV37" s="4">
        <v>8668513.6099999994</v>
      </c>
      <c r="AW37" s="4">
        <v>3321892.18</v>
      </c>
      <c r="AX37" s="4">
        <v>653978</v>
      </c>
      <c r="AY37" s="4">
        <v>906867.19999999995</v>
      </c>
      <c r="AZ37" s="4">
        <v>5064301.16</v>
      </c>
      <c r="BA37" s="4">
        <v>1735107.11</v>
      </c>
      <c r="BB37" s="4">
        <v>3523672.39</v>
      </c>
      <c r="BC37" s="4">
        <v>754241</v>
      </c>
      <c r="BD37" s="4">
        <v>40168822.840000004</v>
      </c>
      <c r="BE37" s="4">
        <v>2536564.2200000002</v>
      </c>
      <c r="BF37" s="4">
        <f t="shared" ref="BF37:BF55" si="8">SUM(E37:BE37)</f>
        <v>374764028.71000004</v>
      </c>
      <c r="BG37" s="4">
        <f t="shared" ref="BG37:BG55" si="9">SUM(E37:W37)</f>
        <v>210082089.76000002</v>
      </c>
      <c r="BH37" s="4">
        <f t="shared" ref="BH37:BH55" si="10">SUM(X37:AJ37)</f>
        <v>57156596.410000004</v>
      </c>
      <c r="BI37" s="4">
        <f t="shared" ref="BI37:BI55" si="11">SUM(AK37:BE37)</f>
        <v>107525342.54000001</v>
      </c>
    </row>
    <row r="38" spans="1:61" x14ac:dyDescent="0.25">
      <c r="C38">
        <v>400</v>
      </c>
      <c r="D38" t="s">
        <v>278</v>
      </c>
      <c r="E38" s="4">
        <v>2089448.2</v>
      </c>
      <c r="F38" s="4">
        <v>492282.79</v>
      </c>
      <c r="G38" s="4">
        <v>949917.15</v>
      </c>
      <c r="H38" s="4">
        <v>841221.18</v>
      </c>
      <c r="I38" s="4">
        <v>7675747</v>
      </c>
      <c r="J38" s="4">
        <v>7567612.5700000003</v>
      </c>
      <c r="K38" s="4">
        <v>5914223.3300000001</v>
      </c>
      <c r="L38" s="4">
        <v>28291546</v>
      </c>
      <c r="M38" s="4">
        <v>2993299.47</v>
      </c>
      <c r="N38" s="4">
        <v>178520.05</v>
      </c>
      <c r="O38" s="4">
        <v>14978467.65</v>
      </c>
      <c r="P38" s="4">
        <v>923297.55</v>
      </c>
      <c r="Q38" s="4">
        <v>233632.67</v>
      </c>
      <c r="R38" s="4">
        <v>894841.17</v>
      </c>
      <c r="S38" s="4">
        <v>722684.29</v>
      </c>
      <c r="T38" s="4">
        <v>1853875.05</v>
      </c>
      <c r="U38" s="4">
        <v>414418.45</v>
      </c>
      <c r="V38" s="4">
        <v>976276.95</v>
      </c>
      <c r="W38" s="4">
        <v>6954871.4000000004</v>
      </c>
      <c r="X38" s="4">
        <v>705231.84</v>
      </c>
      <c r="Y38" s="4">
        <v>5167560.4800000004</v>
      </c>
      <c r="Z38" s="4">
        <v>2851513.73</v>
      </c>
      <c r="AA38" s="4">
        <v>201253.2</v>
      </c>
      <c r="AB38" s="4">
        <v>272253.90000000002</v>
      </c>
      <c r="AC38" s="4">
        <v>1175064.6599999999</v>
      </c>
      <c r="AD38" s="4">
        <v>1415436</v>
      </c>
      <c r="AE38" s="4">
        <v>1180186.76</v>
      </c>
      <c r="AF38" s="4">
        <v>1212954.99</v>
      </c>
      <c r="AG38" s="4">
        <v>4742424.3499999996</v>
      </c>
      <c r="AH38" s="4">
        <v>6279646.9500000002</v>
      </c>
      <c r="AI38" s="4">
        <v>351906.95</v>
      </c>
      <c r="AJ38" s="4">
        <v>243024.85</v>
      </c>
      <c r="AK38" s="4">
        <v>4750955.45</v>
      </c>
      <c r="AL38" s="4">
        <v>2118419</v>
      </c>
      <c r="AM38" s="4">
        <v>2412689.29</v>
      </c>
      <c r="AN38" s="4">
        <v>281720.31</v>
      </c>
      <c r="AO38" s="4">
        <v>3131674.65</v>
      </c>
      <c r="AP38" s="4">
        <v>1357873.47</v>
      </c>
      <c r="AQ38" s="4">
        <v>1539192</v>
      </c>
      <c r="AR38" s="4">
        <v>2468752.63</v>
      </c>
      <c r="AS38" s="4">
        <v>1710364.38</v>
      </c>
      <c r="AT38" s="4">
        <v>2113393.6</v>
      </c>
      <c r="AU38" s="4">
        <v>104808.02</v>
      </c>
      <c r="AV38" s="4">
        <v>5179504.8499999996</v>
      </c>
      <c r="AW38" s="4">
        <v>2050363.3</v>
      </c>
      <c r="AX38" s="4">
        <v>313398.7</v>
      </c>
      <c r="AY38" s="4">
        <v>714266.27</v>
      </c>
      <c r="AZ38" s="4">
        <v>4221312.49</v>
      </c>
      <c r="BA38" s="4">
        <v>761215.9</v>
      </c>
      <c r="BB38" s="4">
        <v>2495255.44</v>
      </c>
      <c r="BC38" s="4">
        <v>327291.61</v>
      </c>
      <c r="BD38" s="4">
        <v>16446907.85</v>
      </c>
      <c r="BE38" s="4">
        <v>1229515.01</v>
      </c>
      <c r="BF38" s="4">
        <f t="shared" si="8"/>
        <v>166473515.80000004</v>
      </c>
      <c r="BG38" s="4">
        <f t="shared" si="9"/>
        <v>84946182.920000017</v>
      </c>
      <c r="BH38" s="4">
        <f t="shared" si="10"/>
        <v>25798458.66</v>
      </c>
      <c r="BI38" s="4">
        <f t="shared" si="11"/>
        <v>55728874.219999991</v>
      </c>
    </row>
    <row r="39" spans="1:61" x14ac:dyDescent="0.25">
      <c r="C39">
        <v>401</v>
      </c>
      <c r="D39" t="s">
        <v>280</v>
      </c>
      <c r="E39" s="4">
        <v>99854.85</v>
      </c>
      <c r="F39" s="4">
        <v>3715.57</v>
      </c>
      <c r="G39" s="4">
        <v>31467.08</v>
      </c>
      <c r="H39" s="4">
        <v>40843.800000000003</v>
      </c>
      <c r="I39" s="4">
        <v>307672</v>
      </c>
      <c r="J39" s="4">
        <v>443475.74</v>
      </c>
      <c r="K39" s="4">
        <v>609166.68999999994</v>
      </c>
      <c r="L39" s="4">
        <v>7757076.1799999997</v>
      </c>
      <c r="M39" s="4">
        <v>296224.62</v>
      </c>
      <c r="N39" s="4">
        <v>5310.2</v>
      </c>
      <c r="O39" s="4">
        <v>1231334.8999999999</v>
      </c>
      <c r="P39" s="4">
        <v>24811.05</v>
      </c>
      <c r="Q39" s="4">
        <v>307.39999999999998</v>
      </c>
      <c r="R39" s="4">
        <v>10607</v>
      </c>
      <c r="S39" s="4">
        <v>8931.7900000000009</v>
      </c>
      <c r="T39" s="4">
        <v>41352.97</v>
      </c>
      <c r="U39" s="4">
        <v>8919.2000000000007</v>
      </c>
      <c r="V39" s="4">
        <v>132540.15</v>
      </c>
      <c r="W39" s="4">
        <v>406055.6</v>
      </c>
      <c r="X39" s="4">
        <v>1889.38</v>
      </c>
      <c r="Y39" s="4">
        <v>16408.3</v>
      </c>
      <c r="Z39" s="4">
        <v>3132885.03</v>
      </c>
      <c r="AA39" s="4">
        <v>0</v>
      </c>
      <c r="AB39" s="4">
        <v>7463.25</v>
      </c>
      <c r="AC39" s="4">
        <v>81437.100000000006</v>
      </c>
      <c r="AD39" s="4">
        <v>58675.06</v>
      </c>
      <c r="AE39" s="4">
        <v>24369.73</v>
      </c>
      <c r="AF39" s="4">
        <v>31256.28</v>
      </c>
      <c r="AG39" s="4">
        <v>1530576.78</v>
      </c>
      <c r="AH39" s="4">
        <v>669347.07999999996</v>
      </c>
      <c r="AI39" s="4">
        <v>21715.599999999999</v>
      </c>
      <c r="AJ39" s="4">
        <v>3667</v>
      </c>
      <c r="AK39" s="4">
        <v>373929.65</v>
      </c>
      <c r="AL39" s="4">
        <v>48279</v>
      </c>
      <c r="AM39" s="4">
        <v>65945.75</v>
      </c>
      <c r="AN39" s="4">
        <v>10368.65</v>
      </c>
      <c r="AO39" s="4">
        <v>3851675.5</v>
      </c>
      <c r="AP39" s="4">
        <v>293639.55</v>
      </c>
      <c r="AQ39" s="4">
        <v>10345</v>
      </c>
      <c r="AR39" s="4">
        <v>93326.42</v>
      </c>
      <c r="AS39" s="4">
        <v>14983.78</v>
      </c>
      <c r="AT39" s="4">
        <v>61337.4</v>
      </c>
      <c r="AU39" s="4">
        <v>130686.46</v>
      </c>
      <c r="AV39" s="4">
        <v>715760.85</v>
      </c>
      <c r="AW39" s="4">
        <v>135833.45000000001</v>
      </c>
      <c r="AX39" s="4">
        <v>6096.07</v>
      </c>
      <c r="AY39" s="4">
        <v>37440.879999999997</v>
      </c>
      <c r="AZ39" s="4">
        <v>310800.92</v>
      </c>
      <c r="BA39" s="4">
        <v>14945.6</v>
      </c>
      <c r="BB39" s="4">
        <v>516787.33</v>
      </c>
      <c r="BC39" s="4">
        <v>1415.15</v>
      </c>
      <c r="BD39" s="4">
        <v>2530547.2000000002</v>
      </c>
      <c r="BE39" s="4">
        <v>33491.089999999997</v>
      </c>
      <c r="BF39" s="4">
        <f t="shared" si="8"/>
        <v>26296993.079999998</v>
      </c>
      <c r="BG39" s="4">
        <f t="shared" si="9"/>
        <v>11459666.789999999</v>
      </c>
      <c r="BH39" s="4">
        <f t="shared" si="10"/>
        <v>5579690.5899999999</v>
      </c>
      <c r="BI39" s="4">
        <f t="shared" si="11"/>
        <v>9257635.6999999993</v>
      </c>
    </row>
    <row r="40" spans="1:61" x14ac:dyDescent="0.25">
      <c r="C40">
        <v>402</v>
      </c>
      <c r="D40" t="s">
        <v>140</v>
      </c>
      <c r="E40" s="4">
        <v>281123.40000000002</v>
      </c>
      <c r="F40" s="4">
        <v>138262.35</v>
      </c>
      <c r="G40" s="4">
        <v>110576.6</v>
      </c>
      <c r="H40" s="4">
        <v>170449.82</v>
      </c>
      <c r="I40" s="4">
        <v>1335684</v>
      </c>
      <c r="J40" s="4">
        <v>1139394.45</v>
      </c>
      <c r="K40" s="4">
        <v>683222</v>
      </c>
      <c r="L40" s="4">
        <v>4912126.33</v>
      </c>
      <c r="M40" s="4">
        <v>462554.85</v>
      </c>
      <c r="N40" s="4">
        <v>16427</v>
      </c>
      <c r="O40" s="4">
        <v>2194295.7000000002</v>
      </c>
      <c r="P40" s="4">
        <v>220168.56</v>
      </c>
      <c r="Q40" s="4">
        <v>25681.25</v>
      </c>
      <c r="R40" s="4">
        <v>96107.61</v>
      </c>
      <c r="S40" s="4">
        <v>91120.95</v>
      </c>
      <c r="T40" s="4">
        <v>270036.59000000003</v>
      </c>
      <c r="U40" s="4">
        <v>84421.05</v>
      </c>
      <c r="V40" s="4">
        <v>151282.5</v>
      </c>
      <c r="W40" s="4">
        <v>1036483.25</v>
      </c>
      <c r="X40" s="4">
        <v>95719.5</v>
      </c>
      <c r="Y40" s="4">
        <v>259447.3</v>
      </c>
      <c r="Z40" s="4">
        <v>865026.73</v>
      </c>
      <c r="AA40" s="4">
        <v>39114.620000000003</v>
      </c>
      <c r="AB40" s="4">
        <v>70081.95</v>
      </c>
      <c r="AC40" s="4">
        <v>150596.65</v>
      </c>
      <c r="AD40" s="4">
        <v>218894.91</v>
      </c>
      <c r="AE40" s="4">
        <v>266902.92</v>
      </c>
      <c r="AF40" s="4">
        <v>234894.04</v>
      </c>
      <c r="AG40" s="4">
        <v>739422.05</v>
      </c>
      <c r="AH40" s="4">
        <v>808001.55</v>
      </c>
      <c r="AI40" s="4">
        <v>66988.38</v>
      </c>
      <c r="AJ40" s="4">
        <v>134573.5</v>
      </c>
      <c r="AK40" s="4">
        <v>751901.55</v>
      </c>
      <c r="AL40" s="4">
        <v>409757</v>
      </c>
      <c r="AM40" s="4">
        <v>377571.85</v>
      </c>
      <c r="AN40" s="4">
        <v>45781.25</v>
      </c>
      <c r="AO40" s="4">
        <v>357193.1</v>
      </c>
      <c r="AP40" s="4">
        <v>255046.75</v>
      </c>
      <c r="AQ40" s="4">
        <v>163150</v>
      </c>
      <c r="AR40" s="4">
        <v>585174.31000000006</v>
      </c>
      <c r="AS40" s="4">
        <v>313806.43</v>
      </c>
      <c r="AT40" s="4">
        <v>354657.5</v>
      </c>
      <c r="AU40" s="4">
        <v>43040.55</v>
      </c>
      <c r="AV40" s="4">
        <v>892136.85</v>
      </c>
      <c r="AW40" s="4">
        <v>347850.9</v>
      </c>
      <c r="AX40" s="4">
        <v>49210.86</v>
      </c>
      <c r="AY40" s="4">
        <v>150463.70000000001</v>
      </c>
      <c r="AZ40" s="4">
        <v>509536.15</v>
      </c>
      <c r="BA40" s="4">
        <v>165610.9</v>
      </c>
      <c r="BB40" s="4">
        <v>442670.12</v>
      </c>
      <c r="BC40" s="4">
        <v>64155.35</v>
      </c>
      <c r="BD40" s="4">
        <v>2959789.75</v>
      </c>
      <c r="BE40" s="4">
        <v>205660.37</v>
      </c>
      <c r="BF40" s="4">
        <f t="shared" si="8"/>
        <v>26813247.600000001</v>
      </c>
      <c r="BG40" s="4">
        <f t="shared" si="9"/>
        <v>13419418.26</v>
      </c>
      <c r="BH40" s="4">
        <f t="shared" si="10"/>
        <v>3949664.0999999996</v>
      </c>
      <c r="BI40" s="4">
        <f t="shared" si="11"/>
        <v>9444165.2400000002</v>
      </c>
    </row>
    <row r="41" spans="1:61" x14ac:dyDescent="0.25">
      <c r="C41">
        <v>440</v>
      </c>
      <c r="D41" t="s">
        <v>281</v>
      </c>
      <c r="E41" s="4">
        <v>17852.91</v>
      </c>
      <c r="F41" s="4">
        <v>14092.86</v>
      </c>
      <c r="G41" s="4">
        <v>7262.16</v>
      </c>
      <c r="H41" s="4">
        <v>7231.52</v>
      </c>
      <c r="I41" s="4">
        <v>147881</v>
      </c>
      <c r="J41" s="4">
        <v>110134.57</v>
      </c>
      <c r="K41" s="4">
        <v>92398.8</v>
      </c>
      <c r="L41" s="4">
        <v>839026.92</v>
      </c>
      <c r="M41" s="4">
        <v>42133.760000000002</v>
      </c>
      <c r="N41" s="4">
        <v>571.49</v>
      </c>
      <c r="O41" s="4">
        <v>153813.91</v>
      </c>
      <c r="P41" s="4">
        <v>6893.74</v>
      </c>
      <c r="Q41" s="4">
        <v>3224.6</v>
      </c>
      <c r="R41" s="4">
        <v>25.39</v>
      </c>
      <c r="S41" s="4">
        <v>0</v>
      </c>
      <c r="T41" s="4">
        <v>20393.48</v>
      </c>
      <c r="U41" s="4">
        <v>4934.32</v>
      </c>
      <c r="V41" s="4">
        <v>18651.38</v>
      </c>
      <c r="W41" s="4">
        <v>84414.84</v>
      </c>
      <c r="X41" s="4">
        <v>4036.93</v>
      </c>
      <c r="Y41" s="4">
        <v>39911.230000000003</v>
      </c>
      <c r="Z41" s="4">
        <v>32275.279999999999</v>
      </c>
      <c r="AA41" s="4">
        <v>1441.7</v>
      </c>
      <c r="AB41" s="4">
        <v>3866.07</v>
      </c>
      <c r="AC41" s="4">
        <v>10163.709999999999</v>
      </c>
      <c r="AD41" s="4">
        <v>12975.76</v>
      </c>
      <c r="AE41" s="4">
        <v>8325.84</v>
      </c>
      <c r="AF41" s="4">
        <v>0.03</v>
      </c>
      <c r="AG41" s="4">
        <v>24520.51</v>
      </c>
      <c r="AH41" s="4">
        <v>56099.360000000001</v>
      </c>
      <c r="AI41" s="4">
        <v>5382</v>
      </c>
      <c r="AJ41" s="4">
        <v>1867.57</v>
      </c>
      <c r="AK41" s="4">
        <v>189874.47</v>
      </c>
      <c r="AL41" s="4">
        <v>65144</v>
      </c>
      <c r="AM41" s="4">
        <v>36183.730000000003</v>
      </c>
      <c r="AN41" s="4">
        <v>5054.3</v>
      </c>
      <c r="AO41" s="4">
        <v>21296.17</v>
      </c>
      <c r="AP41" s="4">
        <v>26446.03</v>
      </c>
      <c r="AQ41" s="4">
        <v>18471</v>
      </c>
      <c r="AR41" s="4">
        <v>38140.639999999999</v>
      </c>
      <c r="AS41" s="4">
        <v>38738.620000000003</v>
      </c>
      <c r="AT41" s="4">
        <v>60576.639999999999</v>
      </c>
      <c r="AU41" s="4">
        <v>6079.05</v>
      </c>
      <c r="AV41" s="4">
        <v>57507.01</v>
      </c>
      <c r="AW41" s="4">
        <v>20126.89</v>
      </c>
      <c r="AX41" s="4">
        <v>4114.5600000000004</v>
      </c>
      <c r="AY41" s="4">
        <v>11981.21</v>
      </c>
      <c r="AZ41" s="4">
        <v>42596.1</v>
      </c>
      <c r="BA41" s="4">
        <v>10597</v>
      </c>
      <c r="BB41" s="4">
        <v>41362.76</v>
      </c>
      <c r="BC41" s="4">
        <v>8877.09</v>
      </c>
      <c r="BD41" s="4">
        <v>337144.49</v>
      </c>
      <c r="BE41" s="4">
        <v>34166.39</v>
      </c>
      <c r="BF41" s="4">
        <f t="shared" si="8"/>
        <v>2846281.7899999996</v>
      </c>
      <c r="BG41" s="4">
        <f t="shared" si="9"/>
        <v>1570937.65</v>
      </c>
      <c r="BH41" s="4">
        <f t="shared" si="10"/>
        <v>200865.99</v>
      </c>
      <c r="BI41" s="4">
        <f t="shared" si="11"/>
        <v>1074478.1499999999</v>
      </c>
    </row>
    <row r="42" spans="1:61" x14ac:dyDescent="0.25">
      <c r="C42">
        <v>441</v>
      </c>
      <c r="D42" t="s">
        <v>283</v>
      </c>
      <c r="E42" s="4">
        <v>0</v>
      </c>
      <c r="F42" s="4">
        <v>0</v>
      </c>
      <c r="G42" s="4">
        <v>0</v>
      </c>
      <c r="H42" s="4">
        <v>0</v>
      </c>
      <c r="I42" s="4">
        <v>0</v>
      </c>
      <c r="J42" s="4">
        <v>0</v>
      </c>
      <c r="K42" s="4">
        <v>0</v>
      </c>
      <c r="L42" s="4">
        <v>0</v>
      </c>
      <c r="M42" s="4">
        <v>161440</v>
      </c>
      <c r="N42" s="4">
        <v>0</v>
      </c>
      <c r="O42" s="4">
        <v>0</v>
      </c>
      <c r="P42" s="4">
        <v>0</v>
      </c>
      <c r="Q42" s="4">
        <v>0</v>
      </c>
      <c r="R42" s="4">
        <v>0</v>
      </c>
      <c r="S42" s="4">
        <v>0</v>
      </c>
      <c r="T42" s="4">
        <v>0</v>
      </c>
      <c r="U42" s="4">
        <v>0</v>
      </c>
      <c r="V42" s="4">
        <v>0</v>
      </c>
      <c r="W42" s="4">
        <v>1850</v>
      </c>
      <c r="X42" s="4">
        <v>130067.05</v>
      </c>
      <c r="Y42" s="4">
        <v>0</v>
      </c>
      <c r="Z42" s="4">
        <v>0</v>
      </c>
      <c r="AA42" s="4">
        <v>0</v>
      </c>
      <c r="AB42" s="4">
        <v>0</v>
      </c>
      <c r="AC42" s="4">
        <v>0</v>
      </c>
      <c r="AD42" s="4">
        <v>67970.5</v>
      </c>
      <c r="AE42" s="4">
        <v>0</v>
      </c>
      <c r="AF42" s="4">
        <v>0</v>
      </c>
      <c r="AG42" s="4">
        <v>77540</v>
      </c>
      <c r="AH42" s="4">
        <v>53268</v>
      </c>
      <c r="AI42" s="4">
        <v>0</v>
      </c>
      <c r="AJ42" s="4">
        <v>4305</v>
      </c>
      <c r="AK42" s="4">
        <v>0</v>
      </c>
      <c r="AL42" s="4">
        <v>0</v>
      </c>
      <c r="AM42" s="4">
        <v>0</v>
      </c>
      <c r="AN42" s="4">
        <v>0</v>
      </c>
      <c r="AO42" s="4">
        <v>0</v>
      </c>
      <c r="AP42" s="4">
        <v>0</v>
      </c>
      <c r="AQ42" s="4">
        <v>0</v>
      </c>
      <c r="AR42" s="4">
        <v>34260</v>
      </c>
      <c r="AS42" s="4">
        <v>0</v>
      </c>
      <c r="AT42" s="4">
        <v>0</v>
      </c>
      <c r="AU42" s="4">
        <v>0</v>
      </c>
      <c r="AV42" s="4">
        <v>0</v>
      </c>
      <c r="AW42" s="4">
        <v>0</v>
      </c>
      <c r="AX42" s="4">
        <v>0</v>
      </c>
      <c r="AY42" s="4">
        <v>4485</v>
      </c>
      <c r="AZ42" s="4">
        <v>0</v>
      </c>
      <c r="BA42" s="4">
        <v>0</v>
      </c>
      <c r="BB42" s="4">
        <v>2337.5</v>
      </c>
      <c r="BC42" s="4">
        <v>0</v>
      </c>
      <c r="BD42" s="4">
        <v>0</v>
      </c>
      <c r="BE42" s="4">
        <v>0</v>
      </c>
      <c r="BF42" s="4">
        <f t="shared" si="8"/>
        <v>537523.05000000005</v>
      </c>
      <c r="BG42" s="4">
        <f t="shared" si="9"/>
        <v>163290</v>
      </c>
      <c r="BH42" s="4">
        <f t="shared" si="10"/>
        <v>333150.55</v>
      </c>
      <c r="BI42" s="4">
        <f t="shared" si="11"/>
        <v>41082.5</v>
      </c>
    </row>
    <row r="43" spans="1:61" x14ac:dyDescent="0.25">
      <c r="C43">
        <v>442</v>
      </c>
      <c r="D43" t="s">
        <v>284</v>
      </c>
      <c r="E43" s="4">
        <v>39</v>
      </c>
      <c r="F43" s="4">
        <v>0</v>
      </c>
      <c r="G43" s="4">
        <v>0</v>
      </c>
      <c r="H43" s="4">
        <v>0</v>
      </c>
      <c r="I43" s="4">
        <v>50252</v>
      </c>
      <c r="J43" s="4">
        <v>1524</v>
      </c>
      <c r="K43" s="4">
        <v>0</v>
      </c>
      <c r="L43" s="4">
        <v>35152.5</v>
      </c>
      <c r="M43" s="4">
        <v>0</v>
      </c>
      <c r="N43" s="4">
        <v>0</v>
      </c>
      <c r="O43" s="4">
        <v>3675</v>
      </c>
      <c r="P43" s="4">
        <v>0</v>
      </c>
      <c r="Q43" s="4">
        <v>17</v>
      </c>
      <c r="R43" s="4">
        <v>0</v>
      </c>
      <c r="S43" s="4">
        <v>3.25</v>
      </c>
      <c r="T43" s="4">
        <v>487.5</v>
      </c>
      <c r="U43" s="4">
        <v>0</v>
      </c>
      <c r="V43" s="4">
        <v>3.25</v>
      </c>
      <c r="W43" s="4">
        <v>180</v>
      </c>
      <c r="X43" s="4">
        <v>5</v>
      </c>
      <c r="Y43" s="4">
        <v>0</v>
      </c>
      <c r="Z43" s="4">
        <v>0</v>
      </c>
      <c r="AA43" s="4">
        <v>7.8</v>
      </c>
      <c r="AB43" s="4">
        <v>0</v>
      </c>
      <c r="AC43" s="4">
        <v>0</v>
      </c>
      <c r="AD43" s="4">
        <v>12</v>
      </c>
      <c r="AE43" s="4">
        <v>0</v>
      </c>
      <c r="AF43" s="4">
        <v>0</v>
      </c>
      <c r="AG43" s="4">
        <v>8055</v>
      </c>
      <c r="AH43" s="4">
        <v>0</v>
      </c>
      <c r="AI43" s="4">
        <v>0</v>
      </c>
      <c r="AJ43" s="4">
        <v>0</v>
      </c>
      <c r="AK43" s="4">
        <v>0</v>
      </c>
      <c r="AL43" s="4">
        <v>1181</v>
      </c>
      <c r="AM43" s="4">
        <v>0</v>
      </c>
      <c r="AN43" s="4">
        <v>0</v>
      </c>
      <c r="AO43" s="4">
        <v>0</v>
      </c>
      <c r="AP43" s="4">
        <v>20</v>
      </c>
      <c r="AQ43" s="4">
        <v>0</v>
      </c>
      <c r="AR43" s="4">
        <v>7381.54</v>
      </c>
      <c r="AS43" s="4">
        <v>0</v>
      </c>
      <c r="AT43" s="4">
        <v>380</v>
      </c>
      <c r="AU43" s="4">
        <v>0</v>
      </c>
      <c r="AV43" s="4">
        <v>1592.5</v>
      </c>
      <c r="AW43" s="4">
        <v>2087.2800000000002</v>
      </c>
      <c r="AX43" s="4">
        <v>0</v>
      </c>
      <c r="AY43" s="4">
        <v>0</v>
      </c>
      <c r="AZ43" s="4">
        <v>0</v>
      </c>
      <c r="BA43" s="4">
        <v>0</v>
      </c>
      <c r="BB43" s="4">
        <v>224.51</v>
      </c>
      <c r="BC43" s="4">
        <v>0</v>
      </c>
      <c r="BD43" s="4">
        <v>24069.279999999999</v>
      </c>
      <c r="BE43" s="4">
        <v>20</v>
      </c>
      <c r="BF43" s="4">
        <f t="shared" si="8"/>
        <v>136369.40999999997</v>
      </c>
      <c r="BG43" s="4">
        <f t="shared" si="9"/>
        <v>91333.5</v>
      </c>
      <c r="BH43" s="4">
        <f t="shared" si="10"/>
        <v>8079.8</v>
      </c>
      <c r="BI43" s="4">
        <f t="shared" si="11"/>
        <v>36956.11</v>
      </c>
    </row>
    <row r="44" spans="1:61" x14ac:dyDescent="0.25">
      <c r="C44">
        <v>443</v>
      </c>
      <c r="D44" t="s">
        <v>285</v>
      </c>
      <c r="E44" s="4">
        <v>23061.5</v>
      </c>
      <c r="F44" s="4">
        <v>26770.1</v>
      </c>
      <c r="G44" s="4">
        <v>108449</v>
      </c>
      <c r="H44" s="4">
        <v>75900</v>
      </c>
      <c r="I44" s="4">
        <v>397286</v>
      </c>
      <c r="J44" s="4">
        <v>129261.4</v>
      </c>
      <c r="K44" s="4">
        <v>133596.79999999999</v>
      </c>
      <c r="L44" s="4">
        <v>463774.9</v>
      </c>
      <c r="M44" s="4">
        <v>17322.3</v>
      </c>
      <c r="N44" s="4">
        <v>21000</v>
      </c>
      <c r="O44" s="4">
        <v>116419.95</v>
      </c>
      <c r="P44" s="4">
        <v>28680</v>
      </c>
      <c r="Q44" s="4">
        <v>10140</v>
      </c>
      <c r="R44" s="4">
        <v>28680</v>
      </c>
      <c r="S44" s="4">
        <v>19880</v>
      </c>
      <c r="T44" s="4">
        <v>42525</v>
      </c>
      <c r="U44" s="4">
        <v>0</v>
      </c>
      <c r="V44" s="4">
        <v>19270</v>
      </c>
      <c r="W44" s="4">
        <v>120582.25</v>
      </c>
      <c r="X44" s="4">
        <v>10590</v>
      </c>
      <c r="Y44" s="4">
        <v>43940</v>
      </c>
      <c r="Z44" s="4">
        <v>274664.15000000002</v>
      </c>
      <c r="AA44" s="4">
        <v>13934</v>
      </c>
      <c r="AB44" s="4">
        <v>22720</v>
      </c>
      <c r="AC44" s="4">
        <v>16912.099999999999</v>
      </c>
      <c r="AD44" s="4">
        <v>74221.3</v>
      </c>
      <c r="AE44" s="4">
        <v>2060</v>
      </c>
      <c r="AF44" s="4">
        <v>81125</v>
      </c>
      <c r="AG44" s="4">
        <v>88417.3</v>
      </c>
      <c r="AH44" s="4">
        <v>45744.6</v>
      </c>
      <c r="AI44" s="4">
        <v>0</v>
      </c>
      <c r="AJ44" s="4">
        <v>41625</v>
      </c>
      <c r="AK44" s="4">
        <v>0</v>
      </c>
      <c r="AL44" s="4">
        <v>145812</v>
      </c>
      <c r="AM44" s="4">
        <v>76660.25</v>
      </c>
      <c r="AN44" s="4">
        <v>8823.25</v>
      </c>
      <c r="AO44" s="4">
        <v>214861.15</v>
      </c>
      <c r="AP44" s="4">
        <v>25952.2</v>
      </c>
      <c r="AQ44" s="4">
        <v>11958</v>
      </c>
      <c r="AR44" s="4">
        <v>397274.5</v>
      </c>
      <c r="AS44" s="4">
        <v>12122.4</v>
      </c>
      <c r="AT44" s="4">
        <v>81650</v>
      </c>
      <c r="AU44" s="4">
        <v>21720</v>
      </c>
      <c r="AV44" s="4">
        <v>0</v>
      </c>
      <c r="AW44" s="4">
        <v>27285.35</v>
      </c>
      <c r="AX44" s="4">
        <v>14268.4</v>
      </c>
      <c r="AY44" s="4">
        <v>39503.699999999997</v>
      </c>
      <c r="AZ44" s="4">
        <v>70198.3</v>
      </c>
      <c r="BA44" s="4">
        <v>32558.15</v>
      </c>
      <c r="BB44" s="4">
        <v>91929.45</v>
      </c>
      <c r="BC44" s="4">
        <v>3000</v>
      </c>
      <c r="BD44" s="4">
        <v>283381.40000000002</v>
      </c>
      <c r="BE44" s="4">
        <v>43754.6</v>
      </c>
      <c r="BF44" s="4">
        <f t="shared" si="8"/>
        <v>4101265.75</v>
      </c>
      <c r="BG44" s="4">
        <f t="shared" si="9"/>
        <v>1782599.2000000002</v>
      </c>
      <c r="BH44" s="4">
        <f t="shared" si="10"/>
        <v>715953.45000000007</v>
      </c>
      <c r="BI44" s="4">
        <f t="shared" si="11"/>
        <v>1602713.1</v>
      </c>
    </row>
    <row r="45" spans="1:61" x14ac:dyDescent="0.25">
      <c r="C45">
        <v>444</v>
      </c>
      <c r="D45" t="s">
        <v>577</v>
      </c>
      <c r="E45" s="4">
        <v>59653.15</v>
      </c>
      <c r="F45" s="4">
        <v>0</v>
      </c>
      <c r="G45" s="4">
        <v>0</v>
      </c>
      <c r="H45" s="4">
        <v>0</v>
      </c>
      <c r="I45" s="4">
        <v>0</v>
      </c>
      <c r="J45" s="4">
        <v>10</v>
      </c>
      <c r="K45" s="4">
        <v>0</v>
      </c>
      <c r="L45" s="4">
        <v>0</v>
      </c>
      <c r="M45" s="4">
        <v>10</v>
      </c>
      <c r="N45" s="4">
        <v>0</v>
      </c>
      <c r="O45" s="4">
        <v>17041</v>
      </c>
      <c r="P45" s="4">
        <v>0</v>
      </c>
      <c r="Q45" s="4">
        <v>23255</v>
      </c>
      <c r="R45" s="4">
        <v>0</v>
      </c>
      <c r="S45" s="4">
        <v>0</v>
      </c>
      <c r="T45" s="4">
        <v>0</v>
      </c>
      <c r="U45" s="4">
        <v>5200</v>
      </c>
      <c r="V45" s="4">
        <v>0</v>
      </c>
      <c r="W45" s="4">
        <v>0</v>
      </c>
      <c r="X45" s="4">
        <v>0</v>
      </c>
      <c r="Y45" s="4">
        <v>0</v>
      </c>
      <c r="Z45" s="4">
        <v>0</v>
      </c>
      <c r="AA45" s="4">
        <v>0</v>
      </c>
      <c r="AB45" s="4">
        <v>7716</v>
      </c>
      <c r="AC45" s="4">
        <v>7760</v>
      </c>
      <c r="AD45" s="4">
        <v>5</v>
      </c>
      <c r="AE45" s="4">
        <v>25</v>
      </c>
      <c r="AF45" s="4">
        <v>104093.55</v>
      </c>
      <c r="AG45" s="4">
        <v>0</v>
      </c>
      <c r="AH45" s="4">
        <v>19535</v>
      </c>
      <c r="AI45" s="4">
        <v>0</v>
      </c>
      <c r="AJ45" s="4">
        <v>0</v>
      </c>
      <c r="AK45" s="4">
        <v>0</v>
      </c>
      <c r="AL45" s="4">
        <v>11640</v>
      </c>
      <c r="AM45" s="4">
        <v>0</v>
      </c>
      <c r="AN45" s="4">
        <v>0</v>
      </c>
      <c r="AO45" s="4">
        <v>0</v>
      </c>
      <c r="AP45" s="4">
        <v>0</v>
      </c>
      <c r="AQ45" s="4">
        <v>0</v>
      </c>
      <c r="AR45" s="4">
        <v>0</v>
      </c>
      <c r="AS45" s="4">
        <v>48500</v>
      </c>
      <c r="AT45" s="4">
        <v>0</v>
      </c>
      <c r="AU45" s="4">
        <v>0</v>
      </c>
      <c r="AV45" s="4">
        <v>0</v>
      </c>
      <c r="AW45" s="4">
        <v>15520</v>
      </c>
      <c r="AX45" s="4">
        <v>0</v>
      </c>
      <c r="AY45" s="4">
        <v>0</v>
      </c>
      <c r="AZ45" s="4">
        <v>19325</v>
      </c>
      <c r="BA45" s="4">
        <v>40</v>
      </c>
      <c r="BB45" s="4">
        <v>7895</v>
      </c>
      <c r="BC45" s="4">
        <v>0</v>
      </c>
      <c r="BD45" s="4">
        <v>1012456.2</v>
      </c>
      <c r="BE45" s="4">
        <v>0</v>
      </c>
      <c r="BF45" s="4">
        <f t="shared" si="8"/>
        <v>1359679.9</v>
      </c>
      <c r="BG45" s="4">
        <f t="shared" si="9"/>
        <v>105169.15</v>
      </c>
      <c r="BH45" s="4">
        <f t="shared" si="10"/>
        <v>139134.54999999999</v>
      </c>
      <c r="BI45" s="4">
        <f t="shared" si="11"/>
        <v>1115376.2</v>
      </c>
    </row>
    <row r="46" spans="1:61" x14ac:dyDescent="0.25">
      <c r="C46">
        <v>4490</v>
      </c>
      <c r="D46" t="s">
        <v>578</v>
      </c>
      <c r="E46" s="4">
        <v>0</v>
      </c>
      <c r="F46" s="4">
        <v>0</v>
      </c>
      <c r="G46" s="4">
        <v>0</v>
      </c>
      <c r="H46" s="4">
        <v>0</v>
      </c>
      <c r="I46" s="4">
        <v>0</v>
      </c>
      <c r="J46" s="4">
        <v>850</v>
      </c>
      <c r="K46" s="4">
        <v>0</v>
      </c>
      <c r="L46" s="4">
        <v>0</v>
      </c>
      <c r="M46" s="4">
        <v>0</v>
      </c>
      <c r="N46" s="4">
        <v>0</v>
      </c>
      <c r="O46" s="4">
        <v>0</v>
      </c>
      <c r="P46" s="4">
        <v>0</v>
      </c>
      <c r="Q46" s="4">
        <v>0</v>
      </c>
      <c r="R46" s="4">
        <v>0</v>
      </c>
      <c r="S46" s="4">
        <v>0</v>
      </c>
      <c r="T46" s="4">
        <v>0</v>
      </c>
      <c r="U46" s="4">
        <v>0</v>
      </c>
      <c r="V46" s="4">
        <v>0</v>
      </c>
      <c r="W46" s="4">
        <v>0</v>
      </c>
      <c r="X46" s="4">
        <v>0</v>
      </c>
      <c r="Y46" s="4">
        <v>0</v>
      </c>
      <c r="Z46" s="4">
        <v>0</v>
      </c>
      <c r="AA46" s="4">
        <v>0</v>
      </c>
      <c r="AB46" s="4">
        <v>0</v>
      </c>
      <c r="AC46" s="4">
        <v>0</v>
      </c>
      <c r="AD46" s="4">
        <v>0</v>
      </c>
      <c r="AE46" s="4">
        <v>0</v>
      </c>
      <c r="AF46" s="4">
        <v>0</v>
      </c>
      <c r="AG46" s="4">
        <v>0</v>
      </c>
      <c r="AH46" s="4">
        <v>0</v>
      </c>
      <c r="AI46" s="4">
        <v>0</v>
      </c>
      <c r="AJ46" s="4">
        <v>0</v>
      </c>
      <c r="AK46" s="4">
        <v>0</v>
      </c>
      <c r="AL46" s="4">
        <v>1458</v>
      </c>
      <c r="AM46" s="4">
        <v>0</v>
      </c>
      <c r="AN46" s="4">
        <v>0</v>
      </c>
      <c r="AO46" s="4">
        <v>0</v>
      </c>
      <c r="AP46" s="4">
        <v>0</v>
      </c>
      <c r="AQ46" s="4">
        <v>0</v>
      </c>
      <c r="AR46" s="4">
        <v>0</v>
      </c>
      <c r="AS46" s="4">
        <v>0</v>
      </c>
      <c r="AT46" s="4">
        <v>0</v>
      </c>
      <c r="AU46" s="4">
        <v>0</v>
      </c>
      <c r="AV46" s="4">
        <v>0</v>
      </c>
      <c r="AW46" s="4">
        <v>0</v>
      </c>
      <c r="AX46" s="4">
        <v>0</v>
      </c>
      <c r="AY46" s="4">
        <v>0</v>
      </c>
      <c r="AZ46" s="4">
        <v>0</v>
      </c>
      <c r="BA46" s="4">
        <v>0</v>
      </c>
      <c r="BB46" s="4">
        <v>0</v>
      </c>
      <c r="BC46" s="4">
        <v>0</v>
      </c>
      <c r="BD46" s="4">
        <v>714598</v>
      </c>
      <c r="BE46" s="4">
        <v>0</v>
      </c>
      <c r="BF46" s="4">
        <f t="shared" si="8"/>
        <v>716906</v>
      </c>
      <c r="BG46" s="4">
        <f t="shared" si="9"/>
        <v>850</v>
      </c>
      <c r="BH46" s="4">
        <f t="shared" si="10"/>
        <v>0</v>
      </c>
      <c r="BI46" s="4">
        <f t="shared" si="11"/>
        <v>716056</v>
      </c>
    </row>
    <row r="47" spans="1:61" x14ac:dyDescent="0.25">
      <c r="C47">
        <v>45</v>
      </c>
      <c r="D47" t="s">
        <v>289</v>
      </c>
      <c r="E47" s="4">
        <v>46777.4</v>
      </c>
      <c r="F47" s="4">
        <v>0</v>
      </c>
      <c r="G47" s="4">
        <v>22529.05</v>
      </c>
      <c r="H47" s="4">
        <v>0</v>
      </c>
      <c r="I47" s="4">
        <v>58900</v>
      </c>
      <c r="J47" s="4">
        <v>8198.85</v>
      </c>
      <c r="K47" s="4">
        <v>130846.1</v>
      </c>
      <c r="L47" s="4">
        <v>34397.550000000003</v>
      </c>
      <c r="M47" s="4">
        <v>55705.49</v>
      </c>
      <c r="N47" s="4">
        <v>0</v>
      </c>
      <c r="O47" s="4">
        <v>25602.42</v>
      </c>
      <c r="P47" s="4">
        <v>0</v>
      </c>
      <c r="Q47" s="4">
        <v>0</v>
      </c>
      <c r="R47" s="4">
        <v>0</v>
      </c>
      <c r="S47" s="4">
        <v>0</v>
      </c>
      <c r="T47" s="4">
        <v>-1908.7</v>
      </c>
      <c r="U47" s="4">
        <v>625.65</v>
      </c>
      <c r="V47" s="4">
        <v>18102.8</v>
      </c>
      <c r="W47" s="4">
        <v>7909.7</v>
      </c>
      <c r="X47" s="4">
        <v>33663.15</v>
      </c>
      <c r="Y47" s="4">
        <v>3099.8</v>
      </c>
      <c r="Z47" s="4">
        <v>4274.6000000000004</v>
      </c>
      <c r="AA47" s="4">
        <v>-200</v>
      </c>
      <c r="AB47" s="4">
        <v>369.8</v>
      </c>
      <c r="AC47" s="4">
        <v>10317</v>
      </c>
      <c r="AD47" s="4">
        <v>0</v>
      </c>
      <c r="AE47" s="4">
        <v>1389.6</v>
      </c>
      <c r="AF47" s="4">
        <v>2606.8000000000002</v>
      </c>
      <c r="AG47" s="4">
        <v>55676.25</v>
      </c>
      <c r="AH47" s="4">
        <v>16678.900000000001</v>
      </c>
      <c r="AI47" s="4">
        <v>1190.3499999999999</v>
      </c>
      <c r="AJ47" s="4">
        <v>3200.42</v>
      </c>
      <c r="AK47" s="4">
        <v>0</v>
      </c>
      <c r="AL47" s="4">
        <v>3862</v>
      </c>
      <c r="AM47" s="4">
        <v>134400</v>
      </c>
      <c r="AN47" s="4">
        <v>296.39999999999998</v>
      </c>
      <c r="AO47" s="4">
        <v>0</v>
      </c>
      <c r="AP47" s="4">
        <v>420</v>
      </c>
      <c r="AQ47" s="4">
        <v>0</v>
      </c>
      <c r="AR47" s="4">
        <v>13174</v>
      </c>
      <c r="AS47" s="4">
        <v>83961.47</v>
      </c>
      <c r="AT47" s="4">
        <v>33579.46</v>
      </c>
      <c r="AU47" s="4">
        <v>3785.05</v>
      </c>
      <c r="AV47" s="4">
        <v>5953.7</v>
      </c>
      <c r="AW47" s="4">
        <v>1865.05</v>
      </c>
      <c r="AX47" s="4">
        <v>421.7</v>
      </c>
      <c r="AY47" s="4">
        <v>860.2</v>
      </c>
      <c r="AZ47" s="4">
        <v>4606.45</v>
      </c>
      <c r="BA47" s="4">
        <v>0</v>
      </c>
      <c r="BB47" s="4">
        <v>5894.15</v>
      </c>
      <c r="BC47" s="4">
        <v>0</v>
      </c>
      <c r="BD47" s="4">
        <v>54899.05</v>
      </c>
      <c r="BE47" s="4">
        <v>8868</v>
      </c>
      <c r="BF47" s="4">
        <f t="shared" si="8"/>
        <v>896799.65999999992</v>
      </c>
      <c r="BG47" s="4">
        <f t="shared" si="9"/>
        <v>407686.31</v>
      </c>
      <c r="BH47" s="4">
        <f t="shared" si="10"/>
        <v>132266.67000000001</v>
      </c>
      <c r="BI47" s="4">
        <f t="shared" si="11"/>
        <v>356846.68000000005</v>
      </c>
    </row>
    <row r="48" spans="1:61" x14ac:dyDescent="0.25">
      <c r="C48">
        <v>46227</v>
      </c>
      <c r="D48" t="s">
        <v>287</v>
      </c>
      <c r="E48" s="4">
        <v>0</v>
      </c>
      <c r="F48" s="4">
        <v>114138</v>
      </c>
      <c r="G48" s="4">
        <v>58930</v>
      </c>
      <c r="H48" s="4">
        <v>147310</v>
      </c>
      <c r="I48" s="4">
        <v>1307908</v>
      </c>
      <c r="J48" s="4">
        <v>154551</v>
      </c>
      <c r="K48" s="4">
        <v>0</v>
      </c>
      <c r="L48" s="4">
        <v>0</v>
      </c>
      <c r="M48" s="4">
        <v>0</v>
      </c>
      <c r="N48" s="4">
        <v>114480</v>
      </c>
      <c r="O48" s="4">
        <v>1553045</v>
      </c>
      <c r="P48" s="4">
        <v>306786</v>
      </c>
      <c r="Q48" s="4">
        <v>12521</v>
      </c>
      <c r="R48" s="4">
        <v>194770</v>
      </c>
      <c r="S48" s="4">
        <v>174234</v>
      </c>
      <c r="T48" s="4">
        <v>0</v>
      </c>
      <c r="U48" s="4">
        <v>162520</v>
      </c>
      <c r="V48" s="4">
        <v>0</v>
      </c>
      <c r="W48" s="4">
        <v>1230830</v>
      </c>
      <c r="X48" s="4">
        <v>33864</v>
      </c>
      <c r="Y48" s="4">
        <v>14138</v>
      </c>
      <c r="Z48" s="4">
        <v>28059</v>
      </c>
      <c r="AA48" s="4">
        <v>91814</v>
      </c>
      <c r="AB48" s="4">
        <v>61684</v>
      </c>
      <c r="AC48" s="4">
        <v>0</v>
      </c>
      <c r="AD48" s="4">
        <v>316658</v>
      </c>
      <c r="AE48" s="4">
        <v>121430</v>
      </c>
      <c r="AF48" s="4">
        <v>0</v>
      </c>
      <c r="AG48" s="4">
        <v>0</v>
      </c>
      <c r="AH48" s="4">
        <v>277950</v>
      </c>
      <c r="AI48" s="4">
        <v>216020</v>
      </c>
      <c r="AJ48" s="4">
        <v>55604</v>
      </c>
      <c r="AK48" s="4">
        <v>327904</v>
      </c>
      <c r="AL48" s="4">
        <v>0</v>
      </c>
      <c r="AM48" s="4">
        <v>817282</v>
      </c>
      <c r="AN48" s="4">
        <v>49530</v>
      </c>
      <c r="AO48" s="4">
        <v>0</v>
      </c>
      <c r="AP48" s="4">
        <v>6209</v>
      </c>
      <c r="AQ48" s="4">
        <v>0</v>
      </c>
      <c r="AR48" s="4">
        <v>658646</v>
      </c>
      <c r="AS48" s="4">
        <v>478318</v>
      </c>
      <c r="AT48" s="4">
        <v>330168</v>
      </c>
      <c r="AU48" s="4">
        <v>0</v>
      </c>
      <c r="AV48" s="4">
        <v>0</v>
      </c>
      <c r="AW48" s="4">
        <v>5246</v>
      </c>
      <c r="AX48" s="4">
        <v>61386</v>
      </c>
      <c r="AY48" s="4">
        <v>117858</v>
      </c>
      <c r="AZ48" s="4">
        <v>493047</v>
      </c>
      <c r="BA48" s="4">
        <v>19035</v>
      </c>
      <c r="BB48" s="4">
        <v>0</v>
      </c>
      <c r="BC48" s="4">
        <v>155228</v>
      </c>
      <c r="BD48" s="4">
        <v>0</v>
      </c>
      <c r="BE48" s="4">
        <v>0</v>
      </c>
      <c r="BF48" s="4">
        <f t="shared" si="8"/>
        <v>10269101</v>
      </c>
      <c r="BG48" s="4">
        <f t="shared" si="9"/>
        <v>5532023</v>
      </c>
      <c r="BH48" s="4">
        <f t="shared" si="10"/>
        <v>1217221</v>
      </c>
      <c r="BI48" s="4">
        <f t="shared" si="11"/>
        <v>3519857</v>
      </c>
    </row>
    <row r="49" spans="1:61" x14ac:dyDescent="0.25">
      <c r="C49">
        <v>46228</v>
      </c>
      <c r="D49" t="s">
        <v>272</v>
      </c>
      <c r="E49" s="4">
        <v>0</v>
      </c>
      <c r="F49" s="4">
        <v>0</v>
      </c>
      <c r="G49" s="4">
        <v>0</v>
      </c>
      <c r="H49" s="4">
        <v>0</v>
      </c>
      <c r="I49" s="4">
        <v>0</v>
      </c>
      <c r="J49" s="4">
        <v>0</v>
      </c>
      <c r="K49" s="4">
        <v>0</v>
      </c>
      <c r="L49" s="4">
        <v>929584.2</v>
      </c>
      <c r="M49" s="4">
        <v>0</v>
      </c>
      <c r="N49" s="4">
        <v>0</v>
      </c>
      <c r="O49" s="4">
        <v>0</v>
      </c>
      <c r="P49" s="4">
        <v>0</v>
      </c>
      <c r="Q49" s="4">
        <v>0</v>
      </c>
      <c r="R49" s="4">
        <v>0</v>
      </c>
      <c r="S49" s="4">
        <v>0</v>
      </c>
      <c r="T49" s="4">
        <v>0</v>
      </c>
      <c r="U49" s="4">
        <v>0</v>
      </c>
      <c r="V49" s="4">
        <v>0</v>
      </c>
      <c r="W49" s="4">
        <v>0</v>
      </c>
      <c r="X49" s="4">
        <v>0</v>
      </c>
      <c r="Y49" s="4">
        <v>0</v>
      </c>
      <c r="Z49" s="4">
        <v>0</v>
      </c>
      <c r="AA49" s="4">
        <v>0</v>
      </c>
      <c r="AB49" s="4">
        <v>0</v>
      </c>
      <c r="AC49" s="4">
        <v>0</v>
      </c>
      <c r="AD49" s="4">
        <v>0</v>
      </c>
      <c r="AE49" s="4">
        <v>0</v>
      </c>
      <c r="AF49" s="4">
        <v>0</v>
      </c>
      <c r="AG49" s="4">
        <v>0</v>
      </c>
      <c r="AH49" s="4">
        <v>0</v>
      </c>
      <c r="AI49" s="4">
        <v>0</v>
      </c>
      <c r="AJ49" s="4">
        <v>0</v>
      </c>
      <c r="AK49" s="4">
        <v>0</v>
      </c>
      <c r="AL49" s="4">
        <v>83752</v>
      </c>
      <c r="AM49" s="4">
        <v>0</v>
      </c>
      <c r="AN49" s="4">
        <v>0</v>
      </c>
      <c r="AO49" s="4">
        <v>0</v>
      </c>
      <c r="AP49" s="4">
        <v>0</v>
      </c>
      <c r="AQ49" s="4">
        <v>0</v>
      </c>
      <c r="AR49" s="4">
        <v>0</v>
      </c>
      <c r="AS49" s="4">
        <v>0</v>
      </c>
      <c r="AT49" s="4">
        <v>0</v>
      </c>
      <c r="AU49" s="4">
        <v>0</v>
      </c>
      <c r="AV49" s="4">
        <v>0</v>
      </c>
      <c r="AW49" s="4">
        <v>0</v>
      </c>
      <c r="AX49" s="4">
        <v>0</v>
      </c>
      <c r="AY49" s="4">
        <v>0</v>
      </c>
      <c r="AZ49" s="4">
        <v>0</v>
      </c>
      <c r="BA49" s="4">
        <v>0</v>
      </c>
      <c r="BB49" s="4">
        <v>0</v>
      </c>
      <c r="BC49" s="4">
        <v>0</v>
      </c>
      <c r="BD49" s="4">
        <v>441463</v>
      </c>
      <c r="BE49" s="4">
        <v>0</v>
      </c>
      <c r="BF49" s="4">
        <f t="shared" si="8"/>
        <v>1454799.2</v>
      </c>
      <c r="BG49" s="4">
        <f t="shared" si="9"/>
        <v>929584.2</v>
      </c>
      <c r="BH49" s="4">
        <f t="shared" si="10"/>
        <v>0</v>
      </c>
      <c r="BI49" s="4">
        <f t="shared" si="11"/>
        <v>525215</v>
      </c>
    </row>
    <row r="50" spans="1:61" x14ac:dyDescent="0.25">
      <c r="C50">
        <v>47</v>
      </c>
      <c r="D50" t="s">
        <v>119</v>
      </c>
      <c r="E50" s="4">
        <v>0</v>
      </c>
      <c r="F50" s="4">
        <v>0</v>
      </c>
      <c r="G50" s="4">
        <v>0</v>
      </c>
      <c r="H50" s="4">
        <v>0</v>
      </c>
      <c r="I50" s="4">
        <v>0</v>
      </c>
      <c r="J50" s="4">
        <v>0</v>
      </c>
      <c r="K50" s="4">
        <v>0</v>
      </c>
      <c r="L50" s="4">
        <v>0</v>
      </c>
      <c r="M50" s="4">
        <v>0</v>
      </c>
      <c r="N50" s="4">
        <v>0</v>
      </c>
      <c r="O50" s="4">
        <v>0</v>
      </c>
      <c r="P50" s="4">
        <v>0</v>
      </c>
      <c r="Q50" s="4">
        <v>0</v>
      </c>
      <c r="R50" s="4">
        <v>0</v>
      </c>
      <c r="S50" s="4">
        <v>0</v>
      </c>
      <c r="T50" s="4">
        <v>0</v>
      </c>
      <c r="U50" s="4">
        <v>0</v>
      </c>
      <c r="V50" s="4">
        <v>0</v>
      </c>
      <c r="W50" s="4">
        <v>0</v>
      </c>
      <c r="X50" s="4">
        <v>0</v>
      </c>
      <c r="Y50" s="4">
        <v>0</v>
      </c>
      <c r="Z50" s="4">
        <v>429137</v>
      </c>
      <c r="AA50" s="4">
        <v>159211.1</v>
      </c>
      <c r="AB50" s="4">
        <v>201569.3</v>
      </c>
      <c r="AC50" s="4">
        <v>188162.35</v>
      </c>
      <c r="AD50" s="4">
        <v>0</v>
      </c>
      <c r="AE50" s="4">
        <v>238357.4</v>
      </c>
      <c r="AF50" s="4">
        <v>591726.85</v>
      </c>
      <c r="AG50" s="4">
        <v>419088.2</v>
      </c>
      <c r="AH50" s="4">
        <v>0</v>
      </c>
      <c r="AI50" s="4">
        <v>4182.3500000000004</v>
      </c>
      <c r="AJ50" s="4">
        <v>0</v>
      </c>
      <c r="AK50" s="4">
        <v>0</v>
      </c>
      <c r="AL50" s="4">
        <v>0</v>
      </c>
      <c r="AM50" s="4">
        <v>0</v>
      </c>
      <c r="AN50" s="4">
        <v>0</v>
      </c>
      <c r="AO50" s="4">
        <v>0</v>
      </c>
      <c r="AP50" s="4">
        <v>0</v>
      </c>
      <c r="AQ50" s="4">
        <v>0</v>
      </c>
      <c r="AR50" s="4">
        <v>56776.4</v>
      </c>
      <c r="AS50" s="4">
        <v>0</v>
      </c>
      <c r="AT50" s="4">
        <v>0</v>
      </c>
      <c r="AU50" s="4">
        <v>0</v>
      </c>
      <c r="AV50" s="4">
        <v>80169.3</v>
      </c>
      <c r="AW50" s="4">
        <v>0</v>
      </c>
      <c r="AX50" s="4">
        <v>0</v>
      </c>
      <c r="AY50" s="4">
        <v>0</v>
      </c>
      <c r="AZ50" s="4">
        <v>0</v>
      </c>
      <c r="BA50" s="4">
        <v>0</v>
      </c>
      <c r="BB50" s="4">
        <v>0</v>
      </c>
      <c r="BC50" s="4">
        <v>0</v>
      </c>
      <c r="BD50" s="4">
        <v>0</v>
      </c>
      <c r="BE50" s="4">
        <v>0</v>
      </c>
      <c r="BF50" s="4">
        <f t="shared" si="8"/>
        <v>2368380.25</v>
      </c>
      <c r="BG50" s="4">
        <f t="shared" si="9"/>
        <v>0</v>
      </c>
      <c r="BH50" s="4">
        <f t="shared" si="10"/>
        <v>2231434.5500000003</v>
      </c>
      <c r="BI50" s="4">
        <f t="shared" si="11"/>
        <v>136945.70000000001</v>
      </c>
    </row>
    <row r="51" spans="1:61" x14ac:dyDescent="0.25">
      <c r="C51">
        <v>489</v>
      </c>
      <c r="D51" t="s">
        <v>291</v>
      </c>
      <c r="E51" s="4">
        <v>0</v>
      </c>
      <c r="F51" s="4">
        <v>0</v>
      </c>
      <c r="G51" s="4">
        <v>0</v>
      </c>
      <c r="H51" s="4">
        <v>0</v>
      </c>
      <c r="I51" s="4">
        <v>0</v>
      </c>
      <c r="J51" s="4">
        <v>2944.95</v>
      </c>
      <c r="K51" s="4">
        <v>0</v>
      </c>
      <c r="L51" s="4">
        <v>1310000</v>
      </c>
      <c r="M51" s="4">
        <v>0</v>
      </c>
      <c r="N51" s="4">
        <v>0</v>
      </c>
      <c r="O51" s="4">
        <v>0</v>
      </c>
      <c r="P51" s="4">
        <v>0</v>
      </c>
      <c r="Q51" s="4">
        <v>0</v>
      </c>
      <c r="R51" s="4">
        <v>0</v>
      </c>
      <c r="S51" s="4">
        <v>0</v>
      </c>
      <c r="T51" s="4">
        <v>0</v>
      </c>
      <c r="U51" s="4">
        <v>0</v>
      </c>
      <c r="V51" s="4">
        <v>0</v>
      </c>
      <c r="W51" s="4">
        <v>0</v>
      </c>
      <c r="X51" s="4">
        <v>0</v>
      </c>
      <c r="Y51" s="4">
        <v>0</v>
      </c>
      <c r="Z51" s="4">
        <v>0</v>
      </c>
      <c r="AA51" s="4">
        <v>0</v>
      </c>
      <c r="AB51" s="4">
        <v>0</v>
      </c>
      <c r="AC51" s="4">
        <v>130000</v>
      </c>
      <c r="AD51" s="4">
        <v>0</v>
      </c>
      <c r="AE51" s="4">
        <v>0</v>
      </c>
      <c r="AF51" s="4">
        <v>0</v>
      </c>
      <c r="AG51" s="4">
        <v>0</v>
      </c>
      <c r="AH51" s="4">
        <v>0</v>
      </c>
      <c r="AI51" s="4">
        <v>0</v>
      </c>
      <c r="AJ51" s="4">
        <v>0</v>
      </c>
      <c r="AK51" s="4">
        <v>0</v>
      </c>
      <c r="AL51" s="4">
        <v>35000</v>
      </c>
      <c r="AM51" s="4">
        <v>18062.259999999998</v>
      </c>
      <c r="AN51" s="4">
        <v>5985</v>
      </c>
      <c r="AO51" s="4">
        <v>0</v>
      </c>
      <c r="AP51" s="4">
        <v>0</v>
      </c>
      <c r="AQ51" s="4">
        <v>0</v>
      </c>
      <c r="AR51" s="4">
        <v>0</v>
      </c>
      <c r="AS51" s="4">
        <v>0</v>
      </c>
      <c r="AT51" s="4">
        <v>100000</v>
      </c>
      <c r="AU51" s="4">
        <v>775000</v>
      </c>
      <c r="AV51" s="4">
        <v>0</v>
      </c>
      <c r="AW51" s="4">
        <v>0</v>
      </c>
      <c r="AX51" s="4">
        <v>0</v>
      </c>
      <c r="AY51" s="4">
        <v>0</v>
      </c>
      <c r="AZ51" s="4">
        <v>0</v>
      </c>
      <c r="BA51" s="4">
        <v>0</v>
      </c>
      <c r="BB51" s="4">
        <v>0</v>
      </c>
      <c r="BC51" s="4">
        <v>0</v>
      </c>
      <c r="BD51" s="4">
        <v>1000000</v>
      </c>
      <c r="BE51" s="4">
        <v>0</v>
      </c>
      <c r="BF51" s="4">
        <f t="shared" si="8"/>
        <v>3376992.21</v>
      </c>
      <c r="BG51" s="4">
        <f t="shared" si="9"/>
        <v>1312944.95</v>
      </c>
      <c r="BH51" s="4">
        <f t="shared" si="10"/>
        <v>130000</v>
      </c>
      <c r="BI51" s="4">
        <f t="shared" si="11"/>
        <v>1934047.26</v>
      </c>
    </row>
    <row r="52" spans="1:61" x14ac:dyDescent="0.25">
      <c r="C52">
        <v>4896</v>
      </c>
      <c r="D52" t="s">
        <v>579</v>
      </c>
      <c r="E52" s="4">
        <v>0</v>
      </c>
      <c r="F52" s="4">
        <v>0</v>
      </c>
      <c r="G52" s="4">
        <v>0</v>
      </c>
      <c r="H52" s="4">
        <v>0</v>
      </c>
      <c r="I52" s="4">
        <v>0</v>
      </c>
      <c r="J52" s="4">
        <v>0</v>
      </c>
      <c r="K52" s="4">
        <v>0</v>
      </c>
      <c r="L52" s="4">
        <v>0</v>
      </c>
      <c r="M52" s="4">
        <v>0</v>
      </c>
      <c r="N52" s="4">
        <v>0</v>
      </c>
      <c r="O52" s="4">
        <v>0</v>
      </c>
      <c r="P52" s="4">
        <v>0</v>
      </c>
      <c r="Q52" s="4">
        <v>0</v>
      </c>
      <c r="R52" s="4">
        <v>0</v>
      </c>
      <c r="S52" s="4">
        <v>0</v>
      </c>
      <c r="T52" s="4">
        <v>0</v>
      </c>
      <c r="U52" s="4">
        <v>0</v>
      </c>
      <c r="V52" s="4">
        <v>0</v>
      </c>
      <c r="W52" s="4">
        <v>0</v>
      </c>
      <c r="X52" s="4">
        <v>0</v>
      </c>
      <c r="Y52" s="4">
        <v>0</v>
      </c>
      <c r="Z52" s="4">
        <v>0</v>
      </c>
      <c r="AA52" s="4">
        <v>0</v>
      </c>
      <c r="AB52" s="4">
        <v>0</v>
      </c>
      <c r="AC52" s="4">
        <v>0</v>
      </c>
      <c r="AD52" s="4">
        <v>0</v>
      </c>
      <c r="AE52" s="4">
        <v>0</v>
      </c>
      <c r="AF52" s="4">
        <v>0</v>
      </c>
      <c r="AG52" s="4">
        <v>0</v>
      </c>
      <c r="AH52" s="4">
        <v>0</v>
      </c>
      <c r="AI52" s="4">
        <v>0</v>
      </c>
      <c r="AJ52" s="4">
        <v>0</v>
      </c>
      <c r="AK52" s="4">
        <v>0</v>
      </c>
      <c r="AL52" s="4">
        <v>0</v>
      </c>
      <c r="AM52" s="4">
        <v>0</v>
      </c>
      <c r="AN52" s="4">
        <v>0</v>
      </c>
      <c r="AO52" s="4">
        <v>0</v>
      </c>
      <c r="AP52" s="4">
        <v>0</v>
      </c>
      <c r="AQ52" s="4">
        <v>0</v>
      </c>
      <c r="AR52" s="4">
        <v>0</v>
      </c>
      <c r="AS52" s="4">
        <v>0</v>
      </c>
      <c r="AT52" s="4">
        <v>0</v>
      </c>
      <c r="AU52" s="4">
        <v>0</v>
      </c>
      <c r="AV52" s="4">
        <v>0</v>
      </c>
      <c r="AW52" s="4">
        <v>0</v>
      </c>
      <c r="AX52" s="4">
        <v>0</v>
      </c>
      <c r="AY52" s="4">
        <v>0</v>
      </c>
      <c r="AZ52" s="4">
        <v>0</v>
      </c>
      <c r="BA52" s="4">
        <v>0</v>
      </c>
      <c r="BB52" s="4">
        <v>0</v>
      </c>
      <c r="BC52" s="4">
        <v>0</v>
      </c>
      <c r="BD52" s="4">
        <v>0</v>
      </c>
      <c r="BE52" s="4">
        <v>0</v>
      </c>
      <c r="BF52" s="4">
        <f t="shared" si="8"/>
        <v>0</v>
      </c>
      <c r="BG52" s="4">
        <f t="shared" si="9"/>
        <v>0</v>
      </c>
      <c r="BH52" s="4">
        <f t="shared" si="10"/>
        <v>0</v>
      </c>
      <c r="BI52" s="4">
        <f t="shared" si="11"/>
        <v>0</v>
      </c>
    </row>
    <row r="53" spans="1:61" x14ac:dyDescent="0.25">
      <c r="C53">
        <v>49</v>
      </c>
      <c r="D53" t="s">
        <v>128</v>
      </c>
      <c r="E53" s="4">
        <v>0</v>
      </c>
      <c r="F53" s="4">
        <v>23767.65</v>
      </c>
      <c r="G53" s="4">
        <v>7417.71</v>
      </c>
      <c r="H53" s="4">
        <v>38216.6</v>
      </c>
      <c r="I53" s="4">
        <v>317300</v>
      </c>
      <c r="J53" s="4">
        <v>71777</v>
      </c>
      <c r="K53" s="4">
        <v>196076.65</v>
      </c>
      <c r="L53" s="4">
        <v>5163108.45</v>
      </c>
      <c r="M53" s="4">
        <v>93218.26</v>
      </c>
      <c r="N53" s="4">
        <v>8967.7000000000007</v>
      </c>
      <c r="O53" s="4">
        <v>62019</v>
      </c>
      <c r="P53" s="4">
        <v>33302</v>
      </c>
      <c r="Q53" s="4">
        <v>0</v>
      </c>
      <c r="R53" s="4">
        <v>55900</v>
      </c>
      <c r="S53" s="4">
        <v>0</v>
      </c>
      <c r="T53" s="4">
        <v>10000</v>
      </c>
      <c r="U53" s="4">
        <v>0</v>
      </c>
      <c r="V53" s="4">
        <v>0</v>
      </c>
      <c r="W53" s="4">
        <v>260895.8</v>
      </c>
      <c r="X53" s="4">
        <v>0</v>
      </c>
      <c r="Y53" s="4">
        <v>0</v>
      </c>
      <c r="Z53" s="4">
        <v>84000</v>
      </c>
      <c r="AA53" s="4">
        <v>15393.4</v>
      </c>
      <c r="AB53" s="4">
        <v>0</v>
      </c>
      <c r="AC53" s="4">
        <v>0</v>
      </c>
      <c r="AD53" s="4">
        <v>58010.8</v>
      </c>
      <c r="AE53" s="4">
        <v>77935.649999999994</v>
      </c>
      <c r="AF53" s="4">
        <v>173761</v>
      </c>
      <c r="AG53" s="4">
        <v>6365.35</v>
      </c>
      <c r="AH53" s="4">
        <v>23800</v>
      </c>
      <c r="AI53" s="4">
        <v>0</v>
      </c>
      <c r="AJ53" s="4">
        <v>0</v>
      </c>
      <c r="AK53" s="4">
        <v>93000</v>
      </c>
      <c r="AL53" s="4">
        <v>59347</v>
      </c>
      <c r="AM53" s="4">
        <v>3190</v>
      </c>
      <c r="AN53" s="4">
        <v>240</v>
      </c>
      <c r="AO53" s="4">
        <v>0</v>
      </c>
      <c r="AP53" s="4">
        <v>0</v>
      </c>
      <c r="AQ53" s="4">
        <v>0</v>
      </c>
      <c r="AR53" s="4">
        <v>0</v>
      </c>
      <c r="AS53" s="4">
        <v>128592.79</v>
      </c>
      <c r="AT53" s="4">
        <v>0</v>
      </c>
      <c r="AU53" s="4">
        <v>0</v>
      </c>
      <c r="AV53" s="4">
        <v>81719.25</v>
      </c>
      <c r="AW53" s="4">
        <v>0</v>
      </c>
      <c r="AX53" s="4">
        <v>7276.95</v>
      </c>
      <c r="AY53" s="4">
        <v>0</v>
      </c>
      <c r="AZ53" s="4">
        <v>0</v>
      </c>
      <c r="BA53" s="4">
        <v>0</v>
      </c>
      <c r="BB53" s="4">
        <v>153317.13</v>
      </c>
      <c r="BC53" s="4">
        <v>0</v>
      </c>
      <c r="BD53" s="4">
        <v>0</v>
      </c>
      <c r="BE53" s="4">
        <v>15500</v>
      </c>
      <c r="BF53" s="4">
        <f t="shared" si="8"/>
        <v>7323416.1400000006</v>
      </c>
      <c r="BG53" s="4">
        <f t="shared" si="9"/>
        <v>6341966.8200000003</v>
      </c>
      <c r="BH53" s="4">
        <f t="shared" si="10"/>
        <v>439266.19999999995</v>
      </c>
      <c r="BI53" s="4">
        <f t="shared" si="11"/>
        <v>542183.12</v>
      </c>
    </row>
    <row r="54" spans="1:61" x14ac:dyDescent="0.25">
      <c r="C54">
        <v>9000</v>
      </c>
      <c r="D54" t="s">
        <v>270</v>
      </c>
      <c r="E54" s="4">
        <v>-157625.18</v>
      </c>
      <c r="F54" s="4">
        <v>-48557.32</v>
      </c>
      <c r="G54" s="4">
        <v>-94828.6</v>
      </c>
      <c r="H54" s="4">
        <v>-14608.67</v>
      </c>
      <c r="I54" s="4">
        <v>28923</v>
      </c>
      <c r="J54" s="4">
        <v>355331.14</v>
      </c>
      <c r="K54" s="4">
        <v>105411.09</v>
      </c>
      <c r="L54" s="4">
        <v>-67.2</v>
      </c>
      <c r="M54" s="4">
        <v>288258.07</v>
      </c>
      <c r="N54" s="4">
        <v>-13123.38</v>
      </c>
      <c r="O54" s="4">
        <v>713421.97</v>
      </c>
      <c r="P54" s="4">
        <v>-5670.3</v>
      </c>
      <c r="Q54" s="4">
        <v>-26078.06</v>
      </c>
      <c r="R54" s="4">
        <v>33566.67</v>
      </c>
      <c r="S54" s="4">
        <v>-135865.17000000001</v>
      </c>
      <c r="T54" s="4">
        <v>310014.2</v>
      </c>
      <c r="U54" s="4">
        <v>-15080.91</v>
      </c>
      <c r="V54" s="4">
        <v>-314421.67</v>
      </c>
      <c r="W54" s="4">
        <v>71457.649999999994</v>
      </c>
      <c r="X54" s="4">
        <v>138690</v>
      </c>
      <c r="Y54" s="4">
        <v>1633805.81</v>
      </c>
      <c r="Z54" s="4">
        <v>925288.21</v>
      </c>
      <c r="AA54" s="4">
        <v>13373.11</v>
      </c>
      <c r="AB54" s="4">
        <v>-34056.49</v>
      </c>
      <c r="AC54" s="4">
        <v>-190765.53</v>
      </c>
      <c r="AD54" s="4">
        <v>0</v>
      </c>
      <c r="AE54" s="4">
        <v>-148769.32</v>
      </c>
      <c r="AF54" s="4">
        <v>-159274.14000000001</v>
      </c>
      <c r="AG54" s="4">
        <v>764904.49</v>
      </c>
      <c r="AH54" s="4">
        <v>28139.98</v>
      </c>
      <c r="AI54" s="4">
        <v>37068.9</v>
      </c>
      <c r="AJ54" s="4">
        <v>-6438.58</v>
      </c>
      <c r="AK54" s="4">
        <v>423500</v>
      </c>
      <c r="AL54" s="4">
        <v>1986</v>
      </c>
      <c r="AM54" s="4">
        <v>103605.34</v>
      </c>
      <c r="AN54" s="4">
        <v>6229.74</v>
      </c>
      <c r="AO54" s="4">
        <v>183300.05</v>
      </c>
      <c r="AP54" s="4">
        <v>200305.66</v>
      </c>
      <c r="AQ54" s="4">
        <v>32981</v>
      </c>
      <c r="AR54" s="4">
        <v>9638.94</v>
      </c>
      <c r="AS54" s="4">
        <v>32568.26</v>
      </c>
      <c r="AT54" s="4">
        <v>-48087.99</v>
      </c>
      <c r="AU54" s="4">
        <v>47834.87</v>
      </c>
      <c r="AV54" s="4">
        <v>115176.8</v>
      </c>
      <c r="AW54" s="4">
        <v>58369.4</v>
      </c>
      <c r="AX54" s="4">
        <v>-50574.92</v>
      </c>
      <c r="AY54" s="4">
        <v>-95514.240000000005</v>
      </c>
      <c r="AZ54" s="4">
        <v>42035.89</v>
      </c>
      <c r="BA54" s="4">
        <v>-22521.59</v>
      </c>
      <c r="BB54" s="4">
        <v>13297.33</v>
      </c>
      <c r="BC54" s="4">
        <v>46556.28</v>
      </c>
      <c r="BD54" s="4">
        <v>651336.63</v>
      </c>
      <c r="BE54" s="4">
        <v>66157.88</v>
      </c>
      <c r="BF54" s="4">
        <f t="shared" si="8"/>
        <v>5900605.0999999996</v>
      </c>
      <c r="BG54" s="4">
        <f t="shared" si="9"/>
        <v>1080457.3299999998</v>
      </c>
      <c r="BH54" s="4">
        <f t="shared" si="10"/>
        <v>3001966.4399999995</v>
      </c>
      <c r="BI54" s="4">
        <f t="shared" si="11"/>
        <v>1818181.3299999996</v>
      </c>
    </row>
    <row r="55" spans="1:61" x14ac:dyDescent="0.25">
      <c r="C55">
        <v>9029</v>
      </c>
      <c r="D55" t="s">
        <v>274</v>
      </c>
      <c r="E55" s="4">
        <v>0</v>
      </c>
      <c r="F55" s="4">
        <v>0</v>
      </c>
      <c r="G55" s="4">
        <v>0</v>
      </c>
      <c r="H55" s="4">
        <v>0</v>
      </c>
      <c r="I55" s="4">
        <v>0</v>
      </c>
      <c r="J55" s="4">
        <v>0</v>
      </c>
      <c r="K55" s="4">
        <v>0</v>
      </c>
      <c r="L55" s="4">
        <v>3551593.7</v>
      </c>
      <c r="M55" s="4">
        <v>0</v>
      </c>
      <c r="N55" s="4">
        <v>0</v>
      </c>
      <c r="O55" s="4">
        <v>0</v>
      </c>
      <c r="P55" s="4">
        <v>0</v>
      </c>
      <c r="Q55" s="4">
        <v>0</v>
      </c>
      <c r="R55" s="4">
        <v>0</v>
      </c>
      <c r="S55" s="4">
        <v>0</v>
      </c>
      <c r="T55" s="4">
        <v>0</v>
      </c>
      <c r="U55" s="4">
        <v>0</v>
      </c>
      <c r="V55" s="4">
        <v>0</v>
      </c>
      <c r="W55" s="4">
        <v>0</v>
      </c>
      <c r="X55" s="4">
        <v>0</v>
      </c>
      <c r="Y55" s="4">
        <v>0</v>
      </c>
      <c r="Z55" s="4">
        <v>0</v>
      </c>
      <c r="AA55" s="4">
        <v>0</v>
      </c>
      <c r="AB55" s="4">
        <v>0</v>
      </c>
      <c r="AC55" s="4">
        <v>0</v>
      </c>
      <c r="AD55" s="4">
        <v>0</v>
      </c>
      <c r="AE55" s="4">
        <v>0</v>
      </c>
      <c r="AF55" s="4">
        <v>0</v>
      </c>
      <c r="AG55" s="4">
        <v>0</v>
      </c>
      <c r="AH55" s="4">
        <v>0</v>
      </c>
      <c r="AI55" s="4">
        <v>0</v>
      </c>
      <c r="AJ55" s="4">
        <v>0</v>
      </c>
      <c r="AK55" s="4">
        <v>0</v>
      </c>
      <c r="AL55" s="4">
        <v>0</v>
      </c>
      <c r="AM55" s="4">
        <v>0</v>
      </c>
      <c r="AN55" s="4">
        <v>0</v>
      </c>
      <c r="AO55" s="4">
        <v>0</v>
      </c>
      <c r="AP55" s="4">
        <v>0</v>
      </c>
      <c r="AQ55" s="4">
        <v>0</v>
      </c>
      <c r="AR55" s="4">
        <v>0</v>
      </c>
      <c r="AS55" s="4">
        <v>0</v>
      </c>
      <c r="AT55" s="4">
        <v>0</v>
      </c>
      <c r="AU55" s="4">
        <v>0</v>
      </c>
      <c r="AV55" s="4">
        <v>0</v>
      </c>
      <c r="AW55" s="4">
        <v>0</v>
      </c>
      <c r="AX55" s="4">
        <v>0</v>
      </c>
      <c r="AY55" s="4">
        <v>0</v>
      </c>
      <c r="AZ55" s="4">
        <v>0</v>
      </c>
      <c r="BA55" s="4">
        <v>0</v>
      </c>
      <c r="BB55" s="4">
        <v>0</v>
      </c>
      <c r="BC55" s="4">
        <v>0</v>
      </c>
      <c r="BD55" s="4">
        <v>0</v>
      </c>
      <c r="BE55" s="4">
        <v>0</v>
      </c>
      <c r="BF55" s="4">
        <f t="shared" si="8"/>
        <v>3551593.7</v>
      </c>
      <c r="BG55" s="4">
        <f t="shared" si="9"/>
        <v>3551593.7</v>
      </c>
      <c r="BH55" s="4">
        <f t="shared" si="10"/>
        <v>0</v>
      </c>
      <c r="BI55" s="4">
        <f t="shared" si="11"/>
        <v>0</v>
      </c>
    </row>
    <row r="56" spans="1:61" x14ac:dyDescent="0.25">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v>0</v>
      </c>
      <c r="AK56" s="4"/>
      <c r="AL56" s="4"/>
      <c r="AM56" s="4"/>
      <c r="AN56" s="4"/>
      <c r="AO56" s="4"/>
      <c r="AP56" s="4"/>
      <c r="AQ56" s="4"/>
      <c r="AR56" s="4"/>
      <c r="AS56" s="4"/>
      <c r="AT56" s="4"/>
      <c r="AU56" s="4"/>
      <c r="AV56" s="4"/>
      <c r="AW56" s="4"/>
      <c r="AX56" s="4"/>
      <c r="AY56" s="4"/>
      <c r="AZ56" s="4"/>
      <c r="BA56" s="4"/>
      <c r="BB56" s="4"/>
      <c r="BC56" s="4"/>
      <c r="BD56" s="4"/>
      <c r="BE56" s="4"/>
      <c r="BF56" s="4"/>
      <c r="BG56" s="4"/>
      <c r="BH56" s="4"/>
      <c r="BI56" s="4"/>
    </row>
    <row r="57" spans="1:61" ht="21" x14ac:dyDescent="0.35">
      <c r="A57" s="112">
        <v>5</v>
      </c>
      <c r="B57" s="112"/>
      <c r="C57" s="112"/>
      <c r="D57" s="112" t="s">
        <v>295</v>
      </c>
      <c r="E57" s="113"/>
      <c r="F57" s="113"/>
      <c r="G57" s="113"/>
      <c r="H57" s="113"/>
      <c r="I57" s="113"/>
      <c r="J57" s="113"/>
      <c r="K57" s="113"/>
      <c r="L57" s="113"/>
      <c r="M57" s="113"/>
      <c r="N57" s="113"/>
      <c r="O57" s="113"/>
      <c r="P57" s="113"/>
      <c r="Q57" s="113"/>
      <c r="R57" s="113"/>
      <c r="S57" s="113"/>
      <c r="T57" s="113"/>
      <c r="U57" s="113"/>
      <c r="V57" s="113"/>
      <c r="W57" s="113"/>
      <c r="X57" s="113"/>
      <c r="Y57" s="113"/>
      <c r="Z57" s="113"/>
      <c r="AA57" s="113"/>
      <c r="AB57" s="113"/>
      <c r="AC57" s="113"/>
      <c r="AD57" s="113"/>
      <c r="AE57" s="113"/>
      <c r="AF57" s="113"/>
      <c r="AG57" s="113"/>
      <c r="AH57" s="113"/>
      <c r="AI57" s="113"/>
      <c r="AJ57" s="113"/>
      <c r="AK57" s="113"/>
      <c r="AL57" s="113"/>
      <c r="AM57" s="113"/>
      <c r="AN57" s="113"/>
      <c r="AO57" s="113"/>
      <c r="AP57" s="113"/>
      <c r="AQ57" s="113"/>
      <c r="AR57" s="113"/>
      <c r="AS57" s="113"/>
      <c r="AT57" s="113"/>
      <c r="AU57" s="113"/>
      <c r="AV57" s="113"/>
      <c r="AW57" s="113"/>
      <c r="AX57" s="113"/>
      <c r="AY57" s="113"/>
      <c r="AZ57" s="113"/>
      <c r="BA57" s="113"/>
      <c r="BB57" s="113"/>
      <c r="BC57" s="113"/>
      <c r="BD57" s="113"/>
      <c r="BE57" s="113"/>
      <c r="BF57" s="113"/>
      <c r="BG57" s="113"/>
      <c r="BH57" s="113"/>
      <c r="BI57" s="113"/>
    </row>
    <row r="58" spans="1:61" x14ac:dyDescent="0.25">
      <c r="C58">
        <v>690</v>
      </c>
      <c r="D58" t="s">
        <v>633</v>
      </c>
      <c r="E58" s="4">
        <v>1817467.61</v>
      </c>
      <c r="F58" s="4">
        <v>350105.49</v>
      </c>
      <c r="G58" s="4">
        <v>303230.01</v>
      </c>
      <c r="H58" s="4">
        <v>122282.8</v>
      </c>
      <c r="I58" s="4">
        <v>574124.02</v>
      </c>
      <c r="J58" s="4">
        <v>1847431.14</v>
      </c>
      <c r="K58" s="4">
        <v>1006228.34</v>
      </c>
      <c r="L58" s="4">
        <v>13702597.810000001</v>
      </c>
      <c r="M58" s="4">
        <v>966348.19</v>
      </c>
      <c r="N58" s="4">
        <v>41267.75</v>
      </c>
      <c r="O58" s="4">
        <v>3552900.5</v>
      </c>
      <c r="P58" s="4">
        <v>135435.99</v>
      </c>
      <c r="Q58" s="4">
        <v>2137</v>
      </c>
      <c r="R58" s="4">
        <v>35597.1</v>
      </c>
      <c r="S58" s="4">
        <v>12586.05</v>
      </c>
      <c r="T58" s="4">
        <v>246921.63</v>
      </c>
      <c r="U58" s="4">
        <v>475208.2</v>
      </c>
      <c r="V58" s="4">
        <v>67939.38</v>
      </c>
      <c r="W58" s="4">
        <v>3657738.51</v>
      </c>
      <c r="X58" s="4">
        <v>120441.4</v>
      </c>
      <c r="Y58" s="4">
        <v>1082163</v>
      </c>
      <c r="Z58" s="4">
        <v>449610.71</v>
      </c>
      <c r="AA58" s="4">
        <v>195639.65</v>
      </c>
      <c r="AB58" s="4">
        <v>651324.15</v>
      </c>
      <c r="AC58" s="4">
        <v>758577.75</v>
      </c>
      <c r="AD58" s="4">
        <v>236241.6</v>
      </c>
      <c r="AE58" s="4">
        <v>560601.35</v>
      </c>
      <c r="AF58" s="4">
        <v>592880.19999999995</v>
      </c>
      <c r="AG58" s="4">
        <v>1120256.05</v>
      </c>
      <c r="AH58" s="4">
        <v>482214.3</v>
      </c>
      <c r="AI58" s="4">
        <v>208776.05</v>
      </c>
      <c r="AJ58" s="4">
        <v>228249.65</v>
      </c>
      <c r="AK58" s="4">
        <v>2587328.1</v>
      </c>
      <c r="AL58" s="4">
        <v>607952.1</v>
      </c>
      <c r="AM58" s="4">
        <v>359831.66</v>
      </c>
      <c r="AN58" s="4">
        <v>15191.1</v>
      </c>
      <c r="AO58" s="4">
        <v>1300821.51</v>
      </c>
      <c r="AP58" s="4">
        <v>407340.9</v>
      </c>
      <c r="AQ58" s="4">
        <v>529522</v>
      </c>
      <c r="AR58" s="4">
        <v>2561966.7000000002</v>
      </c>
      <c r="AS58" s="4">
        <v>190136.45</v>
      </c>
      <c r="AT58" s="4">
        <v>1378844.35</v>
      </c>
      <c r="AU58" s="4">
        <v>69113</v>
      </c>
      <c r="AV58" s="4">
        <v>611861.4</v>
      </c>
      <c r="AW58" s="4">
        <v>342404.75</v>
      </c>
      <c r="AX58" s="4">
        <v>0</v>
      </c>
      <c r="AY58" s="4">
        <v>24663.3</v>
      </c>
      <c r="AZ58" s="4">
        <v>17061.55</v>
      </c>
      <c r="BA58" s="4">
        <v>722496</v>
      </c>
      <c r="BB58" s="4">
        <v>1057290.32</v>
      </c>
      <c r="BC58" s="4">
        <v>72697.2</v>
      </c>
      <c r="BD58" s="4">
        <v>6553486.2199999997</v>
      </c>
      <c r="BE58" s="4">
        <v>104880.05</v>
      </c>
      <c r="BF58" s="4">
        <f t="shared" ref="BF58" si="12">SUM(E58:BE58)</f>
        <v>55119412.039999984</v>
      </c>
      <c r="BG58" s="4">
        <f t="shared" ref="BG58" si="13">SUM(E58:W58)</f>
        <v>28917547.519999996</v>
      </c>
      <c r="BH58" s="4">
        <f t="shared" ref="BH58" si="14">SUM(X58:AJ58)</f>
        <v>6686975.8599999994</v>
      </c>
      <c r="BI58" s="4">
        <f t="shared" ref="BI58" si="15">SUM(AK58:BE58)</f>
        <v>19514888.660000004</v>
      </c>
    </row>
    <row r="59" spans="1:61" x14ac:dyDescent="0.25">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row>
    <row r="60" spans="1:61" ht="21" x14ac:dyDescent="0.35">
      <c r="A60" s="114">
        <v>6</v>
      </c>
      <c r="B60" s="114"/>
      <c r="C60" s="114"/>
      <c r="D60" s="114" t="s">
        <v>296</v>
      </c>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c r="AT60" s="115"/>
      <c r="AU60" s="115"/>
      <c r="AV60" s="115"/>
      <c r="AW60" s="115"/>
      <c r="AX60" s="115"/>
      <c r="AY60" s="115"/>
      <c r="AZ60" s="115"/>
      <c r="BA60" s="115"/>
      <c r="BB60" s="115"/>
      <c r="BC60" s="115"/>
      <c r="BD60" s="115"/>
      <c r="BE60" s="115"/>
      <c r="BF60" s="115"/>
      <c r="BG60" s="115"/>
      <c r="BH60" s="115"/>
      <c r="BI60" s="115"/>
    </row>
    <row r="61" spans="1:61" x14ac:dyDescent="0.25">
      <c r="C61">
        <v>590</v>
      </c>
      <c r="D61" t="s">
        <v>632</v>
      </c>
      <c r="E61" s="4">
        <v>320010.90000000002</v>
      </c>
      <c r="F61" s="4">
        <v>202473.55</v>
      </c>
      <c r="G61" s="4">
        <v>243621.8</v>
      </c>
      <c r="H61" s="4">
        <v>0</v>
      </c>
      <c r="I61" s="4">
        <v>144993.79999999999</v>
      </c>
      <c r="J61" s="4">
        <v>1305025.21</v>
      </c>
      <c r="K61" s="4">
        <v>390647.25</v>
      </c>
      <c r="L61" s="4">
        <v>1561026.7</v>
      </c>
      <c r="M61" s="4">
        <v>170087.9</v>
      </c>
      <c r="N61" s="4">
        <v>0</v>
      </c>
      <c r="O61" s="4">
        <v>668476.35</v>
      </c>
      <c r="P61" s="4">
        <v>13158.1</v>
      </c>
      <c r="Q61" s="4">
        <v>0</v>
      </c>
      <c r="R61" s="4">
        <v>0</v>
      </c>
      <c r="S61" s="4">
        <v>83953</v>
      </c>
      <c r="T61" s="4">
        <v>0</v>
      </c>
      <c r="U61" s="4">
        <v>406138.5</v>
      </c>
      <c r="V61" s="4">
        <v>28103</v>
      </c>
      <c r="W61" s="4">
        <v>1476429.1</v>
      </c>
      <c r="X61" s="4">
        <v>60000</v>
      </c>
      <c r="Y61" s="4">
        <v>712474.95</v>
      </c>
      <c r="Z61" s="4">
        <v>0</v>
      </c>
      <c r="AA61" s="4">
        <v>14730</v>
      </c>
      <c r="AB61" s="4">
        <v>220439</v>
      </c>
      <c r="AC61" s="4">
        <v>148468.4</v>
      </c>
      <c r="AD61" s="4">
        <v>388199.1</v>
      </c>
      <c r="AE61" s="4">
        <v>515846.5</v>
      </c>
      <c r="AF61" s="4">
        <v>216238</v>
      </c>
      <c r="AG61" s="4">
        <v>109279.25</v>
      </c>
      <c r="AH61" s="4">
        <v>40614</v>
      </c>
      <c r="AI61" s="4">
        <v>96348.43</v>
      </c>
      <c r="AJ61" s="4">
        <v>204729</v>
      </c>
      <c r="AK61" s="4">
        <v>1039322.15</v>
      </c>
      <c r="AL61" s="4">
        <v>286701.09999999998</v>
      </c>
      <c r="AM61" s="4">
        <v>139977</v>
      </c>
      <c r="AN61" s="4">
        <v>744467.39</v>
      </c>
      <c r="AO61" s="4">
        <v>88171.45</v>
      </c>
      <c r="AP61" s="4">
        <v>97134.65</v>
      </c>
      <c r="AQ61" s="4">
        <v>10889</v>
      </c>
      <c r="AR61" s="4">
        <v>692740.3</v>
      </c>
      <c r="AS61" s="4">
        <v>77000</v>
      </c>
      <c r="AT61" s="4">
        <v>206000</v>
      </c>
      <c r="AU61" s="4">
        <v>188423.5</v>
      </c>
      <c r="AV61" s="4">
        <v>27500</v>
      </c>
      <c r="AW61" s="4">
        <v>0</v>
      </c>
      <c r="AX61" s="4">
        <v>0</v>
      </c>
      <c r="AY61" s="4">
        <v>13795</v>
      </c>
      <c r="AZ61" s="4">
        <v>4852.3500000000004</v>
      </c>
      <c r="BA61" s="4">
        <v>160000</v>
      </c>
      <c r="BB61" s="4">
        <v>9142</v>
      </c>
      <c r="BC61" s="4">
        <v>0</v>
      </c>
      <c r="BD61" s="4">
        <v>2529747.5</v>
      </c>
      <c r="BE61" s="4">
        <v>0</v>
      </c>
      <c r="BF61" s="4">
        <f t="shared" ref="BF61" si="16">SUM(E61:BE61)</f>
        <v>16057375.180000002</v>
      </c>
      <c r="BG61" s="4">
        <f t="shared" ref="BG61" si="17">SUM(E61:W61)</f>
        <v>7014145.1600000001</v>
      </c>
      <c r="BH61" s="4">
        <f t="shared" ref="BH61" si="18">SUM(X61:AJ61)</f>
        <v>2727366.63</v>
      </c>
      <c r="BI61" s="4">
        <f t="shared" ref="BI61" si="19">SUM(AK61:BE61)</f>
        <v>6315863.3900000006</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5" tint="0.59999389629810485"/>
  </sheetPr>
  <dimension ref="A8:BH50"/>
  <sheetViews>
    <sheetView workbookViewId="0">
      <pane xSplit="4" ySplit="11" topLeftCell="AX15" activePane="bottomRight" state="frozen"/>
      <selection pane="topRight" activeCell="E1" sqref="E1"/>
      <selection pane="bottomLeft" activeCell="A12" sqref="A12"/>
      <selection pane="bottomRight" activeCell="AX30" sqref="AX30"/>
    </sheetView>
  </sheetViews>
  <sheetFormatPr baseColWidth="10" defaultColWidth="11.42578125" defaultRowHeight="15" x14ac:dyDescent="0.25"/>
  <cols>
    <col min="1" max="1" width="51.85546875" customWidth="1"/>
    <col min="2" max="2" width="7.42578125" customWidth="1"/>
    <col min="4" max="4" width="22.85546875" customWidth="1"/>
    <col min="5" max="60" width="15.7109375" customWidth="1"/>
  </cols>
  <sheetData>
    <row r="8" spans="1:60" ht="18.75" x14ac:dyDescent="0.3">
      <c r="A8" s="181" t="s">
        <v>494</v>
      </c>
      <c r="B8" s="181"/>
      <c r="C8" s="181"/>
      <c r="D8" s="181"/>
    </row>
    <row r="10" spans="1:60" x14ac:dyDescent="0.25">
      <c r="A10" s="7" t="s">
        <v>495</v>
      </c>
      <c r="B10" s="92"/>
      <c r="C10" s="53" t="s">
        <v>496</v>
      </c>
      <c r="D10" s="53" t="s">
        <v>497</v>
      </c>
      <c r="E10" s="45">
        <f>'4.1 Comptes 2021 natures'!E2</f>
        <v>947</v>
      </c>
      <c r="F10" s="45">
        <f>'4.1 Comptes 2021 natures'!F2</f>
        <v>265</v>
      </c>
      <c r="G10" s="45">
        <f>'4.1 Comptes 2021 natures'!G2</f>
        <v>469</v>
      </c>
      <c r="H10" s="45">
        <f>'4.1 Comptes 2021 natures'!H2</f>
        <v>439</v>
      </c>
      <c r="I10" s="45">
        <f>'4.1 Comptes 2021 natures'!I2</f>
        <v>3728</v>
      </c>
      <c r="J10" s="45">
        <f>'4.1 Comptes 2021 natures'!J2</f>
        <v>3345</v>
      </c>
      <c r="K10" s="45">
        <f>'4.1 Comptes 2021 natures'!K2</f>
        <v>2652</v>
      </c>
      <c r="L10" s="45">
        <f>'4.1 Comptes 2021 natures'!L2</f>
        <v>12479</v>
      </c>
      <c r="M10" s="45">
        <f>'4.1 Comptes 2021 natures'!M2</f>
        <v>1359</v>
      </c>
      <c r="N10" s="45">
        <f>'4.1 Comptes 2021 natures'!N2</f>
        <v>117</v>
      </c>
      <c r="O10" s="45">
        <f>'4.1 Comptes 2021 natures'!O2</f>
        <v>7261</v>
      </c>
      <c r="P10" s="45">
        <f>'4.1 Comptes 2021 natures'!P2</f>
        <v>538</v>
      </c>
      <c r="Q10" s="45">
        <f>'4.1 Comptes 2021 natures'!Q2</f>
        <v>111</v>
      </c>
      <c r="R10" s="45">
        <f>'4.1 Comptes 2021 natures'!R2</f>
        <v>421</v>
      </c>
      <c r="S10" s="45">
        <f>'4.1 Comptes 2021 natures'!S2</f>
        <v>346</v>
      </c>
      <c r="T10" s="45">
        <f>'4.1 Comptes 2021 natures'!T2</f>
        <v>710</v>
      </c>
      <c r="U10" s="45">
        <f>'4.1 Comptes 2021 natures'!U2</f>
        <v>269</v>
      </c>
      <c r="V10" s="45">
        <f>'4.1 Comptes 2021 natures'!V2</f>
        <v>440</v>
      </c>
      <c r="W10" s="45">
        <f>'4.1 Comptes 2021 natures'!W2</f>
        <v>3229</v>
      </c>
      <c r="X10" s="45">
        <f>'4.1 Comptes 2021 natures'!X2</f>
        <v>310</v>
      </c>
      <c r="Y10" s="45">
        <f>'4.1 Comptes 2021 natures'!Y2</f>
        <v>1270</v>
      </c>
      <c r="Z10" s="45">
        <f>'4.1 Comptes 2021 natures'!Z2</f>
        <v>1506</v>
      </c>
      <c r="AA10" s="45">
        <f>'4.1 Comptes 2021 natures'!AA2</f>
        <v>96</v>
      </c>
      <c r="AB10" s="45">
        <f>'4.1 Comptes 2021 natures'!AB2</f>
        <v>148</v>
      </c>
      <c r="AC10" s="45">
        <f>'4.1 Comptes 2021 natures'!AC2</f>
        <v>518</v>
      </c>
      <c r="AD10" s="45">
        <f>'4.1 Comptes 2021 natures'!AD2</f>
        <v>701</v>
      </c>
      <c r="AE10" s="45">
        <f>'4.1 Comptes 2021 natures'!AE2</f>
        <v>564</v>
      </c>
      <c r="AF10" s="45">
        <f>'4.1 Comptes 2021 natures'!AF2</f>
        <v>525</v>
      </c>
      <c r="AG10" s="45">
        <f>'4.1 Comptes 2021 natures'!AG2</f>
        <v>1909</v>
      </c>
      <c r="AH10" s="45">
        <f>'4.1 Comptes 2021 natures'!AH2</f>
        <v>2580</v>
      </c>
      <c r="AI10" s="45">
        <f>'4.1 Comptes 2021 natures'!AI2</f>
        <v>222</v>
      </c>
      <c r="AJ10" s="45">
        <f>'4.1 Comptes 2021 natures'!AJ2</f>
        <v>129</v>
      </c>
      <c r="AK10" s="45">
        <f>'4.1 Comptes 2021 natures'!AK2</f>
        <v>1891</v>
      </c>
      <c r="AL10" s="45">
        <f>'4.1 Comptes 2021 natures'!AL2</f>
        <v>1126</v>
      </c>
      <c r="AM10" s="45">
        <f>'4.1 Comptes 2021 natures'!AM2</f>
        <v>1225</v>
      </c>
      <c r="AN10" s="45">
        <f>'4.1 Comptes 2021 natures'!AN2</f>
        <v>117</v>
      </c>
      <c r="AO10" s="45">
        <f>'4.1 Comptes 2021 natures'!AO2</f>
        <v>1185</v>
      </c>
      <c r="AP10" s="45">
        <f>'4.1 Comptes 2021 natures'!AP2</f>
        <v>642</v>
      </c>
      <c r="AQ10" s="45">
        <f>'4.1 Comptes 2021 natures'!AQ2</f>
        <v>633</v>
      </c>
      <c r="AR10" s="45">
        <f>'4.1 Comptes 2021 natures'!AR2</f>
        <v>1284</v>
      </c>
      <c r="AS10" s="45">
        <f>'4.1 Comptes 2021 natures'!AS2</f>
        <v>731</v>
      </c>
      <c r="AT10" s="45">
        <f>'4.1 Comptes 2021 natures'!AT2</f>
        <v>1016</v>
      </c>
      <c r="AU10" s="45">
        <f>'4.1 Comptes 2021 natures'!AU2</f>
        <v>304</v>
      </c>
      <c r="AV10" s="45">
        <f>'4.1 Comptes 2021 natures'!AV2</f>
        <v>2412</v>
      </c>
      <c r="AW10" s="45">
        <f>'4.1 Comptes 2021 natures'!AW2</f>
        <v>735</v>
      </c>
      <c r="AX10" s="45">
        <f>'4.1 Comptes 2021 natures'!AX2</f>
        <v>185</v>
      </c>
      <c r="AY10" s="45">
        <f>'4.1 Comptes 2021 natures'!AY2</f>
        <v>340</v>
      </c>
      <c r="AZ10" s="45">
        <f>'4.1 Comptes 2021 natures'!AZ2</f>
        <v>1697</v>
      </c>
      <c r="BA10" s="45">
        <f>'4.1 Comptes 2021 natures'!BA2</f>
        <v>390</v>
      </c>
      <c r="BB10" s="45">
        <f>'4.1 Comptes 2021 natures'!BB2</f>
        <v>1073</v>
      </c>
      <c r="BC10" s="45">
        <f>'4.1 Comptes 2021 natures'!BC2</f>
        <v>184</v>
      </c>
      <c r="BD10" s="45">
        <f>'4.1 Comptes 2021 natures'!BD2</f>
        <v>6466</v>
      </c>
      <c r="BE10" s="45">
        <f>'4.1 Comptes 2021 natures'!BE2</f>
        <v>559</v>
      </c>
      <c r="BF10" s="45" t="str">
        <f>'4.1 Comptes 2021 natures'!BG2</f>
        <v>ct</v>
      </c>
      <c r="BG10" s="45">
        <f>'4.1 Comptes 2021 natures'!BH2</f>
        <v>10478</v>
      </c>
      <c r="BH10" s="45">
        <f>'4.1 Comptes 2021 natures'!BI2</f>
        <v>24195</v>
      </c>
    </row>
    <row r="11" spans="1:60" x14ac:dyDescent="0.25">
      <c r="B11" s="92"/>
      <c r="E11" s="33" t="s">
        <v>56</v>
      </c>
      <c r="F11" s="33" t="s">
        <v>18</v>
      </c>
      <c r="G11" s="33" t="s">
        <v>57</v>
      </c>
      <c r="H11" s="33" t="s">
        <v>53</v>
      </c>
      <c r="I11" s="33" t="s">
        <v>33</v>
      </c>
      <c r="J11" s="33" t="s">
        <v>10</v>
      </c>
      <c r="K11" s="33" t="s">
        <v>15</v>
      </c>
      <c r="L11" s="33" t="s">
        <v>28</v>
      </c>
      <c r="M11" s="33" t="s">
        <v>42</v>
      </c>
      <c r="N11" s="33" t="s">
        <v>23</v>
      </c>
      <c r="O11" s="33" t="s">
        <v>22</v>
      </c>
      <c r="P11" s="33" t="s">
        <v>13</v>
      </c>
      <c r="Q11" s="33" t="s">
        <v>17</v>
      </c>
      <c r="R11" s="33" t="s">
        <v>43</v>
      </c>
      <c r="S11" s="33" t="s">
        <v>40</v>
      </c>
      <c r="T11" s="33" t="s">
        <v>31</v>
      </c>
      <c r="U11" s="33" t="s">
        <v>12</v>
      </c>
      <c r="V11" s="33" t="s">
        <v>59</v>
      </c>
      <c r="W11" s="33" t="s">
        <v>27</v>
      </c>
      <c r="X11" s="34" t="s">
        <v>30</v>
      </c>
      <c r="Y11" s="34" t="s">
        <v>20</v>
      </c>
      <c r="Z11" s="34" t="s">
        <v>45</v>
      </c>
      <c r="AA11" s="34" t="s">
        <v>71</v>
      </c>
      <c r="AB11" s="34" t="s">
        <v>39</v>
      </c>
      <c r="AC11" s="34" t="s">
        <v>19</v>
      </c>
      <c r="AD11" s="34" t="s">
        <v>41</v>
      </c>
      <c r="AE11" s="34" t="s">
        <v>36</v>
      </c>
      <c r="AF11" s="34" t="s">
        <v>7</v>
      </c>
      <c r="AG11" s="34" t="s">
        <v>55</v>
      </c>
      <c r="AH11" s="34" t="s">
        <v>21</v>
      </c>
      <c r="AI11" s="34" t="s">
        <v>6</v>
      </c>
      <c r="AJ11" s="34" t="s">
        <v>34</v>
      </c>
      <c r="AK11" s="35" t="s">
        <v>52</v>
      </c>
      <c r="AL11" s="35" t="s">
        <v>14</v>
      </c>
      <c r="AM11" s="35" t="s">
        <v>32</v>
      </c>
      <c r="AN11" s="35" t="s">
        <v>29</v>
      </c>
      <c r="AO11" s="35" t="s">
        <v>26</v>
      </c>
      <c r="AP11" s="35" t="s">
        <v>48</v>
      </c>
      <c r="AQ11" s="35" t="s">
        <v>44</v>
      </c>
      <c r="AR11" s="35" t="s">
        <v>37</v>
      </c>
      <c r="AS11" s="35" t="s">
        <v>51</v>
      </c>
      <c r="AT11" s="35" t="s">
        <v>8</v>
      </c>
      <c r="AU11" s="35" t="s">
        <v>24</v>
      </c>
      <c r="AV11" s="35" t="s">
        <v>9</v>
      </c>
      <c r="AW11" s="35" t="s">
        <v>62</v>
      </c>
      <c r="AX11" s="35" t="s">
        <v>46</v>
      </c>
      <c r="AY11" s="35" t="s">
        <v>35</v>
      </c>
      <c r="AZ11" s="35" t="s">
        <v>49</v>
      </c>
      <c r="BA11" s="35" t="s">
        <v>47</v>
      </c>
      <c r="BB11" s="35" t="s">
        <v>58</v>
      </c>
      <c r="BC11" s="35" t="s">
        <v>50</v>
      </c>
      <c r="BD11" s="35" t="s">
        <v>16</v>
      </c>
      <c r="BE11" s="35" t="s">
        <v>25</v>
      </c>
      <c r="BF11" s="37" t="s">
        <v>28</v>
      </c>
      <c r="BG11" s="34" t="s">
        <v>64</v>
      </c>
      <c r="BH11" s="35" t="s">
        <v>16</v>
      </c>
    </row>
    <row r="12" spans="1:60" x14ac:dyDescent="0.25">
      <c r="A12" s="93" t="s">
        <v>252</v>
      </c>
      <c r="B12" s="94" t="s">
        <v>225</v>
      </c>
      <c r="C12" s="93">
        <v>20</v>
      </c>
      <c r="D12" s="95">
        <f>'Base de données indicateurs1'!BF8</f>
        <v>616976138.49999988</v>
      </c>
      <c r="E12" s="4">
        <f>'Base de données indicateurs1'!E8</f>
        <v>10597593.460000001</v>
      </c>
      <c r="F12" s="4">
        <f>'Base de données indicateurs1'!F8</f>
        <v>2476025.2000000002</v>
      </c>
      <c r="G12" s="4">
        <f>'Base de données indicateurs1'!G8</f>
        <v>6054411.8899999997</v>
      </c>
      <c r="H12" s="4">
        <f>'Base de données indicateurs1'!H8</f>
        <v>4819394.95</v>
      </c>
      <c r="I12" s="4">
        <f>'Base de données indicateurs1'!I8</f>
        <v>24955383</v>
      </c>
      <c r="J12" s="4">
        <f>'Base de données indicateurs1'!J8</f>
        <v>24713296.989999998</v>
      </c>
      <c r="K12" s="4">
        <f>'Base de données indicateurs1'!K8</f>
        <v>11514993.67</v>
      </c>
      <c r="L12" s="4">
        <f>'Base de données indicateurs1'!L8</f>
        <v>146151956.09999999</v>
      </c>
      <c r="M12" s="4">
        <f>'Base de données indicateurs1'!M8</f>
        <v>6829297.8200000003</v>
      </c>
      <c r="N12" s="4">
        <f>'Base de données indicateurs1'!N8</f>
        <v>1044108.48</v>
      </c>
      <c r="O12" s="4">
        <f>'Base de données indicateurs1'!O8</f>
        <v>45801119</v>
      </c>
      <c r="P12" s="4">
        <f>'Base de données indicateurs1'!P8</f>
        <v>3495201.54</v>
      </c>
      <c r="Q12" s="4">
        <f>'Base de données indicateurs1'!Q8</f>
        <v>574956.75</v>
      </c>
      <c r="R12" s="4">
        <f>'Base de données indicateurs1'!R8</f>
        <v>3100133.92</v>
      </c>
      <c r="S12" s="4">
        <f>'Base de données indicateurs1'!S8</f>
        <v>4169598.16</v>
      </c>
      <c r="T12" s="4">
        <f>'Base de données indicateurs1'!T8</f>
        <v>5269530.68</v>
      </c>
      <c r="U12" s="4">
        <f>'Base de données indicateurs1'!U8</f>
        <v>1053712.07</v>
      </c>
      <c r="V12" s="4">
        <f>'Base de données indicateurs1'!V8</f>
        <v>4133437.39</v>
      </c>
      <c r="W12" s="4">
        <f>'Base de données indicateurs1'!W8</f>
        <v>17259552.27</v>
      </c>
      <c r="X12" s="4">
        <f>'Base de données indicateurs1'!X8</f>
        <v>665836</v>
      </c>
      <c r="Y12" s="4">
        <f>'Base de données indicateurs1'!Y8</f>
        <v>10920765.789999999</v>
      </c>
      <c r="Z12" s="4">
        <f>'Base de données indicateurs1'!Z8</f>
        <v>13660696.18</v>
      </c>
      <c r="AA12" s="4">
        <f>'Base de données indicateurs1'!AA8</f>
        <v>841503</v>
      </c>
      <c r="AB12" s="4">
        <f>'Base de données indicateurs1'!AB8</f>
        <v>1355565.94</v>
      </c>
      <c r="AC12" s="4">
        <f>'Base de données indicateurs1'!AC8</f>
        <v>4501281.16</v>
      </c>
      <c r="AD12" s="4">
        <f>'Base de données indicateurs1'!AD8</f>
        <v>7319398.3799999999</v>
      </c>
      <c r="AE12" s="4">
        <f>'Base de données indicateurs1'!AE8</f>
        <v>4025148.31</v>
      </c>
      <c r="AF12" s="4">
        <f>'Base de données indicateurs1'!AF8</f>
        <v>2045263.37</v>
      </c>
      <c r="AG12" s="4">
        <f>'Base de données indicateurs1'!AG8</f>
        <v>7020295.6699999999</v>
      </c>
      <c r="AH12" s="4">
        <f>'Base de données indicateurs1'!AH8</f>
        <v>18244470.899999999</v>
      </c>
      <c r="AI12" s="4">
        <f>'Base de données indicateurs1'!AI8</f>
        <v>1796313.43</v>
      </c>
      <c r="AJ12" s="4">
        <f>'Base de données indicateurs1'!AJ8</f>
        <v>1072034.6499999999</v>
      </c>
      <c r="AK12" s="4">
        <f>'Base de données indicateurs1'!AK8</f>
        <v>18843045</v>
      </c>
      <c r="AL12" s="4">
        <f>'Base de données indicateurs1'!AL8</f>
        <v>10070987.34</v>
      </c>
      <c r="AM12" s="4">
        <f>'Base de données indicateurs1'!AM8</f>
        <v>11888425.890000001</v>
      </c>
      <c r="AN12" s="4">
        <f>'Base de données indicateurs1'!AN8</f>
        <v>1619181.74</v>
      </c>
      <c r="AO12" s="4">
        <f>'Base de données indicateurs1'!AO8</f>
        <v>9669024.3300000001</v>
      </c>
      <c r="AP12" s="4">
        <f>'Base de données indicateurs1'!AP8</f>
        <v>5070636.54</v>
      </c>
      <c r="AQ12" s="4">
        <f>'Base de données indicateurs1'!AQ8</f>
        <v>4144008</v>
      </c>
      <c r="AR12" s="4">
        <f>'Base de données indicateurs1'!AR8</f>
        <v>11559620.699999999</v>
      </c>
      <c r="AS12" s="4">
        <f>'Base de données indicateurs1'!AS8</f>
        <v>5697376.5700000003</v>
      </c>
      <c r="AT12" s="4">
        <f>'Base de données indicateurs1'!AT8</f>
        <v>9161039.7400000002</v>
      </c>
      <c r="AU12" s="4">
        <f>'Base de données indicateurs1'!AU8</f>
        <v>2148930.5699999998</v>
      </c>
      <c r="AV12" s="4">
        <f>'Base de données indicateurs1'!AV8</f>
        <v>13712349.01</v>
      </c>
      <c r="AW12" s="4">
        <f>'Base de données indicateurs1'!AW8</f>
        <v>6198010.5700000003</v>
      </c>
      <c r="AX12" s="4">
        <f>'Base de données indicateurs1'!AX8</f>
        <v>913998</v>
      </c>
      <c r="AY12" s="4">
        <f>'Base de données indicateurs1'!AY8</f>
        <v>2071378.69</v>
      </c>
      <c r="AZ12" s="4">
        <f>'Base de données indicateurs1'!AZ8</f>
        <v>20057446.789999999</v>
      </c>
      <c r="BA12" s="4">
        <f>'Base de données indicateurs1'!BA8</f>
        <v>2088786.85</v>
      </c>
      <c r="BB12" s="4">
        <f>'Base de données indicateurs1'!BB8</f>
        <v>10822262.43</v>
      </c>
      <c r="BC12" s="4">
        <f>'Base de données indicateurs1'!BC8</f>
        <v>305132.06</v>
      </c>
      <c r="BD12" s="4">
        <f>'Base de données indicateurs1'!BD8</f>
        <v>69166529.180000007</v>
      </c>
      <c r="BE12" s="4">
        <f>'Base de données indicateurs1'!BE8</f>
        <v>4285692.38</v>
      </c>
      <c r="BF12" s="4">
        <f>SUM(E12:W12)</f>
        <v>324013703.33999997</v>
      </c>
      <c r="BG12" s="4">
        <f>SUM(X12:AJ12)</f>
        <v>73468572.780000016</v>
      </c>
      <c r="BH12" s="4">
        <f>SUM(AK12:BE12)</f>
        <v>219493862.38</v>
      </c>
    </row>
    <row r="13" spans="1:60" x14ac:dyDescent="0.25">
      <c r="A13" s="96" t="s">
        <v>240</v>
      </c>
      <c r="B13" s="97" t="s">
        <v>226</v>
      </c>
      <c r="C13" s="96">
        <v>10</v>
      </c>
      <c r="D13" s="98">
        <f>'Base de données indicateurs1'!BF5</f>
        <v>330827080.74999988</v>
      </c>
      <c r="E13" s="4">
        <f>'Base de données indicateurs1'!E5</f>
        <v>6215834.75</v>
      </c>
      <c r="F13" s="4">
        <f>'Base de données indicateurs1'!F5</f>
        <v>1141851.18</v>
      </c>
      <c r="G13" s="4">
        <f>'Base de données indicateurs1'!G5</f>
        <v>3560116.59</v>
      </c>
      <c r="H13" s="4">
        <f>'Base de données indicateurs1'!H5</f>
        <v>4665729.1100000003</v>
      </c>
      <c r="I13" s="4">
        <f>'Base de données indicateurs1'!I5</f>
        <v>15358859</v>
      </c>
      <c r="J13" s="4">
        <f>'Base de données indicateurs1'!J5</f>
        <v>8576665.4700000007</v>
      </c>
      <c r="K13" s="4">
        <f>'Base de données indicateurs1'!K5</f>
        <v>10901550.18</v>
      </c>
      <c r="L13" s="4">
        <f>'Base de données indicateurs1'!L5</f>
        <v>50722063</v>
      </c>
      <c r="M13" s="4">
        <f>'Base de données indicateurs1'!M5</f>
        <v>3552476.33</v>
      </c>
      <c r="N13" s="4">
        <f>'Base de données indicateurs1'!N5</f>
        <v>387086.74</v>
      </c>
      <c r="O13" s="4">
        <f>'Base de données indicateurs1'!O5</f>
        <v>18670168.030000001</v>
      </c>
      <c r="P13" s="4">
        <f>'Base de données indicateurs1'!P5</f>
        <v>2335602.86</v>
      </c>
      <c r="Q13" s="4">
        <f>'Base de données indicateurs1'!Q5</f>
        <v>533749.43999999994</v>
      </c>
      <c r="R13" s="4">
        <f>'Base de données indicateurs1'!R5</f>
        <v>1346191.77</v>
      </c>
      <c r="S13" s="4">
        <f>'Base de données indicateurs1'!S5</f>
        <v>2420446.7000000002</v>
      </c>
      <c r="T13" s="4">
        <f>'Base de données indicateurs1'!T5</f>
        <v>5477916.4500000002</v>
      </c>
      <c r="U13" s="4">
        <f>'Base de données indicateurs1'!U5</f>
        <v>758188.35</v>
      </c>
      <c r="V13" s="4">
        <f>'Base de données indicateurs1'!V5</f>
        <v>2180801.88</v>
      </c>
      <c r="W13" s="4">
        <f>'Base de données indicateurs1'!W5</f>
        <v>6432633.5</v>
      </c>
      <c r="X13" s="4">
        <f>'Base de données indicateurs1'!X5</f>
        <v>1924600</v>
      </c>
      <c r="Y13" s="4">
        <f>'Base de données indicateurs1'!Y5</f>
        <v>4480522.83</v>
      </c>
      <c r="Z13" s="4">
        <f>'Base de données indicateurs1'!Z5</f>
        <v>24040991.960000001</v>
      </c>
      <c r="AA13" s="4">
        <f>'Base de données indicateurs1'!AA5</f>
        <v>767484.1</v>
      </c>
      <c r="AB13" s="4">
        <f>'Base de données indicateurs1'!AB5</f>
        <v>1679089.31</v>
      </c>
      <c r="AC13" s="4">
        <f>'Base de données indicateurs1'!AC5</f>
        <v>3151827.65</v>
      </c>
      <c r="AD13" s="4">
        <f>'Base de données indicateurs1'!AD5</f>
        <v>2703468.09</v>
      </c>
      <c r="AE13" s="4">
        <f>'Base de données indicateurs1'!AE5</f>
        <v>2598603.84</v>
      </c>
      <c r="AF13" s="4">
        <f>'Base de données indicateurs1'!AF5</f>
        <v>4859272.7300000004</v>
      </c>
      <c r="AG13" s="4">
        <f>'Base de données indicateurs1'!AG5</f>
        <v>8453727.2599999998</v>
      </c>
      <c r="AH13" s="4">
        <f>'Base de données indicateurs1'!AH5</f>
        <v>9931261.6699999999</v>
      </c>
      <c r="AI13" s="4">
        <f>'Base de données indicateurs1'!AI5</f>
        <v>1884581.56</v>
      </c>
      <c r="AJ13" s="4">
        <f>'Base de données indicateurs1'!AJ5</f>
        <v>2077662.84</v>
      </c>
      <c r="AK13" s="4">
        <f>'Base de données indicateurs1'!AK5</f>
        <v>6066530.1399999997</v>
      </c>
      <c r="AL13" s="4">
        <f>'Base de données indicateurs1'!AL5</f>
        <v>5775298.5199999996</v>
      </c>
      <c r="AM13" s="4">
        <f>'Base de données indicateurs1'!AM5</f>
        <v>5469328.1600000001</v>
      </c>
      <c r="AN13" s="4">
        <f>'Base de données indicateurs1'!AN5</f>
        <v>1688154.88</v>
      </c>
      <c r="AO13" s="4">
        <f>'Base de données indicateurs1'!AO5</f>
        <v>13922324.970000001</v>
      </c>
      <c r="AP13" s="4">
        <f>'Base de données indicateurs1'!AP5</f>
        <v>3675736.55</v>
      </c>
      <c r="AQ13" s="4">
        <f>'Base de données indicateurs1'!AQ5</f>
        <v>2883653</v>
      </c>
      <c r="AR13" s="4">
        <f>'Base de données indicateurs1'!AR5</f>
        <v>11869488.51</v>
      </c>
      <c r="AS13" s="4">
        <f>'Base de données indicateurs1'!AS5</f>
        <v>2610512.23</v>
      </c>
      <c r="AT13" s="4">
        <f>'Base de données indicateurs1'!AT5</f>
        <v>4064289.31</v>
      </c>
      <c r="AU13" s="4">
        <f>'Base de données indicateurs1'!AU5</f>
        <v>3238914.92</v>
      </c>
      <c r="AV13" s="4">
        <f>'Base de données indicateurs1'!AV5</f>
        <v>5993608.2599999998</v>
      </c>
      <c r="AW13" s="4">
        <f>'Base de données indicateurs1'!AW5</f>
        <v>3392744.83</v>
      </c>
      <c r="AX13" s="4">
        <f>'Base de données indicateurs1'!AX5</f>
        <v>734999</v>
      </c>
      <c r="AY13" s="4">
        <f>'Base de données indicateurs1'!AY5</f>
        <v>2708714.28</v>
      </c>
      <c r="AZ13" s="4">
        <f>'Base de données indicateurs1'!AZ5</f>
        <v>4744472.3600000003</v>
      </c>
      <c r="BA13" s="4">
        <f>'Base de données indicateurs1'!BA5</f>
        <v>2973001.33</v>
      </c>
      <c r="BB13" s="4">
        <f>'Base de données indicateurs1'!BB5</f>
        <v>4994920.1399999997</v>
      </c>
      <c r="BC13" s="4">
        <f>'Base de données indicateurs1'!BC5</f>
        <v>881392.45</v>
      </c>
      <c r="BD13" s="4">
        <f>'Base de données indicateurs1'!BD5</f>
        <v>27043126.07</v>
      </c>
      <c r="BE13" s="4">
        <f>'Base de données indicateurs1'!BE5</f>
        <v>2304845.67</v>
      </c>
      <c r="BF13" s="4">
        <f t="shared" ref="BF13:BF46" si="0">SUM(E13:W13)</f>
        <v>145237931.32999998</v>
      </c>
      <c r="BG13" s="4">
        <f t="shared" ref="BG13:BG46" si="1">SUM(X13:AJ13)</f>
        <v>68553093.840000004</v>
      </c>
      <c r="BH13" s="4">
        <f t="shared" ref="BH13:BH46" si="2">SUM(AK13:BE13)</f>
        <v>117036055.58</v>
      </c>
    </row>
    <row r="14" spans="1:60" ht="15.75" thickBot="1" x14ac:dyDescent="0.3">
      <c r="B14" s="99"/>
      <c r="D14" s="4"/>
      <c r="BF14" s="4"/>
      <c r="BG14" s="4"/>
      <c r="BH14" s="4"/>
    </row>
    <row r="15" spans="1:60" ht="15.75" thickBot="1" x14ac:dyDescent="0.3">
      <c r="A15" s="7" t="s">
        <v>498</v>
      </c>
      <c r="B15" s="52"/>
      <c r="C15" s="7"/>
      <c r="D15" s="100">
        <f>D12-D13</f>
        <v>286149057.75</v>
      </c>
      <c r="E15" s="4">
        <f>E12-E13</f>
        <v>4381758.7100000009</v>
      </c>
      <c r="F15" s="4">
        <f t="shared" ref="F15:BE15" si="3">F12-F13</f>
        <v>1334174.0200000003</v>
      </c>
      <c r="G15" s="4">
        <f t="shared" si="3"/>
        <v>2494295.2999999998</v>
      </c>
      <c r="H15" s="4">
        <f t="shared" si="3"/>
        <v>153665.83999999985</v>
      </c>
      <c r="I15" s="4">
        <f t="shared" si="3"/>
        <v>9596524</v>
      </c>
      <c r="J15" s="4">
        <f t="shared" si="3"/>
        <v>16136631.519999998</v>
      </c>
      <c r="K15" s="4">
        <f t="shared" si="3"/>
        <v>613443.49000000022</v>
      </c>
      <c r="L15" s="4">
        <f t="shared" si="3"/>
        <v>95429893.099999994</v>
      </c>
      <c r="M15" s="4">
        <f t="shared" si="3"/>
        <v>3276821.49</v>
      </c>
      <c r="N15" s="4">
        <f t="shared" si="3"/>
        <v>657021.74</v>
      </c>
      <c r="O15" s="4">
        <f t="shared" si="3"/>
        <v>27130950.969999999</v>
      </c>
      <c r="P15" s="4">
        <f t="shared" si="3"/>
        <v>1159598.6800000002</v>
      </c>
      <c r="Q15" s="4">
        <f t="shared" si="3"/>
        <v>41207.310000000056</v>
      </c>
      <c r="R15" s="4">
        <f t="shared" si="3"/>
        <v>1753942.15</v>
      </c>
      <c r="S15" s="4">
        <f t="shared" si="3"/>
        <v>1749151.46</v>
      </c>
      <c r="T15" s="4">
        <f t="shared" si="3"/>
        <v>-208385.77000000048</v>
      </c>
      <c r="U15" s="4">
        <f t="shared" si="3"/>
        <v>295523.72000000009</v>
      </c>
      <c r="V15" s="4">
        <f t="shared" si="3"/>
        <v>1952635.5100000002</v>
      </c>
      <c r="W15" s="4">
        <f t="shared" si="3"/>
        <v>10826918.77</v>
      </c>
      <c r="X15" s="4">
        <f t="shared" si="3"/>
        <v>-1258764</v>
      </c>
      <c r="Y15" s="4">
        <f t="shared" si="3"/>
        <v>6440242.959999999</v>
      </c>
      <c r="Z15" s="4">
        <f t="shared" si="3"/>
        <v>-10380295.780000001</v>
      </c>
      <c r="AA15" s="4">
        <f t="shared" si="3"/>
        <v>74018.900000000023</v>
      </c>
      <c r="AB15" s="4">
        <f t="shared" si="3"/>
        <v>-323523.37000000011</v>
      </c>
      <c r="AC15" s="4">
        <f t="shared" si="3"/>
        <v>1349453.5100000002</v>
      </c>
      <c r="AD15" s="4">
        <f t="shared" si="3"/>
        <v>4615930.29</v>
      </c>
      <c r="AE15" s="4">
        <f t="shared" si="3"/>
        <v>1426544.4700000002</v>
      </c>
      <c r="AF15" s="4">
        <f t="shared" si="3"/>
        <v>-2814009.3600000003</v>
      </c>
      <c r="AG15" s="4">
        <f t="shared" si="3"/>
        <v>-1433431.5899999999</v>
      </c>
      <c r="AH15" s="4">
        <f t="shared" si="3"/>
        <v>8313209.2299999986</v>
      </c>
      <c r="AI15" s="4">
        <f t="shared" si="3"/>
        <v>-88268.130000000121</v>
      </c>
      <c r="AJ15" s="4">
        <f t="shared" si="3"/>
        <v>-1005628.1900000002</v>
      </c>
      <c r="AK15" s="4">
        <f t="shared" si="3"/>
        <v>12776514.859999999</v>
      </c>
      <c r="AL15" s="4">
        <f t="shared" si="3"/>
        <v>4295688.82</v>
      </c>
      <c r="AM15" s="4">
        <f t="shared" si="3"/>
        <v>6419097.7300000004</v>
      </c>
      <c r="AN15" s="4">
        <f t="shared" si="3"/>
        <v>-68973.139999999898</v>
      </c>
      <c r="AO15" s="4">
        <f t="shared" si="3"/>
        <v>-4253300.6400000006</v>
      </c>
      <c r="AP15" s="4">
        <f t="shared" si="3"/>
        <v>1394899.9900000002</v>
      </c>
      <c r="AQ15" s="4">
        <f t="shared" si="3"/>
        <v>1260355</v>
      </c>
      <c r="AR15" s="4">
        <f t="shared" si="3"/>
        <v>-309867.81000000052</v>
      </c>
      <c r="AS15" s="4">
        <f t="shared" si="3"/>
        <v>3086864.3400000003</v>
      </c>
      <c r="AT15" s="4">
        <f t="shared" si="3"/>
        <v>5096750.43</v>
      </c>
      <c r="AU15" s="4">
        <f t="shared" si="3"/>
        <v>-1089984.3500000001</v>
      </c>
      <c r="AV15" s="4">
        <f t="shared" si="3"/>
        <v>7718740.75</v>
      </c>
      <c r="AW15" s="4">
        <f t="shared" si="3"/>
        <v>2805265.74</v>
      </c>
      <c r="AX15" s="4">
        <f t="shared" si="3"/>
        <v>178999</v>
      </c>
      <c r="AY15" s="4">
        <f t="shared" si="3"/>
        <v>-637335.58999999985</v>
      </c>
      <c r="AZ15" s="4">
        <f t="shared" si="3"/>
        <v>15312974.43</v>
      </c>
      <c r="BA15" s="4">
        <f t="shared" si="3"/>
        <v>-884214.48</v>
      </c>
      <c r="BB15" s="4">
        <f t="shared" si="3"/>
        <v>5827342.29</v>
      </c>
      <c r="BC15" s="4">
        <f t="shared" si="3"/>
        <v>-576260.3899999999</v>
      </c>
      <c r="BD15" s="4">
        <f t="shared" si="3"/>
        <v>42123403.110000007</v>
      </c>
      <c r="BE15" s="4">
        <f t="shared" si="3"/>
        <v>1980846.71</v>
      </c>
      <c r="BF15" s="4">
        <f t="shared" si="0"/>
        <v>178775772.00999999</v>
      </c>
      <c r="BG15" s="4">
        <f t="shared" si="1"/>
        <v>4915478.9399999967</v>
      </c>
      <c r="BH15" s="4">
        <f t="shared" si="2"/>
        <v>102457806.8</v>
      </c>
    </row>
    <row r="16" spans="1:60" x14ac:dyDescent="0.25">
      <c r="B16" s="99"/>
      <c r="D16" s="4"/>
      <c r="BF16" s="4"/>
      <c r="BG16" s="4"/>
      <c r="BH16" s="4"/>
    </row>
    <row r="17" spans="1:60" x14ac:dyDescent="0.25">
      <c r="A17" s="93" t="s">
        <v>278</v>
      </c>
      <c r="B17" s="94" t="s">
        <v>225</v>
      </c>
      <c r="C17" s="93">
        <v>400</v>
      </c>
      <c r="D17" s="95">
        <f>'Base de données indicateurs1'!BF38</f>
        <v>166473515.80000004</v>
      </c>
      <c r="E17" s="4">
        <f>'Base de données indicateurs1'!E38</f>
        <v>2089448.2</v>
      </c>
      <c r="F17" s="4">
        <f>'Base de données indicateurs1'!F38</f>
        <v>492282.79</v>
      </c>
      <c r="G17" s="4">
        <f>'Base de données indicateurs1'!G38</f>
        <v>949917.15</v>
      </c>
      <c r="H17" s="4">
        <f>'Base de données indicateurs1'!H38</f>
        <v>841221.18</v>
      </c>
      <c r="I17" s="4">
        <f>'Base de données indicateurs1'!I38</f>
        <v>7675747</v>
      </c>
      <c r="J17" s="4">
        <f>'Base de données indicateurs1'!J38</f>
        <v>7567612.5700000003</v>
      </c>
      <c r="K17" s="4">
        <f>'Base de données indicateurs1'!K38</f>
        <v>5914223.3300000001</v>
      </c>
      <c r="L17" s="4">
        <f>'Base de données indicateurs1'!L38</f>
        <v>28291546</v>
      </c>
      <c r="M17" s="4">
        <f>'Base de données indicateurs1'!M38</f>
        <v>2993299.47</v>
      </c>
      <c r="N17" s="4">
        <f>'Base de données indicateurs1'!N38</f>
        <v>178520.05</v>
      </c>
      <c r="O17" s="4">
        <f>'Base de données indicateurs1'!O38</f>
        <v>14978467.65</v>
      </c>
      <c r="P17" s="4">
        <f>'Base de données indicateurs1'!P38</f>
        <v>923297.55</v>
      </c>
      <c r="Q17" s="4">
        <f>'Base de données indicateurs1'!Q38</f>
        <v>233632.67</v>
      </c>
      <c r="R17" s="4">
        <f>'Base de données indicateurs1'!R38</f>
        <v>894841.17</v>
      </c>
      <c r="S17" s="4">
        <f>'Base de données indicateurs1'!S38</f>
        <v>722684.29</v>
      </c>
      <c r="T17" s="4">
        <f>'Base de données indicateurs1'!T38</f>
        <v>1853875.05</v>
      </c>
      <c r="U17" s="4">
        <f>'Base de données indicateurs1'!U38</f>
        <v>414418.45</v>
      </c>
      <c r="V17" s="4">
        <f>'Base de données indicateurs1'!V38</f>
        <v>976276.95</v>
      </c>
      <c r="W17" s="4">
        <f>'Base de données indicateurs1'!W38</f>
        <v>6954871.4000000004</v>
      </c>
      <c r="X17" s="4">
        <f>'Base de données indicateurs1'!X38</f>
        <v>705231.84</v>
      </c>
      <c r="Y17" s="4">
        <f>'Base de données indicateurs1'!Y38</f>
        <v>5167560.4800000004</v>
      </c>
      <c r="Z17" s="4">
        <f>'Base de données indicateurs1'!Z38</f>
        <v>2851513.73</v>
      </c>
      <c r="AA17" s="4">
        <f>'Base de données indicateurs1'!AA38</f>
        <v>201253.2</v>
      </c>
      <c r="AB17" s="4">
        <f>'Base de données indicateurs1'!AB38</f>
        <v>272253.90000000002</v>
      </c>
      <c r="AC17" s="4">
        <f>'Base de données indicateurs1'!AC38</f>
        <v>1175064.6599999999</v>
      </c>
      <c r="AD17" s="4">
        <f>'Base de données indicateurs1'!AD38</f>
        <v>1415436</v>
      </c>
      <c r="AE17" s="4">
        <f>'Base de données indicateurs1'!AE38</f>
        <v>1180186.76</v>
      </c>
      <c r="AF17" s="4">
        <f>'Base de données indicateurs1'!AF38</f>
        <v>1212954.99</v>
      </c>
      <c r="AG17" s="4">
        <f>'Base de données indicateurs1'!AG38</f>
        <v>4742424.3499999996</v>
      </c>
      <c r="AH17" s="4">
        <f>'Base de données indicateurs1'!AH38</f>
        <v>6279646.9500000002</v>
      </c>
      <c r="AI17" s="4">
        <f>'Base de données indicateurs1'!AI38</f>
        <v>351906.95</v>
      </c>
      <c r="AJ17" s="4">
        <f>'Base de données indicateurs1'!AJ38</f>
        <v>243024.85</v>
      </c>
      <c r="AK17" s="4">
        <f>'Base de données indicateurs1'!AK38</f>
        <v>4750955.45</v>
      </c>
      <c r="AL17" s="4">
        <f>'Base de données indicateurs1'!AL38</f>
        <v>2118419</v>
      </c>
      <c r="AM17" s="4">
        <f>'Base de données indicateurs1'!AM38</f>
        <v>2412689.29</v>
      </c>
      <c r="AN17" s="4">
        <f>'Base de données indicateurs1'!AN38</f>
        <v>281720.31</v>
      </c>
      <c r="AO17" s="4">
        <f>'Base de données indicateurs1'!AO38</f>
        <v>3131674.65</v>
      </c>
      <c r="AP17" s="4">
        <f>'Base de données indicateurs1'!AP38</f>
        <v>1357873.47</v>
      </c>
      <c r="AQ17" s="4">
        <f>'Base de données indicateurs1'!AQ38</f>
        <v>1539192</v>
      </c>
      <c r="AR17" s="4">
        <f>'Base de données indicateurs1'!AR38</f>
        <v>2468752.63</v>
      </c>
      <c r="AS17" s="4">
        <f>'Base de données indicateurs1'!AS38</f>
        <v>1710364.38</v>
      </c>
      <c r="AT17" s="4">
        <f>'Base de données indicateurs1'!AT38</f>
        <v>2113393.6</v>
      </c>
      <c r="AU17" s="4">
        <f>'Base de données indicateurs1'!AU38</f>
        <v>104808.02</v>
      </c>
      <c r="AV17" s="4">
        <f>'Base de données indicateurs1'!AV38</f>
        <v>5179504.8499999996</v>
      </c>
      <c r="AW17" s="4">
        <f>'Base de données indicateurs1'!AW38</f>
        <v>2050363.3</v>
      </c>
      <c r="AX17" s="4">
        <f>'Base de données indicateurs1'!AX38</f>
        <v>313398.7</v>
      </c>
      <c r="AY17" s="4">
        <f>'Base de données indicateurs1'!AY38</f>
        <v>714266.27</v>
      </c>
      <c r="AZ17" s="4">
        <f>'Base de données indicateurs1'!AZ38</f>
        <v>4221312.49</v>
      </c>
      <c r="BA17" s="4">
        <f>'Base de données indicateurs1'!BA38</f>
        <v>761215.9</v>
      </c>
      <c r="BB17" s="4">
        <f>'Base de données indicateurs1'!BB38</f>
        <v>2495255.44</v>
      </c>
      <c r="BC17" s="4">
        <f>'Base de données indicateurs1'!BC38</f>
        <v>327291.61</v>
      </c>
      <c r="BD17" s="4">
        <f>'Base de données indicateurs1'!BD38</f>
        <v>16446907.85</v>
      </c>
      <c r="BE17" s="4">
        <f>'Base de données indicateurs1'!BE38</f>
        <v>1229515.01</v>
      </c>
      <c r="BF17" s="4">
        <f t="shared" si="0"/>
        <v>84946182.920000017</v>
      </c>
      <c r="BG17" s="4">
        <f t="shared" si="1"/>
        <v>25798458.66</v>
      </c>
      <c r="BH17" s="4">
        <f t="shared" si="2"/>
        <v>55728874.219999991</v>
      </c>
    </row>
    <row r="18" spans="1:60" x14ac:dyDescent="0.25">
      <c r="A18" s="96" t="s">
        <v>280</v>
      </c>
      <c r="B18" s="97" t="s">
        <v>225</v>
      </c>
      <c r="C18" s="96">
        <v>401</v>
      </c>
      <c r="D18" s="98">
        <f>'Base de données indicateurs1'!BF39</f>
        <v>26296993.079999998</v>
      </c>
      <c r="E18" s="4">
        <f>'Base de données indicateurs1'!E39</f>
        <v>99854.85</v>
      </c>
      <c r="F18" s="4">
        <f>'Base de données indicateurs1'!F39</f>
        <v>3715.57</v>
      </c>
      <c r="G18" s="4">
        <f>'Base de données indicateurs1'!G39</f>
        <v>31467.08</v>
      </c>
      <c r="H18" s="4">
        <f>'Base de données indicateurs1'!H39</f>
        <v>40843.800000000003</v>
      </c>
      <c r="I18" s="4">
        <f>'Base de données indicateurs1'!I39</f>
        <v>307672</v>
      </c>
      <c r="J18" s="4">
        <f>'Base de données indicateurs1'!J39</f>
        <v>443475.74</v>
      </c>
      <c r="K18" s="4">
        <f>'Base de données indicateurs1'!K39</f>
        <v>609166.68999999994</v>
      </c>
      <c r="L18" s="4">
        <f>'Base de données indicateurs1'!L39</f>
        <v>7757076.1799999997</v>
      </c>
      <c r="M18" s="4">
        <f>'Base de données indicateurs1'!M39</f>
        <v>296224.62</v>
      </c>
      <c r="N18" s="4">
        <f>'Base de données indicateurs1'!N39</f>
        <v>5310.2</v>
      </c>
      <c r="O18" s="4">
        <f>'Base de données indicateurs1'!O39</f>
        <v>1231334.8999999999</v>
      </c>
      <c r="P18" s="4">
        <f>'Base de données indicateurs1'!P39</f>
        <v>24811.05</v>
      </c>
      <c r="Q18" s="4">
        <f>'Base de données indicateurs1'!Q39</f>
        <v>307.39999999999998</v>
      </c>
      <c r="R18" s="4">
        <f>'Base de données indicateurs1'!R39</f>
        <v>10607</v>
      </c>
      <c r="S18" s="4">
        <f>'Base de données indicateurs1'!S39</f>
        <v>8931.7900000000009</v>
      </c>
      <c r="T18" s="4">
        <f>'Base de données indicateurs1'!T39</f>
        <v>41352.97</v>
      </c>
      <c r="U18" s="4">
        <f>'Base de données indicateurs1'!U39</f>
        <v>8919.2000000000007</v>
      </c>
      <c r="V18" s="4">
        <f>'Base de données indicateurs1'!V39</f>
        <v>132540.15</v>
      </c>
      <c r="W18" s="4">
        <f>'Base de données indicateurs1'!W39</f>
        <v>406055.6</v>
      </c>
      <c r="X18" s="4">
        <f>'Base de données indicateurs1'!X39</f>
        <v>1889.38</v>
      </c>
      <c r="Y18" s="4">
        <f>'Base de données indicateurs1'!Y39</f>
        <v>16408.3</v>
      </c>
      <c r="Z18" s="4">
        <f>'Base de données indicateurs1'!Z39</f>
        <v>3132885.03</v>
      </c>
      <c r="AA18" s="4">
        <f>'Base de données indicateurs1'!AA39</f>
        <v>0</v>
      </c>
      <c r="AB18" s="4">
        <f>'Base de données indicateurs1'!AB39</f>
        <v>7463.25</v>
      </c>
      <c r="AC18" s="4">
        <f>'Base de données indicateurs1'!AC39</f>
        <v>81437.100000000006</v>
      </c>
      <c r="AD18" s="4">
        <f>'Base de données indicateurs1'!AD39</f>
        <v>58675.06</v>
      </c>
      <c r="AE18" s="4">
        <f>'Base de données indicateurs1'!AE39</f>
        <v>24369.73</v>
      </c>
      <c r="AF18" s="4">
        <f>'Base de données indicateurs1'!AF39</f>
        <v>31256.28</v>
      </c>
      <c r="AG18" s="4">
        <f>'Base de données indicateurs1'!AG39</f>
        <v>1530576.78</v>
      </c>
      <c r="AH18" s="4">
        <f>'Base de données indicateurs1'!AH39</f>
        <v>669347.07999999996</v>
      </c>
      <c r="AI18" s="4">
        <f>'Base de données indicateurs1'!AI39</f>
        <v>21715.599999999999</v>
      </c>
      <c r="AJ18" s="4">
        <f>'Base de données indicateurs1'!AJ39</f>
        <v>3667</v>
      </c>
      <c r="AK18" s="4">
        <f>'Base de données indicateurs1'!AK39</f>
        <v>373929.65</v>
      </c>
      <c r="AL18" s="4">
        <f>'Base de données indicateurs1'!AL39</f>
        <v>48279</v>
      </c>
      <c r="AM18" s="4">
        <f>'Base de données indicateurs1'!AM39</f>
        <v>65945.75</v>
      </c>
      <c r="AN18" s="4">
        <f>'Base de données indicateurs1'!AN39</f>
        <v>10368.65</v>
      </c>
      <c r="AO18" s="4">
        <f>'Base de données indicateurs1'!AO39</f>
        <v>3851675.5</v>
      </c>
      <c r="AP18" s="4">
        <f>'Base de données indicateurs1'!AP39</f>
        <v>293639.55</v>
      </c>
      <c r="AQ18" s="4">
        <f>'Base de données indicateurs1'!AQ39</f>
        <v>10345</v>
      </c>
      <c r="AR18" s="4">
        <f>'Base de données indicateurs1'!AR39</f>
        <v>93326.42</v>
      </c>
      <c r="AS18" s="4">
        <f>'Base de données indicateurs1'!AS39</f>
        <v>14983.78</v>
      </c>
      <c r="AT18" s="4">
        <f>'Base de données indicateurs1'!AT39</f>
        <v>61337.4</v>
      </c>
      <c r="AU18" s="4">
        <f>'Base de données indicateurs1'!AU39</f>
        <v>130686.46</v>
      </c>
      <c r="AV18" s="4">
        <f>'Base de données indicateurs1'!AV39</f>
        <v>715760.85</v>
      </c>
      <c r="AW18" s="4">
        <f>'Base de données indicateurs1'!AW39</f>
        <v>135833.45000000001</v>
      </c>
      <c r="AX18" s="4">
        <f>'Base de données indicateurs1'!AX39</f>
        <v>6096.07</v>
      </c>
      <c r="AY18" s="4">
        <f>'Base de données indicateurs1'!AY39</f>
        <v>37440.879999999997</v>
      </c>
      <c r="AZ18" s="4">
        <f>'Base de données indicateurs1'!AZ39</f>
        <v>310800.92</v>
      </c>
      <c r="BA18" s="4">
        <f>'Base de données indicateurs1'!BA39</f>
        <v>14945.6</v>
      </c>
      <c r="BB18" s="4">
        <f>'Base de données indicateurs1'!BB39</f>
        <v>516787.33</v>
      </c>
      <c r="BC18" s="4">
        <f>'Base de données indicateurs1'!BC39</f>
        <v>1415.15</v>
      </c>
      <c r="BD18" s="4">
        <f>'Base de données indicateurs1'!BD39</f>
        <v>2530547.2000000002</v>
      </c>
      <c r="BE18" s="4">
        <f>'Base de données indicateurs1'!BE39</f>
        <v>33491.089999999997</v>
      </c>
      <c r="BF18" s="4">
        <f t="shared" si="0"/>
        <v>11459666.789999999</v>
      </c>
      <c r="BG18" s="4">
        <f t="shared" si="1"/>
        <v>5579690.5899999999</v>
      </c>
      <c r="BH18" s="4">
        <f t="shared" si="2"/>
        <v>9257635.6999999993</v>
      </c>
    </row>
    <row r="19" spans="1:60" x14ac:dyDescent="0.25">
      <c r="A19" s="96" t="s">
        <v>499</v>
      </c>
      <c r="B19" s="97" t="s">
        <v>500</v>
      </c>
      <c r="C19" s="101" t="s">
        <v>501</v>
      </c>
      <c r="D19" s="98">
        <f>'Base de données indicateurs1'!BF48+'Base de données indicateurs1'!BF26</f>
        <v>14311012.9</v>
      </c>
      <c r="E19" s="4">
        <f>'Base de données indicateurs1'!E48-'Base de données indicateurs1'!E26</f>
        <v>0</v>
      </c>
      <c r="F19" s="4">
        <f>'Base de données indicateurs1'!F48-'Base de données indicateurs1'!F26</f>
        <v>114138</v>
      </c>
      <c r="G19" s="4">
        <f>'Base de données indicateurs1'!G48-'Base de données indicateurs1'!G26</f>
        <v>58930</v>
      </c>
      <c r="H19" s="4">
        <f>'Base de données indicateurs1'!H48-'Base de données indicateurs1'!H26</f>
        <v>147310</v>
      </c>
      <c r="I19" s="4">
        <f>'Base de données indicateurs1'!I48-'Base de données indicateurs1'!I26</f>
        <v>1307908</v>
      </c>
      <c r="J19" s="4">
        <f>'Base de données indicateurs1'!J48-'Base de données indicateurs1'!J26</f>
        <v>154551</v>
      </c>
      <c r="K19" s="4">
        <f>'Base de données indicateurs1'!K48-'Base de données indicateurs1'!K26</f>
        <v>-128164</v>
      </c>
      <c r="L19" s="4">
        <f>'Base de données indicateurs1'!L48-'Base de données indicateurs1'!L26</f>
        <v>-910184</v>
      </c>
      <c r="M19" s="4">
        <f>'Base de données indicateurs1'!M48-'Base de données indicateurs1'!M26</f>
        <v>-41860.949999999997</v>
      </c>
      <c r="N19" s="4">
        <f>'Base de données indicateurs1'!N48-'Base de données indicateurs1'!N26</f>
        <v>114480</v>
      </c>
      <c r="O19" s="4">
        <f>'Base de données indicateurs1'!O48-'Base de données indicateurs1'!O26</f>
        <v>1553045</v>
      </c>
      <c r="P19" s="4">
        <f>'Base de données indicateurs1'!P48-'Base de données indicateurs1'!P26</f>
        <v>306786</v>
      </c>
      <c r="Q19" s="4">
        <f>'Base de données indicateurs1'!Q48-'Base de données indicateurs1'!Q26</f>
        <v>12521</v>
      </c>
      <c r="R19" s="4">
        <f>'Base de données indicateurs1'!R48-'Base de données indicateurs1'!R26</f>
        <v>194770</v>
      </c>
      <c r="S19" s="4">
        <f>'Base de données indicateurs1'!S48-'Base de données indicateurs1'!S26</f>
        <v>174234</v>
      </c>
      <c r="T19" s="4">
        <f>'Base de données indicateurs1'!T48-'Base de données indicateurs1'!T26</f>
        <v>-29695.95</v>
      </c>
      <c r="U19" s="4">
        <f>'Base de données indicateurs1'!U48-'Base de données indicateurs1'!U26</f>
        <v>158233</v>
      </c>
      <c r="V19" s="4">
        <f>'Base de données indicateurs1'!V48-'Base de données indicateurs1'!V26</f>
        <v>-52463</v>
      </c>
      <c r="W19" s="4">
        <f>'Base de données indicateurs1'!W48-'Base de données indicateurs1'!W26</f>
        <v>1230830</v>
      </c>
      <c r="X19" s="4">
        <f>'Base de données indicateurs1'!X48-'Base de données indicateurs1'!X26</f>
        <v>33864</v>
      </c>
      <c r="Y19" s="4">
        <f>'Base de données indicateurs1'!Y48-'Base de données indicateurs1'!Y26</f>
        <v>14138</v>
      </c>
      <c r="Z19" s="4">
        <f>'Base de données indicateurs1'!Z48-'Base de données indicateurs1'!Z26</f>
        <v>-1816158</v>
      </c>
      <c r="AA19" s="4">
        <f>'Base de données indicateurs1'!AA48-'Base de données indicateurs1'!AA26</f>
        <v>91814</v>
      </c>
      <c r="AB19" s="4">
        <f>'Base de données indicateurs1'!AB48-'Base de données indicateurs1'!AB26</f>
        <v>61684</v>
      </c>
      <c r="AC19" s="4">
        <f>'Base de données indicateurs1'!AC48-'Base de données indicateurs1'!AC26</f>
        <v>-12380</v>
      </c>
      <c r="AD19" s="4">
        <f>'Base de données indicateurs1'!AD48-'Base de données indicateurs1'!AD26</f>
        <v>316658</v>
      </c>
      <c r="AE19" s="4">
        <f>'Base de données indicateurs1'!AE48-'Base de données indicateurs1'!AE26</f>
        <v>121430</v>
      </c>
      <c r="AF19" s="4">
        <f>'Base de données indicateurs1'!AF48-'Base de données indicateurs1'!AF26</f>
        <v>-1331</v>
      </c>
      <c r="AG19" s="4">
        <f>'Base de données indicateurs1'!AG48-'Base de données indicateurs1'!AG26</f>
        <v>-289157</v>
      </c>
      <c r="AH19" s="4">
        <f>'Base de données indicateurs1'!AH48-'Base de données indicateurs1'!AH26</f>
        <v>277950</v>
      </c>
      <c r="AI19" s="4">
        <f>'Base de données indicateurs1'!AI48-'Base de données indicateurs1'!AI26</f>
        <v>216020</v>
      </c>
      <c r="AJ19" s="4">
        <f>'Base de données indicateurs1'!AJ48-'Base de données indicateurs1'!AJ26</f>
        <v>55604</v>
      </c>
      <c r="AK19" s="4">
        <f>'Base de données indicateurs1'!AK48-'Base de données indicateurs1'!AK26</f>
        <v>327904</v>
      </c>
      <c r="AL19" s="4">
        <f>'Base de données indicateurs1'!AL48-'Base de données indicateurs1'!AL26</f>
        <v>-105139</v>
      </c>
      <c r="AM19" s="4">
        <f>'Base de données indicateurs1'!AM48-'Base de données indicateurs1'!AM26</f>
        <v>817282</v>
      </c>
      <c r="AN19" s="4">
        <f>'Base de données indicateurs1'!AN48-'Base de données indicateurs1'!AN26</f>
        <v>49530</v>
      </c>
      <c r="AO19" s="4">
        <f>'Base de données indicateurs1'!AO48-'Base de données indicateurs1'!AO26</f>
        <v>0</v>
      </c>
      <c r="AP19" s="4">
        <f>'Base de données indicateurs1'!AP48-'Base de données indicateurs1'!AP26</f>
        <v>-2382</v>
      </c>
      <c r="AQ19" s="4">
        <f>'Base de données indicateurs1'!AQ48-'Base de données indicateurs1'!AQ26</f>
        <v>-17577</v>
      </c>
      <c r="AR19" s="4">
        <f>'Base de données indicateurs1'!AR48-'Base de données indicateurs1'!AR26</f>
        <v>658646</v>
      </c>
      <c r="AS19" s="4">
        <f>'Base de données indicateurs1'!AS48-'Base de données indicateurs1'!AS26</f>
        <v>478318</v>
      </c>
      <c r="AT19" s="4">
        <f>'Base de données indicateurs1'!AT48-'Base de données indicateurs1'!AT26</f>
        <v>330168</v>
      </c>
      <c r="AU19" s="4">
        <f>'Base de données indicateurs1'!AU48-'Base de données indicateurs1'!AU26</f>
        <v>-89804</v>
      </c>
      <c r="AV19" s="4">
        <f>'Base de données indicateurs1'!AV48-'Base de données indicateurs1'!AV26</f>
        <v>0</v>
      </c>
      <c r="AW19" s="4">
        <f>'Base de données indicateurs1'!AW48-'Base de données indicateurs1'!AW26</f>
        <v>5246</v>
      </c>
      <c r="AX19" s="4">
        <f>'Base de données indicateurs1'!AX48-'Base de données indicateurs1'!AX26</f>
        <v>61386</v>
      </c>
      <c r="AY19" s="4">
        <f>'Base de données indicateurs1'!AY48-'Base de données indicateurs1'!AY26</f>
        <v>117858</v>
      </c>
      <c r="AZ19" s="4">
        <f>'Base de données indicateurs1'!AZ48-'Base de données indicateurs1'!AZ26</f>
        <v>493047</v>
      </c>
      <c r="BA19" s="4">
        <f>'Base de données indicateurs1'!BA48-'Base de données indicateurs1'!BA26</f>
        <v>19035</v>
      </c>
      <c r="BB19" s="4">
        <f>'Base de données indicateurs1'!BB48-'Base de données indicateurs1'!BB26</f>
        <v>-39223</v>
      </c>
      <c r="BC19" s="4">
        <f>'Base de données indicateurs1'!BC48-'Base de données indicateurs1'!BC26</f>
        <v>155228</v>
      </c>
      <c r="BD19" s="4">
        <f>'Base de données indicateurs1'!BD48-'Base de données indicateurs1'!BD26</f>
        <v>-467838</v>
      </c>
      <c r="BE19" s="4">
        <f>'Base de données indicateurs1'!BE48-'Base de données indicateurs1'!BE26</f>
        <v>0</v>
      </c>
      <c r="BF19" s="4">
        <f t="shared" si="0"/>
        <v>4365368.0999999996</v>
      </c>
      <c r="BG19" s="4">
        <f t="shared" si="1"/>
        <v>-929864</v>
      </c>
      <c r="BH19" s="4">
        <f t="shared" si="2"/>
        <v>2791685</v>
      </c>
    </row>
    <row r="20" spans="1:60" x14ac:dyDescent="0.25">
      <c r="A20" s="96" t="s">
        <v>502</v>
      </c>
      <c r="B20" s="97" t="s">
        <v>225</v>
      </c>
      <c r="C20" s="96">
        <v>46228</v>
      </c>
      <c r="D20" s="98">
        <f>'Base de données indicateurs1'!BF49</f>
        <v>1454799.2</v>
      </c>
      <c r="E20" s="4">
        <f>'Base de données indicateurs1'!E49</f>
        <v>0</v>
      </c>
      <c r="F20" s="4">
        <f>'Base de données indicateurs1'!F49</f>
        <v>0</v>
      </c>
      <c r="G20" s="4">
        <f>'Base de données indicateurs1'!G49</f>
        <v>0</v>
      </c>
      <c r="H20" s="4">
        <f>'Base de données indicateurs1'!H49</f>
        <v>0</v>
      </c>
      <c r="I20" s="4">
        <f>'Base de données indicateurs1'!I49</f>
        <v>0</v>
      </c>
      <c r="J20" s="4">
        <f>'Base de données indicateurs1'!J49</f>
        <v>0</v>
      </c>
      <c r="K20" s="4">
        <f>'Base de données indicateurs1'!K49</f>
        <v>0</v>
      </c>
      <c r="L20" s="4">
        <f>'Base de données indicateurs1'!L49</f>
        <v>929584.2</v>
      </c>
      <c r="M20" s="4">
        <f>'Base de données indicateurs1'!M49</f>
        <v>0</v>
      </c>
      <c r="N20" s="4">
        <f>'Base de données indicateurs1'!N49</f>
        <v>0</v>
      </c>
      <c r="O20" s="4">
        <f>'Base de données indicateurs1'!O49</f>
        <v>0</v>
      </c>
      <c r="P20" s="4">
        <f>'Base de données indicateurs1'!P49</f>
        <v>0</v>
      </c>
      <c r="Q20" s="4">
        <f>'Base de données indicateurs1'!Q49</f>
        <v>0</v>
      </c>
      <c r="R20" s="4">
        <f>'Base de données indicateurs1'!R49</f>
        <v>0</v>
      </c>
      <c r="S20" s="4">
        <f>'Base de données indicateurs1'!S49</f>
        <v>0</v>
      </c>
      <c r="T20" s="4">
        <f>'Base de données indicateurs1'!T49</f>
        <v>0</v>
      </c>
      <c r="U20" s="4">
        <f>'Base de données indicateurs1'!U49</f>
        <v>0</v>
      </c>
      <c r="V20" s="4">
        <f>'Base de données indicateurs1'!V49</f>
        <v>0</v>
      </c>
      <c r="W20" s="4">
        <f>'Base de données indicateurs1'!W49</f>
        <v>0</v>
      </c>
      <c r="X20" s="4">
        <f>'Base de données indicateurs1'!X49</f>
        <v>0</v>
      </c>
      <c r="Y20" s="4">
        <f>'Base de données indicateurs1'!Y49</f>
        <v>0</v>
      </c>
      <c r="Z20" s="4">
        <f>'Base de données indicateurs1'!Z49</f>
        <v>0</v>
      </c>
      <c r="AA20" s="4">
        <f>'Base de données indicateurs1'!AA49</f>
        <v>0</v>
      </c>
      <c r="AB20" s="4">
        <f>'Base de données indicateurs1'!AB49</f>
        <v>0</v>
      </c>
      <c r="AC20" s="4">
        <f>'Base de données indicateurs1'!AC49</f>
        <v>0</v>
      </c>
      <c r="AD20" s="4">
        <f>'Base de données indicateurs1'!AD49</f>
        <v>0</v>
      </c>
      <c r="AE20" s="4">
        <f>'Base de données indicateurs1'!AE49</f>
        <v>0</v>
      </c>
      <c r="AF20" s="4">
        <f>'Base de données indicateurs1'!AF49</f>
        <v>0</v>
      </c>
      <c r="AG20" s="4">
        <f>'Base de données indicateurs1'!AG49</f>
        <v>0</v>
      </c>
      <c r="AH20" s="4">
        <f>'Base de données indicateurs1'!AH49</f>
        <v>0</v>
      </c>
      <c r="AI20" s="4">
        <f>'Base de données indicateurs1'!AI49</f>
        <v>0</v>
      </c>
      <c r="AJ20" s="4">
        <f>'Base de données indicateurs1'!AJ49</f>
        <v>0</v>
      </c>
      <c r="AK20" s="4">
        <f>'Base de données indicateurs1'!AK49</f>
        <v>0</v>
      </c>
      <c r="AL20" s="4">
        <f>'Base de données indicateurs1'!AL49</f>
        <v>83752</v>
      </c>
      <c r="AM20" s="4">
        <f>'Base de données indicateurs1'!AM49</f>
        <v>0</v>
      </c>
      <c r="AN20" s="4">
        <f>'Base de données indicateurs1'!AN49</f>
        <v>0</v>
      </c>
      <c r="AO20" s="4">
        <f>'Base de données indicateurs1'!AO49</f>
        <v>0</v>
      </c>
      <c r="AP20" s="4">
        <f>'Base de données indicateurs1'!AP49</f>
        <v>0</v>
      </c>
      <c r="AQ20" s="4">
        <f>'Base de données indicateurs1'!AQ49</f>
        <v>0</v>
      </c>
      <c r="AR20" s="4">
        <f>'Base de données indicateurs1'!AR49</f>
        <v>0</v>
      </c>
      <c r="AS20" s="4">
        <f>'Base de données indicateurs1'!AS49</f>
        <v>0</v>
      </c>
      <c r="AT20" s="4">
        <f>'Base de données indicateurs1'!AT49</f>
        <v>0</v>
      </c>
      <c r="AU20" s="4">
        <f>'Base de données indicateurs1'!AU49</f>
        <v>0</v>
      </c>
      <c r="AV20" s="4">
        <f>'Base de données indicateurs1'!AV49</f>
        <v>0</v>
      </c>
      <c r="AW20" s="4">
        <f>'Base de données indicateurs1'!AW49</f>
        <v>0</v>
      </c>
      <c r="AX20" s="4">
        <f>'Base de données indicateurs1'!AX49</f>
        <v>0</v>
      </c>
      <c r="AY20" s="4">
        <f>'Base de données indicateurs1'!AY49</f>
        <v>0</v>
      </c>
      <c r="AZ20" s="4">
        <f>'Base de données indicateurs1'!AZ49</f>
        <v>0</v>
      </c>
      <c r="BA20" s="4">
        <f>'Base de données indicateurs1'!BA49</f>
        <v>0</v>
      </c>
      <c r="BB20" s="4">
        <f>'Base de données indicateurs1'!BB49</f>
        <v>0</v>
      </c>
      <c r="BC20" s="4">
        <f>'Base de données indicateurs1'!BC49</f>
        <v>0</v>
      </c>
      <c r="BD20" s="4">
        <f>'Base de données indicateurs1'!BD49</f>
        <v>441463</v>
      </c>
      <c r="BE20" s="4">
        <f>'Base de données indicateurs1'!BE49</f>
        <v>0</v>
      </c>
      <c r="BF20" s="4">
        <f t="shared" si="0"/>
        <v>929584.2</v>
      </c>
      <c r="BG20" s="4">
        <f t="shared" si="1"/>
        <v>0</v>
      </c>
      <c r="BH20" s="4">
        <f t="shared" si="2"/>
        <v>525215</v>
      </c>
    </row>
    <row r="21" spans="1:60" ht="15.75" thickBot="1" x14ac:dyDescent="0.3">
      <c r="B21" s="99"/>
      <c r="D21" s="4"/>
      <c r="BF21" s="4"/>
      <c r="BG21" s="4"/>
      <c r="BH21" s="4"/>
    </row>
    <row r="22" spans="1:60" ht="15.75" thickBot="1" x14ac:dyDescent="0.3">
      <c r="A22" s="7" t="s">
        <v>503</v>
      </c>
      <c r="B22" s="52"/>
      <c r="C22" s="7"/>
      <c r="D22" s="100">
        <f>D17+D18+D19+D20</f>
        <v>208536320.98000005</v>
      </c>
      <c r="E22" s="4">
        <f>E17+E18+E19+E20</f>
        <v>2189303.0499999998</v>
      </c>
      <c r="F22" s="4">
        <f t="shared" ref="F22:BE22" si="4">F17+F18+F19+F20</f>
        <v>610136.36</v>
      </c>
      <c r="G22" s="4">
        <f t="shared" si="4"/>
        <v>1040314.23</v>
      </c>
      <c r="H22" s="4">
        <f t="shared" si="4"/>
        <v>1029374.9800000001</v>
      </c>
      <c r="I22" s="4">
        <f t="shared" si="4"/>
        <v>9291327</v>
      </c>
      <c r="J22" s="4">
        <f t="shared" si="4"/>
        <v>8165639.3100000005</v>
      </c>
      <c r="K22" s="4">
        <f t="shared" si="4"/>
        <v>6395226.0199999996</v>
      </c>
      <c r="L22" s="4">
        <f t="shared" si="4"/>
        <v>36068022.380000003</v>
      </c>
      <c r="M22" s="4">
        <f t="shared" si="4"/>
        <v>3247663.14</v>
      </c>
      <c r="N22" s="4">
        <f t="shared" si="4"/>
        <v>298310.25</v>
      </c>
      <c r="O22" s="4">
        <f t="shared" si="4"/>
        <v>17762847.550000001</v>
      </c>
      <c r="P22" s="4">
        <f t="shared" si="4"/>
        <v>1254894.6000000001</v>
      </c>
      <c r="Q22" s="4">
        <f t="shared" si="4"/>
        <v>246461.07</v>
      </c>
      <c r="R22" s="4">
        <f t="shared" si="4"/>
        <v>1100218.17</v>
      </c>
      <c r="S22" s="4">
        <f t="shared" si="4"/>
        <v>905850.08000000007</v>
      </c>
      <c r="T22" s="4">
        <f t="shared" si="4"/>
        <v>1865532.07</v>
      </c>
      <c r="U22" s="4">
        <f t="shared" si="4"/>
        <v>581570.65</v>
      </c>
      <c r="V22" s="4">
        <f t="shared" si="4"/>
        <v>1056354.0999999999</v>
      </c>
      <c r="W22" s="4">
        <f t="shared" si="4"/>
        <v>8591757</v>
      </c>
      <c r="X22" s="4">
        <f t="shared" si="4"/>
        <v>740985.22</v>
      </c>
      <c r="Y22" s="4">
        <f t="shared" si="4"/>
        <v>5198106.78</v>
      </c>
      <c r="Z22" s="4">
        <f t="shared" si="4"/>
        <v>4168240.76</v>
      </c>
      <c r="AA22" s="4">
        <f t="shared" si="4"/>
        <v>293067.2</v>
      </c>
      <c r="AB22" s="4">
        <f t="shared" si="4"/>
        <v>341401.15</v>
      </c>
      <c r="AC22" s="4">
        <f t="shared" si="4"/>
        <v>1244121.76</v>
      </c>
      <c r="AD22" s="4">
        <f t="shared" si="4"/>
        <v>1790769.06</v>
      </c>
      <c r="AE22" s="4">
        <f t="shared" si="4"/>
        <v>1325986.49</v>
      </c>
      <c r="AF22" s="4">
        <f t="shared" si="4"/>
        <v>1242880.27</v>
      </c>
      <c r="AG22" s="4">
        <f t="shared" si="4"/>
        <v>5983844.1299999999</v>
      </c>
      <c r="AH22" s="4">
        <f t="shared" si="4"/>
        <v>7226944.0300000003</v>
      </c>
      <c r="AI22" s="4">
        <f t="shared" si="4"/>
        <v>589642.55000000005</v>
      </c>
      <c r="AJ22" s="4">
        <f t="shared" si="4"/>
        <v>302295.84999999998</v>
      </c>
      <c r="AK22" s="4">
        <f t="shared" si="4"/>
        <v>5452789.1000000006</v>
      </c>
      <c r="AL22" s="4">
        <f t="shared" si="4"/>
        <v>2145311</v>
      </c>
      <c r="AM22" s="4">
        <f t="shared" si="4"/>
        <v>3295917.04</v>
      </c>
      <c r="AN22" s="4">
        <f t="shared" si="4"/>
        <v>341618.96</v>
      </c>
      <c r="AO22" s="4">
        <f t="shared" si="4"/>
        <v>6983350.1500000004</v>
      </c>
      <c r="AP22" s="4">
        <f t="shared" si="4"/>
        <v>1649131.02</v>
      </c>
      <c r="AQ22" s="4">
        <f t="shared" si="4"/>
        <v>1531960</v>
      </c>
      <c r="AR22" s="4">
        <f t="shared" si="4"/>
        <v>3220725.05</v>
      </c>
      <c r="AS22" s="4">
        <f t="shared" si="4"/>
        <v>2203666.16</v>
      </c>
      <c r="AT22" s="4">
        <f t="shared" si="4"/>
        <v>2504899</v>
      </c>
      <c r="AU22" s="4">
        <f t="shared" si="4"/>
        <v>145690.48000000001</v>
      </c>
      <c r="AV22" s="4">
        <f t="shared" si="4"/>
        <v>5895265.6999999993</v>
      </c>
      <c r="AW22" s="4">
        <f t="shared" si="4"/>
        <v>2191442.75</v>
      </c>
      <c r="AX22" s="4">
        <f t="shared" si="4"/>
        <v>380880.77</v>
      </c>
      <c r="AY22" s="4">
        <f t="shared" si="4"/>
        <v>869565.15</v>
      </c>
      <c r="AZ22" s="4">
        <f t="shared" si="4"/>
        <v>5025160.41</v>
      </c>
      <c r="BA22" s="4">
        <f t="shared" si="4"/>
        <v>795196.5</v>
      </c>
      <c r="BB22" s="4">
        <f t="shared" si="4"/>
        <v>2972819.77</v>
      </c>
      <c r="BC22" s="4">
        <f t="shared" si="4"/>
        <v>483934.76</v>
      </c>
      <c r="BD22" s="4">
        <f t="shared" si="4"/>
        <v>18951080.050000001</v>
      </c>
      <c r="BE22" s="4">
        <f t="shared" si="4"/>
        <v>1263006.1000000001</v>
      </c>
      <c r="BF22" s="4">
        <f t="shared" si="0"/>
        <v>101700802.00999998</v>
      </c>
      <c r="BG22" s="4">
        <f t="shared" si="1"/>
        <v>30448285.250000004</v>
      </c>
      <c r="BH22" s="4">
        <f t="shared" si="2"/>
        <v>68303409.919999987</v>
      </c>
    </row>
    <row r="23" spans="1:60" ht="15.75" thickBot="1" x14ac:dyDescent="0.3">
      <c r="B23" s="99"/>
      <c r="D23" s="4"/>
      <c r="BF23" s="4"/>
      <c r="BG23" s="4"/>
      <c r="BH23" s="4"/>
    </row>
    <row r="24" spans="1:60" ht="15.75" thickBot="1" x14ac:dyDescent="0.3">
      <c r="A24" s="7" t="s">
        <v>504</v>
      </c>
      <c r="B24" s="99"/>
      <c r="D24" s="100">
        <f>IF(D22&lt;&gt;0,D15/D22,"")*100</f>
        <v>137.21785078266703</v>
      </c>
      <c r="E24" s="117">
        <f>IF(E22&lt;&gt;0,E15/E22,"")*100</f>
        <v>200.14400062156773</v>
      </c>
      <c r="F24" s="31">
        <f t="shared" ref="F24:BH24" si="5">IF(F22&lt;&gt;0,F15/F22,"")*100</f>
        <v>218.66817116095169</v>
      </c>
      <c r="G24" s="31">
        <f t="shared" si="5"/>
        <v>239.76364333687908</v>
      </c>
      <c r="H24" s="31">
        <f t="shared" si="5"/>
        <v>14.928072178323184</v>
      </c>
      <c r="I24" s="31">
        <f t="shared" si="5"/>
        <v>103.28475146768594</v>
      </c>
      <c r="J24" s="31">
        <f t="shared" si="5"/>
        <v>197.61626625166227</v>
      </c>
      <c r="K24" s="31">
        <f t="shared" si="5"/>
        <v>9.5922096901901241</v>
      </c>
      <c r="L24" s="31">
        <f t="shared" si="5"/>
        <v>264.58310382139672</v>
      </c>
      <c r="M24" s="31">
        <f t="shared" si="5"/>
        <v>100.8978255669706</v>
      </c>
      <c r="N24" s="31">
        <f t="shared" si="5"/>
        <v>220.24779235711813</v>
      </c>
      <c r="O24" s="31">
        <f t="shared" si="5"/>
        <v>152.73987401867893</v>
      </c>
      <c r="P24" s="31">
        <f t="shared" si="5"/>
        <v>92.40606183180644</v>
      </c>
      <c r="Q24" s="31">
        <f t="shared" si="5"/>
        <v>16.719602004486976</v>
      </c>
      <c r="R24" s="31">
        <f t="shared" si="5"/>
        <v>159.41766804305732</v>
      </c>
      <c r="S24" s="31">
        <f t="shared" si="5"/>
        <v>193.09502738024815</v>
      </c>
      <c r="T24" s="31">
        <f t="shared" si="5"/>
        <v>-11.170312928471954</v>
      </c>
      <c r="U24" s="31">
        <f t="shared" si="5"/>
        <v>50.814758275714233</v>
      </c>
      <c r="V24" s="31">
        <f t="shared" si="5"/>
        <v>184.84668256600702</v>
      </c>
      <c r="W24" s="31">
        <f t="shared" si="5"/>
        <v>126.01518839510939</v>
      </c>
      <c r="X24" s="31">
        <f t="shared" si="5"/>
        <v>-169.87707258182559</v>
      </c>
      <c r="Y24" s="31">
        <f t="shared" si="5"/>
        <v>123.89593428090369</v>
      </c>
      <c r="Z24" s="31">
        <f t="shared" si="5"/>
        <v>-249.03301842861882</v>
      </c>
      <c r="AA24" s="31">
        <f t="shared" si="5"/>
        <v>25.256630561181879</v>
      </c>
      <c r="AB24" s="31">
        <f t="shared" si="5"/>
        <v>-94.763409555005921</v>
      </c>
      <c r="AC24" s="31">
        <f t="shared" si="5"/>
        <v>108.46635380768521</v>
      </c>
      <c r="AD24" s="31">
        <f t="shared" si="5"/>
        <v>257.76245486394544</v>
      </c>
      <c r="AE24" s="31">
        <f t="shared" si="5"/>
        <v>107.58363533553049</v>
      </c>
      <c r="AF24" s="31">
        <f t="shared" si="5"/>
        <v>-226.41033315300757</v>
      </c>
      <c r="AG24" s="31">
        <f t="shared" si="5"/>
        <v>-23.955028888762179</v>
      </c>
      <c r="AH24" s="31">
        <f t="shared" si="5"/>
        <v>115.03076812952706</v>
      </c>
      <c r="AI24" s="31">
        <f t="shared" si="5"/>
        <v>-14.969769396730292</v>
      </c>
      <c r="AJ24" s="31">
        <f t="shared" si="5"/>
        <v>-332.66357775007504</v>
      </c>
      <c r="AK24" s="31">
        <f t="shared" si="5"/>
        <v>234.31155369643761</v>
      </c>
      <c r="AL24" s="31">
        <f t="shared" si="5"/>
        <v>200.23618114110263</v>
      </c>
      <c r="AM24" s="31">
        <f t="shared" si="5"/>
        <v>194.7590807686106</v>
      </c>
      <c r="AN24" s="31">
        <f t="shared" si="5"/>
        <v>-20.190079613848098</v>
      </c>
      <c r="AO24" s="31">
        <f t="shared" si="5"/>
        <v>-60.906306409395782</v>
      </c>
      <c r="AP24" s="31">
        <f t="shared" si="5"/>
        <v>84.583939849727656</v>
      </c>
      <c r="AQ24" s="31">
        <f t="shared" si="5"/>
        <v>82.270751194548168</v>
      </c>
      <c r="AR24" s="31">
        <f t="shared" si="5"/>
        <v>-9.621057531750516</v>
      </c>
      <c r="AS24" s="31">
        <f t="shared" si="5"/>
        <v>140.0785834093854</v>
      </c>
      <c r="AT24" s="31">
        <f t="shared" si="5"/>
        <v>203.47129485061072</v>
      </c>
      <c r="AU24" s="31">
        <f t="shared" si="5"/>
        <v>-748.15070277755967</v>
      </c>
      <c r="AV24" s="31">
        <f t="shared" si="5"/>
        <v>130.93117668979707</v>
      </c>
      <c r="AW24" s="31">
        <f t="shared" si="5"/>
        <v>128.00999432907844</v>
      </c>
      <c r="AX24" s="31">
        <f t="shared" si="5"/>
        <v>46.996071762824883</v>
      </c>
      <c r="AY24" s="31">
        <f t="shared" si="5"/>
        <v>-73.293598530253874</v>
      </c>
      <c r="AZ24" s="31">
        <f t="shared" si="5"/>
        <v>304.72608196799831</v>
      </c>
      <c r="BA24" s="31">
        <f t="shared" si="5"/>
        <v>-111.19446325530859</v>
      </c>
      <c r="BB24" s="31">
        <f t="shared" si="5"/>
        <v>196.020705621182</v>
      </c>
      <c r="BC24" s="31">
        <f t="shared" si="5"/>
        <v>-119.07811499219439</v>
      </c>
      <c r="BD24" s="31">
        <f t="shared" si="5"/>
        <v>222.27441918277373</v>
      </c>
      <c r="BE24" s="31">
        <f t="shared" si="5"/>
        <v>156.83587830652598</v>
      </c>
      <c r="BF24" s="31">
        <f t="shared" si="5"/>
        <v>175.78600018554567</v>
      </c>
      <c r="BG24" s="31">
        <f t="shared" si="5"/>
        <v>16.143697090462577</v>
      </c>
      <c r="BH24" s="31">
        <f t="shared" si="5"/>
        <v>150.00394112095307</v>
      </c>
    </row>
    <row r="25" spans="1:60" x14ac:dyDescent="0.25">
      <c r="A25" s="102" t="s">
        <v>505</v>
      </c>
      <c r="B25" s="99"/>
      <c r="D25" s="4"/>
      <c r="BF25" s="4"/>
      <c r="BG25" s="4"/>
      <c r="BH25" s="4"/>
    </row>
    <row r="26" spans="1:60" x14ac:dyDescent="0.25">
      <c r="A26" s="102"/>
      <c r="B26" s="99"/>
      <c r="D26" s="4"/>
      <c r="BF26" s="4"/>
      <c r="BG26" s="4"/>
      <c r="BH26" s="4"/>
    </row>
    <row r="27" spans="1:60" x14ac:dyDescent="0.25">
      <c r="B27" s="99"/>
      <c r="D27" s="4"/>
      <c r="BF27" s="4"/>
      <c r="BG27" s="4"/>
      <c r="BH27" s="4"/>
    </row>
    <row r="28" spans="1:60" x14ac:dyDescent="0.25">
      <c r="A28" s="7" t="s">
        <v>506</v>
      </c>
      <c r="B28" s="99"/>
      <c r="D28" s="4"/>
      <c r="BF28" s="4"/>
      <c r="BG28" s="4"/>
      <c r="BH28" s="4"/>
    </row>
    <row r="29" spans="1:60" x14ac:dyDescent="0.25">
      <c r="B29" s="99"/>
      <c r="D29" s="4"/>
      <c r="BF29" s="4"/>
      <c r="BG29" s="4"/>
      <c r="BH29" s="4"/>
    </row>
    <row r="30" spans="1:60" x14ac:dyDescent="0.25">
      <c r="A30" s="93" t="s">
        <v>507</v>
      </c>
      <c r="B30" s="94"/>
      <c r="C30" s="103">
        <v>90</v>
      </c>
      <c r="D30" s="95">
        <f>'Base de données indicateurs1'!BF33-'Base de données indicateurs1'!BF33+'Base de données indicateurs1'!BF54-'Base de données indicateurs1'!BF55</f>
        <v>2349011.3999999994</v>
      </c>
      <c r="E30" s="4">
        <f>'Base de données indicateurs1'!E33-'Base de données indicateurs1'!E33+'Base de données indicateurs1'!E54-'Base de données indicateurs1'!E55</f>
        <v>-157625.18</v>
      </c>
      <c r="F30" s="4">
        <f>'Base de données indicateurs1'!F33-'Base de données indicateurs1'!F33+'Base de données indicateurs1'!F54-'Base de données indicateurs1'!F55</f>
        <v>-48557.32</v>
      </c>
      <c r="G30" s="4">
        <f>'Base de données indicateurs1'!G33-'Base de données indicateurs1'!G33+'Base de données indicateurs1'!G54-'Base de données indicateurs1'!G55</f>
        <v>-94828.6</v>
      </c>
      <c r="H30" s="4">
        <f>'Base de données indicateurs1'!H33-'Base de données indicateurs1'!H33+'Base de données indicateurs1'!H54-'Base de données indicateurs1'!H55</f>
        <v>-14608.67</v>
      </c>
      <c r="I30" s="4">
        <f>'Base de données indicateurs1'!I33-'Base de données indicateurs1'!I33+'Base de données indicateurs1'!I54-'Base de données indicateurs1'!I55</f>
        <v>28923</v>
      </c>
      <c r="J30" s="4">
        <f>'Base de données indicateurs1'!J33-'Base de données indicateurs1'!J33+'Base de données indicateurs1'!J54-'Base de données indicateurs1'!J55</f>
        <v>355331.14</v>
      </c>
      <c r="K30" s="4">
        <f>'Base de données indicateurs1'!K33-'Base de données indicateurs1'!K33+'Base de données indicateurs1'!K54-'Base de données indicateurs1'!K55</f>
        <v>105411.09</v>
      </c>
      <c r="L30" s="4">
        <f>'Base de données indicateurs1'!L33-'Base de données indicateurs1'!L33+'Base de données indicateurs1'!L54-'Base de données indicateurs1'!L55</f>
        <v>-3551660.9000000004</v>
      </c>
      <c r="M30" s="4">
        <f>'Base de données indicateurs1'!M33-'Base de données indicateurs1'!M33+'Base de données indicateurs1'!M54-'Base de données indicateurs1'!M55</f>
        <v>288258.07</v>
      </c>
      <c r="N30" s="4">
        <f>'Base de données indicateurs1'!N33-'Base de données indicateurs1'!N33+'Base de données indicateurs1'!N54-'Base de données indicateurs1'!N55</f>
        <v>-13123.38</v>
      </c>
      <c r="O30" s="4">
        <f>'Base de données indicateurs1'!O33-'Base de données indicateurs1'!O33+'Base de données indicateurs1'!O54-'Base de données indicateurs1'!O55</f>
        <v>713421.97</v>
      </c>
      <c r="P30" s="4">
        <f>'Base de données indicateurs1'!P33-'Base de données indicateurs1'!P33+'Base de données indicateurs1'!P54-'Base de données indicateurs1'!P55</f>
        <v>-5670.3</v>
      </c>
      <c r="Q30" s="4">
        <f>'Base de données indicateurs1'!Q33-'Base de données indicateurs1'!Q33+'Base de données indicateurs1'!Q54-'Base de données indicateurs1'!Q55</f>
        <v>-26078.06</v>
      </c>
      <c r="R30" s="4">
        <f>'Base de données indicateurs1'!R33-'Base de données indicateurs1'!R33+'Base de données indicateurs1'!R54-'Base de données indicateurs1'!R55</f>
        <v>33566.67</v>
      </c>
      <c r="S30" s="4">
        <f>'Base de données indicateurs1'!S33-'Base de données indicateurs1'!S33+'Base de données indicateurs1'!S54-'Base de données indicateurs1'!S55</f>
        <v>-135865.17000000001</v>
      </c>
      <c r="T30" s="4">
        <f>'Base de données indicateurs1'!T33-'Base de données indicateurs1'!T33+'Base de données indicateurs1'!T54-'Base de données indicateurs1'!T55</f>
        <v>310014.2</v>
      </c>
      <c r="U30" s="4">
        <f>'Base de données indicateurs1'!U33-'Base de données indicateurs1'!U33+'Base de données indicateurs1'!U54-'Base de données indicateurs1'!U55</f>
        <v>-15080.91</v>
      </c>
      <c r="V30" s="4">
        <f>'Base de données indicateurs1'!V33-'Base de données indicateurs1'!V33+'Base de données indicateurs1'!V54-'Base de données indicateurs1'!V55</f>
        <v>-314421.67</v>
      </c>
      <c r="W30" s="4">
        <f>'Base de données indicateurs1'!W33-'Base de données indicateurs1'!W33+'Base de données indicateurs1'!W54-'Base de données indicateurs1'!W55</f>
        <v>71457.649999999994</v>
      </c>
      <c r="X30" s="4">
        <f>'Base de données indicateurs1'!X33-'Base de données indicateurs1'!X33+'Base de données indicateurs1'!X54-'Base de données indicateurs1'!X55</f>
        <v>138690</v>
      </c>
      <c r="Y30" s="4">
        <f>'Base de données indicateurs1'!Y33-'Base de données indicateurs1'!Y33+'Base de données indicateurs1'!Y54-'Base de données indicateurs1'!Y55</f>
        <v>1633805.81</v>
      </c>
      <c r="Z30" s="4">
        <f>'Base de données indicateurs1'!Z33-'Base de données indicateurs1'!Z33+'Base de données indicateurs1'!Z54-'Base de données indicateurs1'!Z55</f>
        <v>925288.21</v>
      </c>
      <c r="AA30" s="4">
        <f>'Base de données indicateurs1'!AA33-'Base de données indicateurs1'!AA33+'Base de données indicateurs1'!AA54-'Base de données indicateurs1'!AA55</f>
        <v>13373.11</v>
      </c>
      <c r="AB30" s="4">
        <f>'Base de données indicateurs1'!AB33-'Base de données indicateurs1'!AB33+'Base de données indicateurs1'!AB54-'Base de données indicateurs1'!AB55</f>
        <v>-34056.49</v>
      </c>
      <c r="AC30" s="4">
        <f>'Base de données indicateurs1'!AC33-'Base de données indicateurs1'!AC33+'Base de données indicateurs1'!AC54-'Base de données indicateurs1'!AC55</f>
        <v>-190765.53</v>
      </c>
      <c r="AD30" s="4">
        <f>'Base de données indicateurs1'!AD33-'Base de données indicateurs1'!AD33+'Base de données indicateurs1'!AD54-'Base de données indicateurs1'!AD55</f>
        <v>0</v>
      </c>
      <c r="AE30" s="4">
        <f>'Base de données indicateurs1'!AE33-'Base de données indicateurs1'!AE33+'Base de données indicateurs1'!AE54-'Base de données indicateurs1'!AE55</f>
        <v>-148769.32</v>
      </c>
      <c r="AF30" s="4">
        <f>'Base de données indicateurs1'!AF33-'Base de données indicateurs1'!AF33+'Base de données indicateurs1'!AF54-'Base de données indicateurs1'!AF55</f>
        <v>-159274.14000000001</v>
      </c>
      <c r="AG30" s="4">
        <f>'Base de données indicateurs1'!AG33-'Base de données indicateurs1'!AG33+'Base de données indicateurs1'!AG54-'Base de données indicateurs1'!AG55</f>
        <v>764904.49</v>
      </c>
      <c r="AH30" s="4">
        <f>'Base de données indicateurs1'!AH33-'Base de données indicateurs1'!AH33+'Base de données indicateurs1'!AH54-'Base de données indicateurs1'!AH55</f>
        <v>28139.98</v>
      </c>
      <c r="AI30" s="4">
        <f>'Base de données indicateurs1'!AI33-'Base de données indicateurs1'!AI33+'Base de données indicateurs1'!AI54-'Base de données indicateurs1'!AI55</f>
        <v>37068.9</v>
      </c>
      <c r="AJ30" s="4">
        <f>'Base de données indicateurs1'!AJ33-'Base de données indicateurs1'!AJ33+'Base de données indicateurs1'!AJ54-'Base de données indicateurs1'!AJ55</f>
        <v>-6438.58</v>
      </c>
      <c r="AK30" s="4">
        <f>'Base de données indicateurs1'!AK33-'Base de données indicateurs1'!AK33+'Base de données indicateurs1'!AK54-'Base de données indicateurs1'!AK55</f>
        <v>423500</v>
      </c>
      <c r="AL30" s="4">
        <f>'Base de données indicateurs1'!AL33-'Base de données indicateurs1'!AL33+'Base de données indicateurs1'!AL54-'Base de données indicateurs1'!AL55</f>
        <v>1986</v>
      </c>
      <c r="AM30" s="4">
        <f>'Base de données indicateurs1'!AM33-'Base de données indicateurs1'!AM33+'Base de données indicateurs1'!AM54-'Base de données indicateurs1'!AM55</f>
        <v>103605.34</v>
      </c>
      <c r="AN30" s="4">
        <f>'Base de données indicateurs1'!AN33-'Base de données indicateurs1'!AN33+'Base de données indicateurs1'!AN54-'Base de données indicateurs1'!AN55</f>
        <v>6229.74</v>
      </c>
      <c r="AO30" s="4">
        <f>'Base de données indicateurs1'!AO33-'Base de données indicateurs1'!AO33+'Base de données indicateurs1'!AO54-'Base de données indicateurs1'!AO55</f>
        <v>183300.05</v>
      </c>
      <c r="AP30" s="4">
        <f>'Base de données indicateurs1'!AP33-'Base de données indicateurs1'!AP33+'Base de données indicateurs1'!AP54-'Base de données indicateurs1'!AP55</f>
        <v>200305.66</v>
      </c>
      <c r="AQ30" s="4">
        <f>'Base de données indicateurs1'!AQ33-'Base de données indicateurs1'!AQ33+'Base de données indicateurs1'!AQ54-'Base de données indicateurs1'!AQ55</f>
        <v>32981</v>
      </c>
      <c r="AR30" s="4">
        <f>'Base de données indicateurs1'!AR33-'Base de données indicateurs1'!AR33+'Base de données indicateurs1'!AR54-'Base de données indicateurs1'!AR55</f>
        <v>9638.94</v>
      </c>
      <c r="AS30" s="4">
        <f>'Base de données indicateurs1'!AS33-'Base de données indicateurs1'!AS33+'Base de données indicateurs1'!AS54-'Base de données indicateurs1'!AS55</f>
        <v>32568.26</v>
      </c>
      <c r="AT30" s="4">
        <f>'Base de données indicateurs1'!AT33-'Base de données indicateurs1'!AT33+'Base de données indicateurs1'!AT54-'Base de données indicateurs1'!AT55</f>
        <v>-48087.99</v>
      </c>
      <c r="AU30" s="4">
        <f>'Base de données indicateurs1'!AU33-'Base de données indicateurs1'!AU33+'Base de données indicateurs1'!AU54-'Base de données indicateurs1'!AU55</f>
        <v>47834.87</v>
      </c>
      <c r="AV30" s="4">
        <f>'Base de données indicateurs1'!AV33-'Base de données indicateurs1'!AV33+'Base de données indicateurs1'!AV54-'Base de données indicateurs1'!AV55</f>
        <v>115176.8</v>
      </c>
      <c r="AW30" s="4">
        <f>'Base de données indicateurs1'!AW33-'Base de données indicateurs1'!AW33+'Base de données indicateurs1'!AW54-'Base de données indicateurs1'!AW55</f>
        <v>58369.4</v>
      </c>
      <c r="AX30" s="4">
        <f>'Base de données indicateurs1'!AX33-'Base de données indicateurs1'!AX33+'Base de données indicateurs1'!AX54-'Base de données indicateurs1'!AX55</f>
        <v>-50574.92</v>
      </c>
      <c r="AY30" s="4">
        <f>'Base de données indicateurs1'!AY33-'Base de données indicateurs1'!AY33+'Base de données indicateurs1'!AY54-'Base de données indicateurs1'!AY55</f>
        <v>-95514.240000000005</v>
      </c>
      <c r="AZ30" s="4">
        <f>'Base de données indicateurs1'!AZ33-'Base de données indicateurs1'!AZ33+'Base de données indicateurs1'!AZ54-'Base de données indicateurs1'!AZ55</f>
        <v>42035.89</v>
      </c>
      <c r="BA30" s="4">
        <f>'Base de données indicateurs1'!BA33-'Base de données indicateurs1'!BA33+'Base de données indicateurs1'!BA54-'Base de données indicateurs1'!BA55</f>
        <v>-22521.59</v>
      </c>
      <c r="BB30" s="4">
        <f>'Base de données indicateurs1'!BB33-'Base de données indicateurs1'!BB33+'Base de données indicateurs1'!BB54-'Base de données indicateurs1'!BB55</f>
        <v>13297.33</v>
      </c>
      <c r="BC30" s="4">
        <f>'Base de données indicateurs1'!BC33-'Base de données indicateurs1'!BC33+'Base de données indicateurs1'!BC54-'Base de données indicateurs1'!BC55</f>
        <v>46556.28</v>
      </c>
      <c r="BD30" s="4">
        <f>'Base de données indicateurs1'!BD33-'Base de données indicateurs1'!BD33+'Base de données indicateurs1'!BD54-'Base de données indicateurs1'!BD55</f>
        <v>651336.63</v>
      </c>
      <c r="BE30" s="4">
        <f>'Base de données indicateurs1'!BE33-'Base de données indicateurs1'!BE33+'Base de données indicateurs1'!BE54-'Base de données indicateurs1'!BE55</f>
        <v>66157.88</v>
      </c>
      <c r="BF30" s="4">
        <f t="shared" si="0"/>
        <v>-2471136.37</v>
      </c>
      <c r="BG30" s="4">
        <f t="shared" si="1"/>
        <v>3001966.4399999995</v>
      </c>
      <c r="BH30" s="4">
        <f t="shared" si="2"/>
        <v>1818181.3299999996</v>
      </c>
    </row>
    <row r="31" spans="1:60" x14ac:dyDescent="0.25">
      <c r="A31" s="96" t="s">
        <v>98</v>
      </c>
      <c r="B31" s="97" t="s">
        <v>225</v>
      </c>
      <c r="C31" s="96">
        <v>33</v>
      </c>
      <c r="D31" s="98">
        <f>'Base de données indicateurs1'!BF20</f>
        <v>22383897.43</v>
      </c>
      <c r="E31" s="4">
        <f>'Base de données indicateurs1'!E20</f>
        <v>282130.74</v>
      </c>
      <c r="F31" s="4">
        <f>'Base de données indicateurs1'!F20</f>
        <v>82434</v>
      </c>
      <c r="G31" s="4">
        <f>'Base de données indicateurs1'!G20</f>
        <v>75868.399999999994</v>
      </c>
      <c r="H31" s="4">
        <f>'Base de données indicateurs1'!H20</f>
        <v>97710</v>
      </c>
      <c r="I31" s="4">
        <f>'Base de données indicateurs1'!I20</f>
        <v>967279</v>
      </c>
      <c r="J31" s="4">
        <f>'Base de données indicateurs1'!J20</f>
        <v>1031543.09</v>
      </c>
      <c r="K31" s="4">
        <f>'Base de données indicateurs1'!K20</f>
        <v>507798.55</v>
      </c>
      <c r="L31" s="4">
        <f>'Base de données indicateurs1'!L20</f>
        <v>5626924.5</v>
      </c>
      <c r="M31" s="4">
        <f>'Base de données indicateurs1'!M20</f>
        <v>236080</v>
      </c>
      <c r="N31" s="4">
        <f>'Base de données indicateurs1'!N20</f>
        <v>50797.67</v>
      </c>
      <c r="O31" s="4">
        <f>'Base de données indicateurs1'!O20</f>
        <v>1215448.1000000001</v>
      </c>
      <c r="P31" s="4">
        <f>'Base de données indicateurs1'!P20</f>
        <v>117103</v>
      </c>
      <c r="Q31" s="4">
        <f>'Base de données indicateurs1'!Q20</f>
        <v>12561</v>
      </c>
      <c r="R31" s="4">
        <f>'Base de données indicateurs1'!R20</f>
        <v>94900</v>
      </c>
      <c r="S31" s="4">
        <f>'Base de données indicateurs1'!S20</f>
        <v>107211</v>
      </c>
      <c r="T31" s="4">
        <f>'Base de données indicateurs1'!T20</f>
        <v>116736.9</v>
      </c>
      <c r="U31" s="4">
        <f>'Base de données indicateurs1'!U20</f>
        <v>33089.699999999997</v>
      </c>
      <c r="V31" s="4">
        <f>'Base de données indicateurs1'!V20</f>
        <v>155684.85</v>
      </c>
      <c r="W31" s="4">
        <f>'Base de données indicateurs1'!W20</f>
        <v>940048.97</v>
      </c>
      <c r="X31" s="4">
        <f>'Base de données indicateurs1'!X20</f>
        <v>40515</v>
      </c>
      <c r="Y31" s="4">
        <f>'Base de données indicateurs1'!Y20</f>
        <v>269737.3</v>
      </c>
      <c r="Z31" s="4">
        <f>'Base de données indicateurs1'!Z20</f>
        <v>354358.34</v>
      </c>
      <c r="AA31" s="4">
        <f>'Base de données indicateurs1'!AA20</f>
        <v>48600</v>
      </c>
      <c r="AB31" s="4">
        <f>'Base de données indicateurs1'!AB20</f>
        <v>700</v>
      </c>
      <c r="AC31" s="4">
        <f>'Base de données indicateurs1'!AC20</f>
        <v>88682.95</v>
      </c>
      <c r="AD31" s="4">
        <f>'Base de données indicateurs1'!AD20</f>
        <v>189752.77</v>
      </c>
      <c r="AE31" s="4">
        <f>'Base de données indicateurs1'!AE20</f>
        <v>146039.14000000001</v>
      </c>
      <c r="AF31" s="4">
        <f>'Base de données indicateurs1'!AF20</f>
        <v>86837.65</v>
      </c>
      <c r="AG31" s="4">
        <f>'Base de données indicateurs1'!AG20</f>
        <v>616217.30000000005</v>
      </c>
      <c r="AH31" s="4">
        <f>'Base de données indicateurs1'!AH20</f>
        <v>768732</v>
      </c>
      <c r="AI31" s="4">
        <f>'Base de données indicateurs1'!AI20</f>
        <v>53527</v>
      </c>
      <c r="AJ31" s="4">
        <f>'Base de données indicateurs1'!AJ20</f>
        <v>54670.8</v>
      </c>
      <c r="AK31" s="4">
        <f>'Base de données indicateurs1'!AK20</f>
        <v>702484</v>
      </c>
      <c r="AL31" s="4">
        <f>'Base de données indicateurs1'!AL20</f>
        <v>408999</v>
      </c>
      <c r="AM31" s="4">
        <f>'Base de données indicateurs1'!AM20</f>
        <v>262400</v>
      </c>
      <c r="AN31" s="4">
        <f>'Base de données indicateurs1'!AN20</f>
        <v>34064</v>
      </c>
      <c r="AO31" s="4">
        <f>'Base de données indicateurs1'!AO20</f>
        <v>599305.21</v>
      </c>
      <c r="AP31" s="4">
        <f>'Base de données indicateurs1'!AP20</f>
        <v>85150</v>
      </c>
      <c r="AQ31" s="4">
        <f>'Base de données indicateurs1'!AQ20</f>
        <v>220973</v>
      </c>
      <c r="AR31" s="4">
        <f>'Base de données indicateurs1'!AR20</f>
        <v>180610</v>
      </c>
      <c r="AS31" s="4">
        <f>'Base de données indicateurs1'!AS20</f>
        <v>178081.75</v>
      </c>
      <c r="AT31" s="4">
        <f>'Base de données indicateurs1'!AT20</f>
        <v>248187</v>
      </c>
      <c r="AU31" s="4">
        <f>'Base de données indicateurs1'!AU20</f>
        <v>76788.100000000006</v>
      </c>
      <c r="AV31" s="4">
        <f>'Base de données indicateurs1'!AV20</f>
        <v>465912.53</v>
      </c>
      <c r="AW31" s="4">
        <f>'Base de données indicateurs1'!AW20</f>
        <v>132346.01999999999</v>
      </c>
      <c r="AX31" s="4">
        <f>'Base de données indicateurs1'!AX20</f>
        <v>33410</v>
      </c>
      <c r="AY31" s="4">
        <f>'Base de données indicateurs1'!AY20</f>
        <v>185465</v>
      </c>
      <c r="AZ31" s="4">
        <f>'Base de données indicateurs1'!AZ20</f>
        <v>583142</v>
      </c>
      <c r="BA31" s="4">
        <f>'Base de données indicateurs1'!BA20</f>
        <v>31888.18</v>
      </c>
      <c r="BB31" s="4">
        <f>'Base de données indicateurs1'!BB20</f>
        <v>381525.81</v>
      </c>
      <c r="BC31" s="4">
        <f>'Base de données indicateurs1'!BC20</f>
        <v>13961</v>
      </c>
      <c r="BD31" s="4">
        <f>'Base de données indicateurs1'!BD20</f>
        <v>2988366.11</v>
      </c>
      <c r="BE31" s="4">
        <f>'Base de données indicateurs1'!BE20</f>
        <v>101119</v>
      </c>
      <c r="BF31" s="4">
        <f t="shared" si="0"/>
        <v>11751349.469999999</v>
      </c>
      <c r="BG31" s="4">
        <f t="shared" si="1"/>
        <v>2718370.25</v>
      </c>
      <c r="BH31" s="4">
        <f t="shared" si="2"/>
        <v>7914177.709999999</v>
      </c>
    </row>
    <row r="32" spans="1:60" x14ac:dyDescent="0.25">
      <c r="A32" s="96" t="s">
        <v>227</v>
      </c>
      <c r="B32" s="97" t="s">
        <v>225</v>
      </c>
      <c r="C32" s="96">
        <v>35</v>
      </c>
      <c r="D32" s="98">
        <f>'Base de données indicateurs1'!BF24</f>
        <v>2171226.4700000002</v>
      </c>
      <c r="E32" s="4">
        <f>'Base de données indicateurs1'!E24</f>
        <v>16978.75</v>
      </c>
      <c r="F32" s="4">
        <f>'Base de données indicateurs1'!F24</f>
        <v>15022.35</v>
      </c>
      <c r="G32" s="4">
        <f>'Base de données indicateurs1'!G24</f>
        <v>4842.95</v>
      </c>
      <c r="H32" s="4">
        <f>'Base de données indicateurs1'!H24</f>
        <v>0</v>
      </c>
      <c r="I32" s="4">
        <f>'Base de données indicateurs1'!I24</f>
        <v>112388</v>
      </c>
      <c r="J32" s="4">
        <f>'Base de données indicateurs1'!J24</f>
        <v>8283.2099999999991</v>
      </c>
      <c r="K32" s="4">
        <f>'Base de données indicateurs1'!K24</f>
        <v>30083.4</v>
      </c>
      <c r="L32" s="4">
        <f>'Base de données indicateurs1'!L24</f>
        <v>0</v>
      </c>
      <c r="M32" s="4">
        <f>'Base de données indicateurs1'!M24</f>
        <v>108697.49</v>
      </c>
      <c r="N32" s="4">
        <f>'Base de données indicateurs1'!N24</f>
        <v>9500</v>
      </c>
      <c r="O32" s="4">
        <f>'Base de données indicateurs1'!O24</f>
        <v>738557.5</v>
      </c>
      <c r="P32" s="4">
        <f>'Base de données indicateurs1'!P24</f>
        <v>0</v>
      </c>
      <c r="Q32" s="4">
        <f>'Base de données indicateurs1'!Q24</f>
        <v>0</v>
      </c>
      <c r="R32" s="4">
        <f>'Base de données indicateurs1'!R24</f>
        <v>-45.4</v>
      </c>
      <c r="S32" s="4">
        <f>'Base de données indicateurs1'!S24</f>
        <v>29000</v>
      </c>
      <c r="T32" s="4">
        <f>'Base de données indicateurs1'!T24</f>
        <v>0</v>
      </c>
      <c r="U32" s="4">
        <f>'Base de données indicateurs1'!U24</f>
        <v>14808.4</v>
      </c>
      <c r="V32" s="4">
        <f>'Base de données indicateurs1'!V24</f>
        <v>0</v>
      </c>
      <c r="W32" s="4">
        <f>'Base de données indicateurs1'!W24</f>
        <v>0</v>
      </c>
      <c r="X32" s="4">
        <f>'Base de données indicateurs1'!X24</f>
        <v>74767.850000000006</v>
      </c>
      <c r="Y32" s="4">
        <f>'Base de données indicateurs1'!Y24</f>
        <v>1646.6</v>
      </c>
      <c r="Z32" s="4">
        <f>'Base de données indicateurs1'!Z24</f>
        <v>64419</v>
      </c>
      <c r="AA32" s="4">
        <f>'Base de données indicateurs1'!AA24</f>
        <v>0</v>
      </c>
      <c r="AB32" s="4">
        <f>'Base de données indicateurs1'!AB24</f>
        <v>8123.55</v>
      </c>
      <c r="AC32" s="4">
        <f>'Base de données indicateurs1'!AC24</f>
        <v>5397.7</v>
      </c>
      <c r="AD32" s="4">
        <f>'Base de données indicateurs1'!AD24</f>
        <v>3500</v>
      </c>
      <c r="AE32" s="4">
        <f>'Base de données indicateurs1'!AE24</f>
        <v>5379.25</v>
      </c>
      <c r="AF32" s="4">
        <f>'Base de données indicateurs1'!AF24</f>
        <v>6081.76</v>
      </c>
      <c r="AG32" s="4">
        <f>'Base de données indicateurs1'!AG24</f>
        <v>57650.95</v>
      </c>
      <c r="AH32" s="4">
        <f>'Base de données indicateurs1'!AH24</f>
        <v>24180.25</v>
      </c>
      <c r="AI32" s="4">
        <f>'Base de données indicateurs1'!AI24</f>
        <v>15605.95</v>
      </c>
      <c r="AJ32" s="4">
        <f>'Base de données indicateurs1'!AJ24</f>
        <v>3000</v>
      </c>
      <c r="AK32" s="4">
        <f>'Base de données indicateurs1'!AK24</f>
        <v>60056.55</v>
      </c>
      <c r="AL32" s="4">
        <f>'Base de données indicateurs1'!AL24</f>
        <v>5884</v>
      </c>
      <c r="AM32" s="4">
        <f>'Base de données indicateurs1'!AM24</f>
        <v>44358.37</v>
      </c>
      <c r="AN32" s="4">
        <f>'Base de données indicateurs1'!AN24</f>
        <v>0</v>
      </c>
      <c r="AO32" s="4">
        <f>'Base de données indicateurs1'!AO24</f>
        <v>0</v>
      </c>
      <c r="AP32" s="4">
        <f>'Base de données indicateurs1'!AP24</f>
        <v>9464.7800000000007</v>
      </c>
      <c r="AQ32" s="4">
        <f>'Base de données indicateurs1'!AQ24</f>
        <v>13193</v>
      </c>
      <c r="AR32" s="4">
        <f>'Base de données indicateurs1'!AR24</f>
        <v>112767.45</v>
      </c>
      <c r="AS32" s="4">
        <f>'Base de données indicateurs1'!AS24</f>
        <v>99540</v>
      </c>
      <c r="AT32" s="4">
        <f>'Base de données indicateurs1'!AT24</f>
        <v>196054.44</v>
      </c>
      <c r="AU32" s="4">
        <f>'Base de données indicateurs1'!AU24</f>
        <v>1484.3</v>
      </c>
      <c r="AV32" s="4">
        <f>'Base de données indicateurs1'!AV24</f>
        <v>167384.66</v>
      </c>
      <c r="AW32" s="4">
        <f>'Base de données indicateurs1'!AW24</f>
        <v>13512</v>
      </c>
      <c r="AX32" s="4">
        <f>'Base de données indicateurs1'!AX24</f>
        <v>35.86</v>
      </c>
      <c r="AY32" s="4">
        <f>'Base de données indicateurs1'!AY24</f>
        <v>-310</v>
      </c>
      <c r="AZ32" s="4">
        <f>'Base de données indicateurs1'!AZ24</f>
        <v>10462.5</v>
      </c>
      <c r="BA32" s="4">
        <f>'Base de données indicateurs1'!BA24</f>
        <v>5123</v>
      </c>
      <c r="BB32" s="4">
        <f>'Base de données indicateurs1'!BB24</f>
        <v>39690.97</v>
      </c>
      <c r="BC32" s="4">
        <f>'Base de données indicateurs1'!BC24</f>
        <v>5104</v>
      </c>
      <c r="BD32" s="4">
        <f>'Base de données indicateurs1'!BD24</f>
        <v>10234.450000000001</v>
      </c>
      <c r="BE32" s="4">
        <f>'Base de données indicateurs1'!BE24</f>
        <v>19316.63</v>
      </c>
      <c r="BF32" s="4">
        <f t="shared" si="0"/>
        <v>1088116.6499999999</v>
      </c>
      <c r="BG32" s="4">
        <f t="shared" si="1"/>
        <v>269752.86000000004</v>
      </c>
      <c r="BH32" s="4">
        <f t="shared" si="2"/>
        <v>813356.96000000008</v>
      </c>
    </row>
    <row r="33" spans="1:60" x14ac:dyDescent="0.25">
      <c r="A33" s="96" t="s">
        <v>174</v>
      </c>
      <c r="B33" s="97" t="s">
        <v>226</v>
      </c>
      <c r="C33" s="96">
        <v>45</v>
      </c>
      <c r="D33" s="98">
        <f>'Base de données indicateurs1'!BF47</f>
        <v>896799.65999999992</v>
      </c>
      <c r="E33" s="4">
        <f>'Base de données indicateurs1'!E47</f>
        <v>46777.4</v>
      </c>
      <c r="F33" s="4">
        <f>'Base de données indicateurs1'!F47</f>
        <v>0</v>
      </c>
      <c r="G33" s="4">
        <f>'Base de données indicateurs1'!G47</f>
        <v>22529.05</v>
      </c>
      <c r="H33" s="4">
        <f>'Base de données indicateurs1'!H47</f>
        <v>0</v>
      </c>
      <c r="I33" s="4">
        <f>'Base de données indicateurs1'!I47</f>
        <v>58900</v>
      </c>
      <c r="J33" s="4">
        <f>'Base de données indicateurs1'!J47</f>
        <v>8198.85</v>
      </c>
      <c r="K33" s="4">
        <f>'Base de données indicateurs1'!K47</f>
        <v>130846.1</v>
      </c>
      <c r="L33" s="4">
        <f>'Base de données indicateurs1'!L47</f>
        <v>34397.550000000003</v>
      </c>
      <c r="M33" s="4">
        <f>'Base de données indicateurs1'!M47</f>
        <v>55705.49</v>
      </c>
      <c r="N33" s="4">
        <f>'Base de données indicateurs1'!N47</f>
        <v>0</v>
      </c>
      <c r="O33" s="4">
        <f>'Base de données indicateurs1'!O47</f>
        <v>25602.42</v>
      </c>
      <c r="P33" s="4">
        <f>'Base de données indicateurs1'!P47</f>
        <v>0</v>
      </c>
      <c r="Q33" s="4">
        <f>'Base de données indicateurs1'!Q47</f>
        <v>0</v>
      </c>
      <c r="R33" s="4">
        <f>'Base de données indicateurs1'!R47</f>
        <v>0</v>
      </c>
      <c r="S33" s="4">
        <f>'Base de données indicateurs1'!S47</f>
        <v>0</v>
      </c>
      <c r="T33" s="4">
        <f>'Base de données indicateurs1'!T47</f>
        <v>-1908.7</v>
      </c>
      <c r="U33" s="4">
        <f>'Base de données indicateurs1'!U47</f>
        <v>625.65</v>
      </c>
      <c r="V33" s="4">
        <f>'Base de données indicateurs1'!V47</f>
        <v>18102.8</v>
      </c>
      <c r="W33" s="4">
        <f>'Base de données indicateurs1'!W47</f>
        <v>7909.7</v>
      </c>
      <c r="X33" s="4">
        <f>'Base de données indicateurs1'!X47</f>
        <v>33663.15</v>
      </c>
      <c r="Y33" s="4">
        <f>'Base de données indicateurs1'!Y47</f>
        <v>3099.8</v>
      </c>
      <c r="Z33" s="4">
        <f>'Base de données indicateurs1'!Z47</f>
        <v>4274.6000000000004</v>
      </c>
      <c r="AA33" s="4">
        <f>'Base de données indicateurs1'!AA47</f>
        <v>-200</v>
      </c>
      <c r="AB33" s="4">
        <f>'Base de données indicateurs1'!AB47</f>
        <v>369.8</v>
      </c>
      <c r="AC33" s="4">
        <f>'Base de données indicateurs1'!AC47</f>
        <v>10317</v>
      </c>
      <c r="AD33" s="4">
        <f>'Base de données indicateurs1'!AD47</f>
        <v>0</v>
      </c>
      <c r="AE33" s="4">
        <f>'Base de données indicateurs1'!AE47</f>
        <v>1389.6</v>
      </c>
      <c r="AF33" s="4">
        <f>'Base de données indicateurs1'!AF47</f>
        <v>2606.8000000000002</v>
      </c>
      <c r="AG33" s="4">
        <f>'Base de données indicateurs1'!AG47</f>
        <v>55676.25</v>
      </c>
      <c r="AH33" s="4">
        <f>'Base de données indicateurs1'!AH47</f>
        <v>16678.900000000001</v>
      </c>
      <c r="AI33" s="4">
        <f>'Base de données indicateurs1'!AI47</f>
        <v>1190.3499999999999</v>
      </c>
      <c r="AJ33" s="4">
        <f>'Base de données indicateurs1'!AJ47</f>
        <v>3200.42</v>
      </c>
      <c r="AK33" s="4">
        <f>'Base de données indicateurs1'!AK47</f>
        <v>0</v>
      </c>
      <c r="AL33" s="4">
        <f>'Base de données indicateurs1'!AL47</f>
        <v>3862</v>
      </c>
      <c r="AM33" s="4">
        <f>'Base de données indicateurs1'!AM47</f>
        <v>134400</v>
      </c>
      <c r="AN33" s="4">
        <f>'Base de données indicateurs1'!AN47</f>
        <v>296.39999999999998</v>
      </c>
      <c r="AO33" s="4">
        <f>'Base de données indicateurs1'!AO47</f>
        <v>0</v>
      </c>
      <c r="AP33" s="4">
        <f>'Base de données indicateurs1'!AP47</f>
        <v>420</v>
      </c>
      <c r="AQ33" s="4">
        <f>'Base de données indicateurs1'!AQ47</f>
        <v>0</v>
      </c>
      <c r="AR33" s="4">
        <f>'Base de données indicateurs1'!AR47</f>
        <v>13174</v>
      </c>
      <c r="AS33" s="4">
        <f>'Base de données indicateurs1'!AS47</f>
        <v>83961.47</v>
      </c>
      <c r="AT33" s="4">
        <f>'Base de données indicateurs1'!AT47</f>
        <v>33579.46</v>
      </c>
      <c r="AU33" s="4">
        <f>'Base de données indicateurs1'!AU47</f>
        <v>3785.05</v>
      </c>
      <c r="AV33" s="4">
        <f>'Base de données indicateurs1'!AV47</f>
        <v>5953.7</v>
      </c>
      <c r="AW33" s="4">
        <f>'Base de données indicateurs1'!AW47</f>
        <v>1865.05</v>
      </c>
      <c r="AX33" s="4">
        <f>'Base de données indicateurs1'!AX47</f>
        <v>421.7</v>
      </c>
      <c r="AY33" s="4">
        <f>'Base de données indicateurs1'!AY47</f>
        <v>860.2</v>
      </c>
      <c r="AZ33" s="4">
        <f>'Base de données indicateurs1'!AZ47</f>
        <v>4606.45</v>
      </c>
      <c r="BA33" s="4">
        <f>'Base de données indicateurs1'!BA47</f>
        <v>0</v>
      </c>
      <c r="BB33" s="4">
        <f>'Base de données indicateurs1'!BB47</f>
        <v>5894.15</v>
      </c>
      <c r="BC33" s="4">
        <f>'Base de données indicateurs1'!BC47</f>
        <v>0</v>
      </c>
      <c r="BD33" s="4">
        <f>'Base de données indicateurs1'!BD47</f>
        <v>54899.05</v>
      </c>
      <c r="BE33" s="4">
        <f>'Base de données indicateurs1'!BE47</f>
        <v>8868</v>
      </c>
      <c r="BF33" s="4">
        <f t="shared" si="0"/>
        <v>407686.31</v>
      </c>
      <c r="BG33" s="4">
        <f t="shared" si="1"/>
        <v>132266.67000000001</v>
      </c>
      <c r="BH33" s="4">
        <f t="shared" si="2"/>
        <v>356846.68000000005</v>
      </c>
    </row>
    <row r="34" spans="1:60" x14ac:dyDescent="0.25">
      <c r="A34" s="96" t="s">
        <v>508</v>
      </c>
      <c r="B34" s="97" t="s">
        <v>225</v>
      </c>
      <c r="C34" s="96">
        <v>364</v>
      </c>
      <c r="D34" s="98">
        <f>'Base de données indicateurs1'!BF28</f>
        <v>0</v>
      </c>
      <c r="E34" s="4">
        <f>'Base de données indicateurs1'!E28</f>
        <v>0</v>
      </c>
      <c r="F34" s="4">
        <f>'Base de données indicateurs1'!F28</f>
        <v>0</v>
      </c>
      <c r="G34" s="4">
        <f>'Base de données indicateurs1'!G28</f>
        <v>0</v>
      </c>
      <c r="H34" s="4">
        <f>'Base de données indicateurs1'!H28</f>
        <v>0</v>
      </c>
      <c r="I34" s="4">
        <f>'Base de données indicateurs1'!I28</f>
        <v>0</v>
      </c>
      <c r="J34" s="4">
        <f>'Base de données indicateurs1'!J28</f>
        <v>0</v>
      </c>
      <c r="K34" s="4">
        <f>'Base de données indicateurs1'!K28</f>
        <v>0</v>
      </c>
      <c r="L34" s="4">
        <f>'Base de données indicateurs1'!L28</f>
        <v>0</v>
      </c>
      <c r="M34" s="4">
        <f>'Base de données indicateurs1'!M28</f>
        <v>0</v>
      </c>
      <c r="N34" s="4">
        <f>'Base de données indicateurs1'!N28</f>
        <v>0</v>
      </c>
      <c r="O34" s="4">
        <f>'Base de données indicateurs1'!O28</f>
        <v>0</v>
      </c>
      <c r="P34" s="4">
        <f>'Base de données indicateurs1'!P28</f>
        <v>0</v>
      </c>
      <c r="Q34" s="4">
        <f>'Base de données indicateurs1'!Q28</f>
        <v>0</v>
      </c>
      <c r="R34" s="4">
        <f>'Base de données indicateurs1'!R28</f>
        <v>0</v>
      </c>
      <c r="S34" s="4">
        <f>'Base de données indicateurs1'!S28</f>
        <v>0</v>
      </c>
      <c r="T34" s="4">
        <f>'Base de données indicateurs1'!T28</f>
        <v>0</v>
      </c>
      <c r="U34" s="4">
        <f>'Base de données indicateurs1'!U28</f>
        <v>0</v>
      </c>
      <c r="V34" s="4">
        <f>'Base de données indicateurs1'!V28</f>
        <v>0</v>
      </c>
      <c r="W34" s="4">
        <f>'Base de données indicateurs1'!W28</f>
        <v>0</v>
      </c>
      <c r="X34" s="4">
        <f>'Base de données indicateurs1'!X28</f>
        <v>0</v>
      </c>
      <c r="Y34" s="4">
        <f>'Base de données indicateurs1'!Y28</f>
        <v>0</v>
      </c>
      <c r="Z34" s="4">
        <f>'Base de données indicateurs1'!Z28</f>
        <v>0</v>
      </c>
      <c r="AA34" s="4">
        <f>'Base de données indicateurs1'!AA28</f>
        <v>0</v>
      </c>
      <c r="AB34" s="4">
        <f>'Base de données indicateurs1'!AB28</f>
        <v>0</v>
      </c>
      <c r="AC34" s="4">
        <f>'Base de données indicateurs1'!AC28</f>
        <v>0</v>
      </c>
      <c r="AD34" s="4">
        <f>'Base de données indicateurs1'!AD28</f>
        <v>0</v>
      </c>
      <c r="AE34" s="4">
        <f>'Base de données indicateurs1'!AE28</f>
        <v>0</v>
      </c>
      <c r="AF34" s="4">
        <f>'Base de données indicateurs1'!AF28</f>
        <v>0</v>
      </c>
      <c r="AG34" s="4">
        <f>'Base de données indicateurs1'!AG28</f>
        <v>0</v>
      </c>
      <c r="AH34" s="4">
        <f>'Base de données indicateurs1'!AH28</f>
        <v>0</v>
      </c>
      <c r="AI34" s="4">
        <f>'Base de données indicateurs1'!AI28</f>
        <v>0</v>
      </c>
      <c r="AJ34" s="4">
        <f>'Base de données indicateurs1'!AJ28</f>
        <v>0</v>
      </c>
      <c r="AK34" s="4">
        <f>'Base de données indicateurs1'!AK28</f>
        <v>0</v>
      </c>
      <c r="AL34" s="4">
        <f>'Base de données indicateurs1'!AL28</f>
        <v>0</v>
      </c>
      <c r="AM34" s="4">
        <f>'Base de données indicateurs1'!AM28</f>
        <v>0</v>
      </c>
      <c r="AN34" s="4">
        <f>'Base de données indicateurs1'!AN28</f>
        <v>0</v>
      </c>
      <c r="AO34" s="4">
        <f>'Base de données indicateurs1'!AO28</f>
        <v>0</v>
      </c>
      <c r="AP34" s="4">
        <f>'Base de données indicateurs1'!AP28</f>
        <v>0</v>
      </c>
      <c r="AQ34" s="4">
        <f>'Base de données indicateurs1'!AQ28</f>
        <v>0</v>
      </c>
      <c r="AR34" s="4">
        <f>'Base de données indicateurs1'!AR28</f>
        <v>0</v>
      </c>
      <c r="AS34" s="4">
        <f>'Base de données indicateurs1'!AS28</f>
        <v>0</v>
      </c>
      <c r="AT34" s="4">
        <f>'Base de données indicateurs1'!AT28</f>
        <v>0</v>
      </c>
      <c r="AU34" s="4">
        <f>'Base de données indicateurs1'!AU28</f>
        <v>0</v>
      </c>
      <c r="AV34" s="4">
        <f>'Base de données indicateurs1'!AV28</f>
        <v>0</v>
      </c>
      <c r="AW34" s="4">
        <f>'Base de données indicateurs1'!AW28</f>
        <v>0</v>
      </c>
      <c r="AX34" s="4">
        <f>'Base de données indicateurs1'!AX28</f>
        <v>0</v>
      </c>
      <c r="AY34" s="4">
        <f>'Base de données indicateurs1'!AY28</f>
        <v>0</v>
      </c>
      <c r="AZ34" s="4">
        <f>'Base de données indicateurs1'!AZ28</f>
        <v>0</v>
      </c>
      <c r="BA34" s="4">
        <f>'Base de données indicateurs1'!BA28</f>
        <v>0</v>
      </c>
      <c r="BB34" s="4">
        <f>'Base de données indicateurs1'!BB28</f>
        <v>0</v>
      </c>
      <c r="BC34" s="4">
        <f>'Base de données indicateurs1'!BC28</f>
        <v>0</v>
      </c>
      <c r="BD34" s="4">
        <f>'Base de données indicateurs1'!BD28</f>
        <v>0</v>
      </c>
      <c r="BE34" s="4">
        <f>'Base de données indicateurs1'!BE28</f>
        <v>0</v>
      </c>
      <c r="BF34" s="4">
        <f t="shared" si="0"/>
        <v>0</v>
      </c>
      <c r="BG34" s="4">
        <f t="shared" si="1"/>
        <v>0</v>
      </c>
      <c r="BH34" s="4">
        <f t="shared" si="2"/>
        <v>0</v>
      </c>
    </row>
    <row r="35" spans="1:60" x14ac:dyDescent="0.25">
      <c r="A35" s="96" t="s">
        <v>509</v>
      </c>
      <c r="B35" s="97" t="s">
        <v>225</v>
      </c>
      <c r="C35" s="96">
        <v>365</v>
      </c>
      <c r="D35" s="98">
        <f>'Base de données indicateurs1'!BF29</f>
        <v>20820</v>
      </c>
      <c r="E35" s="4">
        <f>'Base de données indicateurs1'!E29</f>
        <v>0</v>
      </c>
      <c r="F35" s="4">
        <f>'Base de données indicateurs1'!F29</f>
        <v>0</v>
      </c>
      <c r="G35" s="4">
        <f>'Base de données indicateurs1'!G29</f>
        <v>0</v>
      </c>
      <c r="H35" s="4">
        <f>'Base de données indicateurs1'!H29</f>
        <v>0</v>
      </c>
      <c r="I35" s="4">
        <f>'Base de données indicateurs1'!I29</f>
        <v>0</v>
      </c>
      <c r="J35" s="4">
        <f>'Base de données indicateurs1'!J29</f>
        <v>0</v>
      </c>
      <c r="K35" s="4">
        <f>'Base de données indicateurs1'!K29</f>
        <v>0</v>
      </c>
      <c r="L35" s="4">
        <f>'Base de données indicateurs1'!L29</f>
        <v>0</v>
      </c>
      <c r="M35" s="4">
        <f>'Base de données indicateurs1'!M29</f>
        <v>0</v>
      </c>
      <c r="N35" s="4">
        <f>'Base de données indicateurs1'!N29</f>
        <v>0</v>
      </c>
      <c r="O35" s="4">
        <f>'Base de données indicateurs1'!O29</f>
        <v>0</v>
      </c>
      <c r="P35" s="4">
        <f>'Base de données indicateurs1'!P29</f>
        <v>0</v>
      </c>
      <c r="Q35" s="4">
        <f>'Base de données indicateurs1'!Q29</f>
        <v>0</v>
      </c>
      <c r="R35" s="4">
        <f>'Base de données indicateurs1'!R29</f>
        <v>0</v>
      </c>
      <c r="S35" s="4">
        <f>'Base de données indicateurs1'!S29</f>
        <v>0</v>
      </c>
      <c r="T35" s="4">
        <f>'Base de données indicateurs1'!T29</f>
        <v>0</v>
      </c>
      <c r="U35" s="4">
        <f>'Base de données indicateurs1'!U29</f>
        <v>7400</v>
      </c>
      <c r="V35" s="4">
        <f>'Base de données indicateurs1'!V29</f>
        <v>0</v>
      </c>
      <c r="W35" s="4">
        <f>'Base de données indicateurs1'!W29</f>
        <v>0</v>
      </c>
      <c r="X35" s="4">
        <f>'Base de données indicateurs1'!X29</f>
        <v>0</v>
      </c>
      <c r="Y35" s="4">
        <f>'Base de données indicateurs1'!Y29</f>
        <v>0</v>
      </c>
      <c r="Z35" s="4">
        <f>'Base de données indicateurs1'!Z29</f>
        <v>0</v>
      </c>
      <c r="AA35" s="4">
        <f>'Base de données indicateurs1'!AA29</f>
        <v>0</v>
      </c>
      <c r="AB35" s="4">
        <f>'Base de données indicateurs1'!AB29</f>
        <v>0</v>
      </c>
      <c r="AC35" s="4">
        <f>'Base de données indicateurs1'!AC29</f>
        <v>0</v>
      </c>
      <c r="AD35" s="4">
        <f>'Base de données indicateurs1'!AD29</f>
        <v>0</v>
      </c>
      <c r="AE35" s="4">
        <f>'Base de données indicateurs1'!AE29</f>
        <v>0</v>
      </c>
      <c r="AF35" s="4">
        <f>'Base de données indicateurs1'!AF29</f>
        <v>0</v>
      </c>
      <c r="AG35" s="4">
        <f>'Base de données indicateurs1'!AG29</f>
        <v>0</v>
      </c>
      <c r="AH35" s="4">
        <f>'Base de données indicateurs1'!AH29</f>
        <v>0</v>
      </c>
      <c r="AI35" s="4">
        <f>'Base de données indicateurs1'!AI29</f>
        <v>0</v>
      </c>
      <c r="AJ35" s="4">
        <f>'Base de données indicateurs1'!AJ29</f>
        <v>0</v>
      </c>
      <c r="AK35" s="4">
        <f>'Base de données indicateurs1'!AK29</f>
        <v>0</v>
      </c>
      <c r="AL35" s="4">
        <f>'Base de données indicateurs1'!AL29</f>
        <v>0</v>
      </c>
      <c r="AM35" s="4">
        <f>'Base de données indicateurs1'!AM29</f>
        <v>0</v>
      </c>
      <c r="AN35" s="4">
        <f>'Base de données indicateurs1'!AN29</f>
        <v>0</v>
      </c>
      <c r="AO35" s="4">
        <f>'Base de données indicateurs1'!AO29</f>
        <v>0</v>
      </c>
      <c r="AP35" s="4">
        <f>'Base de données indicateurs1'!AP29</f>
        <v>0</v>
      </c>
      <c r="AQ35" s="4">
        <f>'Base de données indicateurs1'!AQ29</f>
        <v>0</v>
      </c>
      <c r="AR35" s="4">
        <f>'Base de données indicateurs1'!AR29</f>
        <v>0</v>
      </c>
      <c r="AS35" s="4">
        <f>'Base de données indicateurs1'!AS29</f>
        <v>0</v>
      </c>
      <c r="AT35" s="4">
        <f>'Base de données indicateurs1'!AT29</f>
        <v>0</v>
      </c>
      <c r="AU35" s="4">
        <f>'Base de données indicateurs1'!AU29</f>
        <v>0</v>
      </c>
      <c r="AV35" s="4">
        <f>'Base de données indicateurs1'!AV29</f>
        <v>0</v>
      </c>
      <c r="AW35" s="4">
        <f>'Base de données indicateurs1'!AW29</f>
        <v>0</v>
      </c>
      <c r="AX35" s="4">
        <f>'Base de données indicateurs1'!AX29</f>
        <v>0</v>
      </c>
      <c r="AY35" s="4">
        <f>'Base de données indicateurs1'!AY29</f>
        <v>0</v>
      </c>
      <c r="AZ35" s="4">
        <f>'Base de données indicateurs1'!AZ29</f>
        <v>13420</v>
      </c>
      <c r="BA35" s="4">
        <f>'Base de données indicateurs1'!BA29</f>
        <v>0</v>
      </c>
      <c r="BB35" s="4">
        <f>'Base de données indicateurs1'!BB29</f>
        <v>0</v>
      </c>
      <c r="BC35" s="4">
        <f>'Base de données indicateurs1'!BC29</f>
        <v>0</v>
      </c>
      <c r="BD35" s="4">
        <f>'Base de données indicateurs1'!BD29</f>
        <v>0</v>
      </c>
      <c r="BE35" s="4">
        <f>'Base de données indicateurs1'!BE29</f>
        <v>0</v>
      </c>
      <c r="BF35" s="4">
        <f t="shared" si="0"/>
        <v>7400</v>
      </c>
      <c r="BG35" s="4">
        <f t="shared" si="1"/>
        <v>0</v>
      </c>
      <c r="BH35" s="4">
        <f t="shared" si="2"/>
        <v>13420</v>
      </c>
    </row>
    <row r="36" spans="1:60" x14ac:dyDescent="0.25">
      <c r="A36" s="96" t="s">
        <v>510</v>
      </c>
      <c r="B36" s="97" t="s">
        <v>225</v>
      </c>
      <c r="C36" s="96">
        <v>366</v>
      </c>
      <c r="D36" s="98">
        <f>'Base de données indicateurs1'!BF30</f>
        <v>20250</v>
      </c>
      <c r="E36" s="4">
        <f>'Base de données indicateurs1'!E30</f>
        <v>0</v>
      </c>
      <c r="F36" s="4">
        <f>'Base de données indicateurs1'!F30</f>
        <v>0</v>
      </c>
      <c r="G36" s="4">
        <f>'Base de données indicateurs1'!G30</f>
        <v>0</v>
      </c>
      <c r="H36" s="4">
        <f>'Base de données indicateurs1'!H30</f>
        <v>0</v>
      </c>
      <c r="I36" s="4">
        <f>'Base de données indicateurs1'!I30</f>
        <v>0</v>
      </c>
      <c r="J36" s="4">
        <f>'Base de données indicateurs1'!J30</f>
        <v>0</v>
      </c>
      <c r="K36" s="4">
        <f>'Base de données indicateurs1'!K30</f>
        <v>0</v>
      </c>
      <c r="L36" s="4">
        <f>'Base de données indicateurs1'!L30</f>
        <v>0</v>
      </c>
      <c r="M36" s="4">
        <f>'Base de données indicateurs1'!M30</f>
        <v>0</v>
      </c>
      <c r="N36" s="4">
        <f>'Base de données indicateurs1'!N30</f>
        <v>0</v>
      </c>
      <c r="O36" s="4">
        <f>'Base de données indicateurs1'!O30</f>
        <v>15250</v>
      </c>
      <c r="P36" s="4">
        <f>'Base de données indicateurs1'!P30</f>
        <v>0</v>
      </c>
      <c r="Q36" s="4">
        <f>'Base de données indicateurs1'!Q30</f>
        <v>0</v>
      </c>
      <c r="R36" s="4">
        <f>'Base de données indicateurs1'!R30</f>
        <v>0</v>
      </c>
      <c r="S36" s="4">
        <f>'Base de données indicateurs1'!S30</f>
        <v>0</v>
      </c>
      <c r="T36" s="4">
        <f>'Base de données indicateurs1'!T30</f>
        <v>0</v>
      </c>
      <c r="U36" s="4">
        <f>'Base de données indicateurs1'!U30</f>
        <v>0</v>
      </c>
      <c r="V36" s="4">
        <f>'Base de données indicateurs1'!V30</f>
        <v>0</v>
      </c>
      <c r="W36" s="4">
        <f>'Base de données indicateurs1'!W30</f>
        <v>0</v>
      </c>
      <c r="X36" s="4">
        <f>'Base de données indicateurs1'!X30</f>
        <v>0</v>
      </c>
      <c r="Y36" s="4">
        <f>'Base de données indicateurs1'!Y30</f>
        <v>5000</v>
      </c>
      <c r="Z36" s="4">
        <f>'Base de données indicateurs1'!Z30</f>
        <v>0</v>
      </c>
      <c r="AA36" s="4">
        <f>'Base de données indicateurs1'!AA30</f>
        <v>0</v>
      </c>
      <c r="AB36" s="4">
        <f>'Base de données indicateurs1'!AB30</f>
        <v>0</v>
      </c>
      <c r="AC36" s="4">
        <f>'Base de données indicateurs1'!AC30</f>
        <v>0</v>
      </c>
      <c r="AD36" s="4">
        <f>'Base de données indicateurs1'!AD30</f>
        <v>0</v>
      </c>
      <c r="AE36" s="4">
        <f>'Base de données indicateurs1'!AE30</f>
        <v>0</v>
      </c>
      <c r="AF36" s="4">
        <f>'Base de données indicateurs1'!AF30</f>
        <v>0</v>
      </c>
      <c r="AG36" s="4">
        <f>'Base de données indicateurs1'!AG30</f>
        <v>0</v>
      </c>
      <c r="AH36" s="4">
        <f>'Base de données indicateurs1'!AH30</f>
        <v>0</v>
      </c>
      <c r="AI36" s="4">
        <f>'Base de données indicateurs1'!AI30</f>
        <v>0</v>
      </c>
      <c r="AJ36" s="4">
        <f>'Base de données indicateurs1'!AJ30</f>
        <v>0</v>
      </c>
      <c r="AK36" s="4">
        <f>'Base de données indicateurs1'!AK30</f>
        <v>0</v>
      </c>
      <c r="AL36" s="4">
        <f>'Base de données indicateurs1'!AL30</f>
        <v>0</v>
      </c>
      <c r="AM36" s="4">
        <f>'Base de données indicateurs1'!AM30</f>
        <v>0</v>
      </c>
      <c r="AN36" s="4">
        <f>'Base de données indicateurs1'!AN30</f>
        <v>0</v>
      </c>
      <c r="AO36" s="4">
        <f>'Base de données indicateurs1'!AO30</f>
        <v>0</v>
      </c>
      <c r="AP36" s="4">
        <f>'Base de données indicateurs1'!AP30</f>
        <v>0</v>
      </c>
      <c r="AQ36" s="4">
        <f>'Base de données indicateurs1'!AQ30</f>
        <v>0</v>
      </c>
      <c r="AR36" s="4">
        <f>'Base de données indicateurs1'!AR30</f>
        <v>0</v>
      </c>
      <c r="AS36" s="4">
        <f>'Base de données indicateurs1'!AS30</f>
        <v>0</v>
      </c>
      <c r="AT36" s="4">
        <f>'Base de données indicateurs1'!AT30</f>
        <v>0</v>
      </c>
      <c r="AU36" s="4">
        <f>'Base de données indicateurs1'!AU30</f>
        <v>0</v>
      </c>
      <c r="AV36" s="4">
        <f>'Base de données indicateurs1'!AV30</f>
        <v>0</v>
      </c>
      <c r="AW36" s="4">
        <f>'Base de données indicateurs1'!AW30</f>
        <v>0</v>
      </c>
      <c r="AX36" s="4">
        <f>'Base de données indicateurs1'!AX30</f>
        <v>0</v>
      </c>
      <c r="AY36" s="4">
        <f>'Base de données indicateurs1'!AY30</f>
        <v>0</v>
      </c>
      <c r="AZ36" s="4">
        <f>'Base de données indicateurs1'!AZ30</f>
        <v>0</v>
      </c>
      <c r="BA36" s="4">
        <f>'Base de données indicateurs1'!BA30</f>
        <v>0</v>
      </c>
      <c r="BB36" s="4">
        <f>'Base de données indicateurs1'!BB30</f>
        <v>0</v>
      </c>
      <c r="BC36" s="4">
        <f>'Base de données indicateurs1'!BC30</f>
        <v>0</v>
      </c>
      <c r="BD36" s="4">
        <f>'Base de données indicateurs1'!BD30</f>
        <v>0</v>
      </c>
      <c r="BE36" s="4">
        <f>'Base de données indicateurs1'!BE30</f>
        <v>0</v>
      </c>
      <c r="BF36" s="4">
        <f t="shared" si="0"/>
        <v>15250</v>
      </c>
      <c r="BG36" s="4">
        <f t="shared" si="1"/>
        <v>5000</v>
      </c>
      <c r="BH36" s="4">
        <f t="shared" si="2"/>
        <v>0</v>
      </c>
    </row>
    <row r="37" spans="1:60" x14ac:dyDescent="0.25">
      <c r="A37" s="96" t="s">
        <v>511</v>
      </c>
      <c r="B37" s="97" t="s">
        <v>225</v>
      </c>
      <c r="C37" s="96">
        <v>389</v>
      </c>
      <c r="D37" s="98">
        <f>'Base de données indicateurs1'!BF31</f>
        <v>4853037.37</v>
      </c>
      <c r="E37" s="4">
        <f>'Base de données indicateurs1'!E31</f>
        <v>0</v>
      </c>
      <c r="F37" s="4">
        <f>'Base de données indicateurs1'!F31</f>
        <v>0</v>
      </c>
      <c r="G37" s="4">
        <f>'Base de données indicateurs1'!G31</f>
        <v>0</v>
      </c>
      <c r="H37" s="4">
        <f>'Base de données indicateurs1'!H31</f>
        <v>0</v>
      </c>
      <c r="I37" s="4">
        <f>'Base de données indicateurs1'!I31</f>
        <v>470000</v>
      </c>
      <c r="J37" s="4">
        <f>'Base de données indicateurs1'!J31</f>
        <v>0</v>
      </c>
      <c r="K37" s="4">
        <f>'Base de données indicateurs1'!K31</f>
        <v>100000</v>
      </c>
      <c r="L37" s="4">
        <f>'Base de données indicateurs1'!L31</f>
        <v>0</v>
      </c>
      <c r="M37" s="4">
        <f>'Base de données indicateurs1'!M31</f>
        <v>0</v>
      </c>
      <c r="N37" s="4">
        <f>'Base de données indicateurs1'!N31</f>
        <v>0</v>
      </c>
      <c r="O37" s="4">
        <f>'Base de données indicateurs1'!O31</f>
        <v>0</v>
      </c>
      <c r="P37" s="4">
        <f>'Base de données indicateurs1'!P31</f>
        <v>0</v>
      </c>
      <c r="Q37" s="4">
        <f>'Base de données indicateurs1'!Q31</f>
        <v>0</v>
      </c>
      <c r="R37" s="4">
        <f>'Base de données indicateurs1'!R31</f>
        <v>0</v>
      </c>
      <c r="S37" s="4">
        <f>'Base de données indicateurs1'!S31</f>
        <v>23651.4</v>
      </c>
      <c r="T37" s="4">
        <f>'Base de données indicateurs1'!T31</f>
        <v>0</v>
      </c>
      <c r="U37" s="4">
        <f>'Base de données indicateurs1'!U31</f>
        <v>0</v>
      </c>
      <c r="V37" s="4">
        <f>'Base de données indicateurs1'!V31</f>
        <v>0</v>
      </c>
      <c r="W37" s="4">
        <f>'Base de données indicateurs1'!W31</f>
        <v>787113.6</v>
      </c>
      <c r="X37" s="4">
        <f>'Base de données indicateurs1'!X31</f>
        <v>21795.38</v>
      </c>
      <c r="Y37" s="4">
        <f>'Base de données indicateurs1'!Y31</f>
        <v>0</v>
      </c>
      <c r="Z37" s="4">
        <f>'Base de données indicateurs1'!Z31</f>
        <v>51438.41</v>
      </c>
      <c r="AA37" s="4">
        <f>'Base de données indicateurs1'!AA31</f>
        <v>0</v>
      </c>
      <c r="AB37" s="4">
        <f>'Base de données indicateurs1'!AB31</f>
        <v>0</v>
      </c>
      <c r="AC37" s="4">
        <f>'Base de données indicateurs1'!AC31</f>
        <v>0</v>
      </c>
      <c r="AD37" s="4">
        <f>'Base de données indicateurs1'!AD31</f>
        <v>0</v>
      </c>
      <c r="AE37" s="4">
        <f>'Base de données indicateurs1'!AE31</f>
        <v>0</v>
      </c>
      <c r="AF37" s="4">
        <f>'Base de données indicateurs1'!AF31</f>
        <v>0</v>
      </c>
      <c r="AG37" s="4">
        <f>'Base de données indicateurs1'!AG31</f>
        <v>200000</v>
      </c>
      <c r="AH37" s="4">
        <f>'Base de données indicateurs1'!AH31</f>
        <v>650000</v>
      </c>
      <c r="AI37" s="4">
        <f>'Base de données indicateurs1'!AI31</f>
        <v>0</v>
      </c>
      <c r="AJ37" s="4">
        <f>'Base de données indicateurs1'!AJ31</f>
        <v>0</v>
      </c>
      <c r="AK37" s="4">
        <f>'Base de données indicateurs1'!AK31</f>
        <v>401659.89</v>
      </c>
      <c r="AL37" s="4">
        <f>'Base de données indicateurs1'!AL31</f>
        <v>32541</v>
      </c>
      <c r="AM37" s="4">
        <f>'Base de données indicateurs1'!AM31</f>
        <v>100000</v>
      </c>
      <c r="AN37" s="4">
        <f>'Base de données indicateurs1'!AN31</f>
        <v>2106.63</v>
      </c>
      <c r="AO37" s="4">
        <f>'Base de données indicateurs1'!AO31</f>
        <v>800000</v>
      </c>
      <c r="AP37" s="4">
        <f>'Base de données indicateurs1'!AP31</f>
        <v>0</v>
      </c>
      <c r="AQ37" s="4">
        <f>'Base de données indicateurs1'!AQ31</f>
        <v>0</v>
      </c>
      <c r="AR37" s="4">
        <f>'Base de données indicateurs1'!AR31</f>
        <v>270000</v>
      </c>
      <c r="AS37" s="4">
        <f>'Base de données indicateurs1'!AS31</f>
        <v>275000</v>
      </c>
      <c r="AT37" s="4">
        <f>'Base de données indicateurs1'!AT31</f>
        <v>0</v>
      </c>
      <c r="AU37" s="4">
        <f>'Base de données indicateurs1'!AU31</f>
        <v>0</v>
      </c>
      <c r="AV37" s="4">
        <f>'Base de données indicateurs1'!AV31</f>
        <v>100000</v>
      </c>
      <c r="AW37" s="4">
        <f>'Base de données indicateurs1'!AW31</f>
        <v>248757.85</v>
      </c>
      <c r="AX37" s="4">
        <f>'Base de données indicateurs1'!AX31</f>
        <v>0</v>
      </c>
      <c r="AY37" s="4">
        <f>'Base de données indicateurs1'!AY31</f>
        <v>0</v>
      </c>
      <c r="AZ37" s="4">
        <f>'Base de données indicateurs1'!AZ31</f>
        <v>200000</v>
      </c>
      <c r="BA37" s="4">
        <f>'Base de données indicateurs1'!BA31</f>
        <v>0</v>
      </c>
      <c r="BB37" s="4">
        <f>'Base de données indicateurs1'!BB31</f>
        <v>58973.21</v>
      </c>
      <c r="BC37" s="4">
        <f>'Base de données indicateurs1'!BC31</f>
        <v>0</v>
      </c>
      <c r="BD37" s="4">
        <f>'Base de données indicateurs1'!BD31</f>
        <v>0</v>
      </c>
      <c r="BE37" s="4">
        <f>'Base de données indicateurs1'!BE31</f>
        <v>60000</v>
      </c>
      <c r="BF37" s="4">
        <f t="shared" si="0"/>
        <v>1380765</v>
      </c>
      <c r="BG37" s="4">
        <f t="shared" si="1"/>
        <v>923233.79</v>
      </c>
      <c r="BH37" s="4">
        <f t="shared" si="2"/>
        <v>2549038.58</v>
      </c>
    </row>
    <row r="38" spans="1:60" x14ac:dyDescent="0.25">
      <c r="A38" s="96" t="s">
        <v>233</v>
      </c>
      <c r="B38" s="97" t="s">
        <v>226</v>
      </c>
      <c r="C38" s="96">
        <v>489</v>
      </c>
      <c r="D38" s="98">
        <f>'Base de données indicateurs1'!BF51</f>
        <v>3376992.21</v>
      </c>
      <c r="E38" s="4">
        <f>'Base de données indicateurs1'!E51</f>
        <v>0</v>
      </c>
      <c r="F38" s="4">
        <f>'Base de données indicateurs1'!F51</f>
        <v>0</v>
      </c>
      <c r="G38" s="4">
        <f>'Base de données indicateurs1'!G51</f>
        <v>0</v>
      </c>
      <c r="H38" s="4">
        <f>'Base de données indicateurs1'!H51</f>
        <v>0</v>
      </c>
      <c r="I38" s="4">
        <f>'Base de données indicateurs1'!I51</f>
        <v>0</v>
      </c>
      <c r="J38" s="4">
        <f>'Base de données indicateurs1'!J51</f>
        <v>2944.95</v>
      </c>
      <c r="K38" s="4">
        <f>'Base de données indicateurs1'!K51</f>
        <v>0</v>
      </c>
      <c r="L38" s="4">
        <f>'Base de données indicateurs1'!L51</f>
        <v>1310000</v>
      </c>
      <c r="M38" s="4">
        <f>'Base de données indicateurs1'!M51</f>
        <v>0</v>
      </c>
      <c r="N38" s="4">
        <f>'Base de données indicateurs1'!N51</f>
        <v>0</v>
      </c>
      <c r="O38" s="4">
        <f>'Base de données indicateurs1'!O51</f>
        <v>0</v>
      </c>
      <c r="P38" s="4">
        <f>'Base de données indicateurs1'!P51</f>
        <v>0</v>
      </c>
      <c r="Q38" s="4">
        <f>'Base de données indicateurs1'!Q51</f>
        <v>0</v>
      </c>
      <c r="R38" s="4">
        <f>'Base de données indicateurs1'!R51</f>
        <v>0</v>
      </c>
      <c r="S38" s="4">
        <f>'Base de données indicateurs1'!S51</f>
        <v>0</v>
      </c>
      <c r="T38" s="4">
        <f>'Base de données indicateurs1'!T51</f>
        <v>0</v>
      </c>
      <c r="U38" s="4">
        <f>'Base de données indicateurs1'!U51</f>
        <v>0</v>
      </c>
      <c r="V38" s="4">
        <f>'Base de données indicateurs1'!V51</f>
        <v>0</v>
      </c>
      <c r="W38" s="4">
        <f>'Base de données indicateurs1'!W51</f>
        <v>0</v>
      </c>
      <c r="X38" s="4">
        <f>'Base de données indicateurs1'!X51</f>
        <v>0</v>
      </c>
      <c r="Y38" s="4">
        <f>'Base de données indicateurs1'!Y51</f>
        <v>0</v>
      </c>
      <c r="Z38" s="4">
        <f>'Base de données indicateurs1'!Z51</f>
        <v>0</v>
      </c>
      <c r="AA38" s="4">
        <f>'Base de données indicateurs1'!AA51</f>
        <v>0</v>
      </c>
      <c r="AB38" s="4">
        <f>'Base de données indicateurs1'!AB51</f>
        <v>0</v>
      </c>
      <c r="AC38" s="4">
        <f>'Base de données indicateurs1'!AC51</f>
        <v>130000</v>
      </c>
      <c r="AD38" s="4">
        <f>'Base de données indicateurs1'!AD51</f>
        <v>0</v>
      </c>
      <c r="AE38" s="4">
        <f>'Base de données indicateurs1'!AE51</f>
        <v>0</v>
      </c>
      <c r="AF38" s="4">
        <f>'Base de données indicateurs1'!AF51</f>
        <v>0</v>
      </c>
      <c r="AG38" s="4">
        <f>'Base de données indicateurs1'!AG51</f>
        <v>0</v>
      </c>
      <c r="AH38" s="4">
        <f>'Base de données indicateurs1'!AH51</f>
        <v>0</v>
      </c>
      <c r="AI38" s="4">
        <f>'Base de données indicateurs1'!AI51</f>
        <v>0</v>
      </c>
      <c r="AJ38" s="4">
        <f>'Base de données indicateurs1'!AJ51</f>
        <v>0</v>
      </c>
      <c r="AK38" s="4">
        <f>'Base de données indicateurs1'!AK51</f>
        <v>0</v>
      </c>
      <c r="AL38" s="4">
        <f>'Base de données indicateurs1'!AL51</f>
        <v>35000</v>
      </c>
      <c r="AM38" s="4">
        <f>'Base de données indicateurs1'!AM51</f>
        <v>18062.259999999998</v>
      </c>
      <c r="AN38" s="4">
        <f>'Base de données indicateurs1'!AN51</f>
        <v>5985</v>
      </c>
      <c r="AO38" s="4">
        <f>'Base de données indicateurs1'!AO51</f>
        <v>0</v>
      </c>
      <c r="AP38" s="4">
        <f>'Base de données indicateurs1'!AP51</f>
        <v>0</v>
      </c>
      <c r="AQ38" s="4">
        <f>'Base de données indicateurs1'!AQ51</f>
        <v>0</v>
      </c>
      <c r="AR38" s="4">
        <f>'Base de données indicateurs1'!AR51</f>
        <v>0</v>
      </c>
      <c r="AS38" s="4">
        <f>'Base de données indicateurs1'!AS51</f>
        <v>0</v>
      </c>
      <c r="AT38" s="4">
        <f>'Base de données indicateurs1'!AT51</f>
        <v>100000</v>
      </c>
      <c r="AU38" s="4">
        <f>'Base de données indicateurs1'!AU51</f>
        <v>775000</v>
      </c>
      <c r="AV38" s="4">
        <f>'Base de données indicateurs1'!AV51</f>
        <v>0</v>
      </c>
      <c r="AW38" s="4">
        <f>'Base de données indicateurs1'!AW51</f>
        <v>0</v>
      </c>
      <c r="AX38" s="4">
        <f>'Base de données indicateurs1'!AX51</f>
        <v>0</v>
      </c>
      <c r="AY38" s="4">
        <f>'Base de données indicateurs1'!AY51</f>
        <v>0</v>
      </c>
      <c r="AZ38" s="4">
        <f>'Base de données indicateurs1'!AZ51</f>
        <v>0</v>
      </c>
      <c r="BA38" s="4">
        <f>'Base de données indicateurs1'!BA51</f>
        <v>0</v>
      </c>
      <c r="BB38" s="4">
        <f>'Base de données indicateurs1'!BB51</f>
        <v>0</v>
      </c>
      <c r="BC38" s="4">
        <f>'Base de données indicateurs1'!BC51</f>
        <v>0</v>
      </c>
      <c r="BD38" s="4">
        <f>'Base de données indicateurs1'!BD51</f>
        <v>1000000</v>
      </c>
      <c r="BE38" s="4">
        <f>'Base de données indicateurs1'!BE51</f>
        <v>0</v>
      </c>
      <c r="BF38" s="4">
        <f t="shared" si="0"/>
        <v>1312944.95</v>
      </c>
      <c r="BG38" s="4">
        <f t="shared" si="1"/>
        <v>130000</v>
      </c>
      <c r="BH38" s="4">
        <f t="shared" si="2"/>
        <v>1934047.26</v>
      </c>
    </row>
    <row r="39" spans="1:60" x14ac:dyDescent="0.25">
      <c r="A39" s="96" t="s">
        <v>512</v>
      </c>
      <c r="B39" s="97" t="s">
        <v>226</v>
      </c>
      <c r="C39" s="96">
        <v>4490</v>
      </c>
      <c r="D39" s="98">
        <f>'Base de données indicateurs1'!BF46</f>
        <v>716906</v>
      </c>
      <c r="E39" s="4">
        <f>'Base de données indicateurs1'!E46</f>
        <v>0</v>
      </c>
      <c r="F39" s="4">
        <f>'Base de données indicateurs1'!F46</f>
        <v>0</v>
      </c>
      <c r="G39" s="4">
        <f>'Base de données indicateurs1'!G46</f>
        <v>0</v>
      </c>
      <c r="H39" s="4">
        <f>'Base de données indicateurs1'!H46</f>
        <v>0</v>
      </c>
      <c r="I39" s="4">
        <f>'Base de données indicateurs1'!I46</f>
        <v>0</v>
      </c>
      <c r="J39" s="4">
        <f>'Base de données indicateurs1'!J46</f>
        <v>850</v>
      </c>
      <c r="K39" s="4">
        <f>'Base de données indicateurs1'!K46</f>
        <v>0</v>
      </c>
      <c r="L39" s="4">
        <f>'Base de données indicateurs1'!L46</f>
        <v>0</v>
      </c>
      <c r="M39" s="4">
        <f>'Base de données indicateurs1'!M46</f>
        <v>0</v>
      </c>
      <c r="N39" s="4">
        <f>'Base de données indicateurs1'!N46</f>
        <v>0</v>
      </c>
      <c r="O39" s="4">
        <f>'Base de données indicateurs1'!O46</f>
        <v>0</v>
      </c>
      <c r="P39" s="4">
        <f>'Base de données indicateurs1'!P46</f>
        <v>0</v>
      </c>
      <c r="Q39" s="4">
        <f>'Base de données indicateurs1'!Q46</f>
        <v>0</v>
      </c>
      <c r="R39" s="4">
        <f>'Base de données indicateurs1'!R46</f>
        <v>0</v>
      </c>
      <c r="S39" s="4">
        <f>'Base de données indicateurs1'!S46</f>
        <v>0</v>
      </c>
      <c r="T39" s="4">
        <f>'Base de données indicateurs1'!T46</f>
        <v>0</v>
      </c>
      <c r="U39" s="4">
        <f>'Base de données indicateurs1'!U46</f>
        <v>0</v>
      </c>
      <c r="V39" s="4">
        <f>'Base de données indicateurs1'!V46</f>
        <v>0</v>
      </c>
      <c r="W39" s="4">
        <f>'Base de données indicateurs1'!W46</f>
        <v>0</v>
      </c>
      <c r="X39" s="4">
        <f>'Base de données indicateurs1'!X46</f>
        <v>0</v>
      </c>
      <c r="Y39" s="4">
        <f>'Base de données indicateurs1'!Y46</f>
        <v>0</v>
      </c>
      <c r="Z39" s="4">
        <f>'Base de données indicateurs1'!Z46</f>
        <v>0</v>
      </c>
      <c r="AA39" s="4">
        <f>'Base de données indicateurs1'!AA46</f>
        <v>0</v>
      </c>
      <c r="AB39" s="4">
        <f>'Base de données indicateurs1'!AB46</f>
        <v>0</v>
      </c>
      <c r="AC39" s="4">
        <f>'Base de données indicateurs1'!AC46</f>
        <v>0</v>
      </c>
      <c r="AD39" s="4">
        <f>'Base de données indicateurs1'!AD46</f>
        <v>0</v>
      </c>
      <c r="AE39" s="4">
        <f>'Base de données indicateurs1'!AE46</f>
        <v>0</v>
      </c>
      <c r="AF39" s="4">
        <f>'Base de données indicateurs1'!AF46</f>
        <v>0</v>
      </c>
      <c r="AG39" s="4">
        <f>'Base de données indicateurs1'!AG46</f>
        <v>0</v>
      </c>
      <c r="AH39" s="4">
        <f>'Base de données indicateurs1'!AH46</f>
        <v>0</v>
      </c>
      <c r="AI39" s="4">
        <f>'Base de données indicateurs1'!AI46</f>
        <v>0</v>
      </c>
      <c r="AJ39" s="4">
        <f>'Base de données indicateurs1'!AJ46</f>
        <v>0</v>
      </c>
      <c r="AK39" s="4">
        <f>'Base de données indicateurs1'!AK46</f>
        <v>0</v>
      </c>
      <c r="AL39" s="4">
        <f>'Base de données indicateurs1'!AL46</f>
        <v>1458</v>
      </c>
      <c r="AM39" s="4">
        <f>'Base de données indicateurs1'!AM46</f>
        <v>0</v>
      </c>
      <c r="AN39" s="4">
        <f>'Base de données indicateurs1'!AN46</f>
        <v>0</v>
      </c>
      <c r="AO39" s="4">
        <f>'Base de données indicateurs1'!AO46</f>
        <v>0</v>
      </c>
      <c r="AP39" s="4">
        <f>'Base de données indicateurs1'!AP46</f>
        <v>0</v>
      </c>
      <c r="AQ39" s="4">
        <f>'Base de données indicateurs1'!AQ46</f>
        <v>0</v>
      </c>
      <c r="AR39" s="4">
        <f>'Base de données indicateurs1'!AR46</f>
        <v>0</v>
      </c>
      <c r="AS39" s="4">
        <f>'Base de données indicateurs1'!AS46</f>
        <v>0</v>
      </c>
      <c r="AT39" s="4">
        <f>'Base de données indicateurs1'!AT46</f>
        <v>0</v>
      </c>
      <c r="AU39" s="4">
        <f>'Base de données indicateurs1'!AU46</f>
        <v>0</v>
      </c>
      <c r="AV39" s="4">
        <f>'Base de données indicateurs1'!AV46</f>
        <v>0</v>
      </c>
      <c r="AW39" s="4">
        <f>'Base de données indicateurs1'!AW46</f>
        <v>0</v>
      </c>
      <c r="AX39" s="4">
        <f>'Base de données indicateurs1'!AX46</f>
        <v>0</v>
      </c>
      <c r="AY39" s="4">
        <f>'Base de données indicateurs1'!AY46</f>
        <v>0</v>
      </c>
      <c r="AZ39" s="4">
        <f>'Base de données indicateurs1'!AZ46</f>
        <v>0</v>
      </c>
      <c r="BA39" s="4">
        <f>'Base de données indicateurs1'!BA46</f>
        <v>0</v>
      </c>
      <c r="BB39" s="4">
        <f>'Base de données indicateurs1'!BB46</f>
        <v>0</v>
      </c>
      <c r="BC39" s="4">
        <f>'Base de données indicateurs1'!BC46</f>
        <v>0</v>
      </c>
      <c r="BD39" s="4">
        <f>'Base de données indicateurs1'!BD46</f>
        <v>714598</v>
      </c>
      <c r="BE39" s="4">
        <f>'Base de données indicateurs1'!BE46</f>
        <v>0</v>
      </c>
      <c r="BF39" s="4">
        <f t="shared" si="0"/>
        <v>850</v>
      </c>
      <c r="BG39" s="4">
        <f t="shared" si="1"/>
        <v>0</v>
      </c>
      <c r="BH39" s="4">
        <f t="shared" si="2"/>
        <v>716056</v>
      </c>
    </row>
    <row r="40" spans="1:60" ht="15.75" thickBot="1" x14ac:dyDescent="0.3">
      <c r="B40" s="99"/>
      <c r="D40" s="4"/>
      <c r="BF40" s="4"/>
      <c r="BG40" s="4"/>
      <c r="BH40" s="4"/>
    </row>
    <row r="41" spans="1:60" ht="15.75" thickBot="1" x14ac:dyDescent="0.3">
      <c r="A41" s="7" t="s">
        <v>513</v>
      </c>
      <c r="B41" s="52"/>
      <c r="C41" s="7"/>
      <c r="D41" s="100">
        <f>SUM(D30:D32,D34:D37)-SUM(D33,D38:D39)</f>
        <v>26807544.799999997</v>
      </c>
      <c r="E41" s="118">
        <f>SUM(E30:E32,E34:E37)-SUM(E33,E38:E39)</f>
        <v>94706.91</v>
      </c>
      <c r="F41" s="4">
        <f t="shared" ref="F41:BE41" si="6">SUM(F30:F32,F34:F37)-SUM(F33,F38:F39)</f>
        <v>48899.03</v>
      </c>
      <c r="G41" s="4">
        <f t="shared" si="6"/>
        <v>-36646.30000000001</v>
      </c>
      <c r="H41" s="4">
        <f t="shared" si="6"/>
        <v>83101.33</v>
      </c>
      <c r="I41" s="4">
        <f t="shared" si="6"/>
        <v>1519690</v>
      </c>
      <c r="J41" s="4">
        <f t="shared" si="6"/>
        <v>1383163.64</v>
      </c>
      <c r="K41" s="4">
        <f t="shared" si="6"/>
        <v>612446.94000000006</v>
      </c>
      <c r="L41" s="4">
        <f t="shared" si="6"/>
        <v>730866.04999999958</v>
      </c>
      <c r="M41" s="4">
        <f t="shared" si="6"/>
        <v>577330.07000000007</v>
      </c>
      <c r="N41" s="4">
        <f t="shared" si="6"/>
        <v>47174.29</v>
      </c>
      <c r="O41" s="4">
        <f t="shared" si="6"/>
        <v>2657075.1500000004</v>
      </c>
      <c r="P41" s="4">
        <f t="shared" si="6"/>
        <v>111432.7</v>
      </c>
      <c r="Q41" s="4">
        <f t="shared" si="6"/>
        <v>-13517.060000000001</v>
      </c>
      <c r="R41" s="4">
        <f t="shared" si="6"/>
        <v>128421.27</v>
      </c>
      <c r="S41" s="4">
        <f t="shared" si="6"/>
        <v>23997.229999999989</v>
      </c>
      <c r="T41" s="4">
        <f t="shared" si="6"/>
        <v>428659.8</v>
      </c>
      <c r="U41" s="4">
        <f t="shared" si="6"/>
        <v>39591.539999999994</v>
      </c>
      <c r="V41" s="4">
        <f t="shared" si="6"/>
        <v>-176839.61999999997</v>
      </c>
      <c r="W41" s="4">
        <f t="shared" si="6"/>
        <v>1790710.52</v>
      </c>
      <c r="X41" s="4">
        <f t="shared" si="6"/>
        <v>242105.08</v>
      </c>
      <c r="Y41" s="4">
        <f t="shared" si="6"/>
        <v>1907089.9100000001</v>
      </c>
      <c r="Z41" s="4">
        <f t="shared" si="6"/>
        <v>1391229.3599999999</v>
      </c>
      <c r="AA41" s="4">
        <f t="shared" si="6"/>
        <v>62173.11</v>
      </c>
      <c r="AB41" s="4">
        <f t="shared" si="6"/>
        <v>-25602.739999999998</v>
      </c>
      <c r="AC41" s="4">
        <f t="shared" si="6"/>
        <v>-237001.88</v>
      </c>
      <c r="AD41" s="4">
        <f t="shared" si="6"/>
        <v>193252.77</v>
      </c>
      <c r="AE41" s="4">
        <f t="shared" si="6"/>
        <v>1259.4700000000071</v>
      </c>
      <c r="AF41" s="4">
        <f t="shared" si="6"/>
        <v>-68961.530000000028</v>
      </c>
      <c r="AG41" s="4">
        <f t="shared" si="6"/>
        <v>1583096.49</v>
      </c>
      <c r="AH41" s="4">
        <f t="shared" si="6"/>
        <v>1454373.33</v>
      </c>
      <c r="AI41" s="4">
        <f t="shared" si="6"/>
        <v>105011.49999999999</v>
      </c>
      <c r="AJ41" s="4">
        <f t="shared" si="6"/>
        <v>48031.8</v>
      </c>
      <c r="AK41" s="4">
        <f t="shared" si="6"/>
        <v>1587700.44</v>
      </c>
      <c r="AL41" s="4">
        <f t="shared" si="6"/>
        <v>409090</v>
      </c>
      <c r="AM41" s="4">
        <f t="shared" si="6"/>
        <v>357901.44999999995</v>
      </c>
      <c r="AN41" s="4">
        <f t="shared" si="6"/>
        <v>36118.969999999994</v>
      </c>
      <c r="AO41" s="4">
        <f t="shared" si="6"/>
        <v>1582605.26</v>
      </c>
      <c r="AP41" s="4">
        <f t="shared" si="6"/>
        <v>294500.44000000006</v>
      </c>
      <c r="AQ41" s="4">
        <f t="shared" si="6"/>
        <v>267147</v>
      </c>
      <c r="AR41" s="4">
        <f t="shared" si="6"/>
        <v>559842.39</v>
      </c>
      <c r="AS41" s="4">
        <f t="shared" si="6"/>
        <v>501228.54000000004</v>
      </c>
      <c r="AT41" s="4">
        <f t="shared" si="6"/>
        <v>262573.99</v>
      </c>
      <c r="AU41" s="4">
        <f t="shared" si="6"/>
        <v>-652677.78</v>
      </c>
      <c r="AV41" s="4">
        <f t="shared" si="6"/>
        <v>842520.29000000015</v>
      </c>
      <c r="AW41" s="4">
        <f t="shared" si="6"/>
        <v>451120.22000000003</v>
      </c>
      <c r="AX41" s="4">
        <f t="shared" si="6"/>
        <v>-17550.759999999998</v>
      </c>
      <c r="AY41" s="4">
        <f t="shared" si="6"/>
        <v>88780.56</v>
      </c>
      <c r="AZ41" s="4">
        <f t="shared" si="6"/>
        <v>844453.94000000006</v>
      </c>
      <c r="BA41" s="4">
        <f t="shared" si="6"/>
        <v>14489.59</v>
      </c>
      <c r="BB41" s="4">
        <f t="shared" si="6"/>
        <v>487593.17</v>
      </c>
      <c r="BC41" s="4">
        <f t="shared" si="6"/>
        <v>65621.279999999999</v>
      </c>
      <c r="BD41" s="4">
        <f t="shared" si="6"/>
        <v>1880440.14</v>
      </c>
      <c r="BE41" s="4">
        <f t="shared" si="6"/>
        <v>237725.51</v>
      </c>
      <c r="BF41" s="4">
        <f t="shared" si="0"/>
        <v>10050263.49</v>
      </c>
      <c r="BG41" s="4">
        <f t="shared" si="1"/>
        <v>6656056.6699999999</v>
      </c>
      <c r="BH41" s="4">
        <f t="shared" si="2"/>
        <v>10101224.640000001</v>
      </c>
    </row>
    <row r="42" spans="1:60" x14ac:dyDescent="0.25">
      <c r="B42" s="99"/>
      <c r="D42" s="4"/>
      <c r="BF42" s="4"/>
      <c r="BG42" s="4"/>
      <c r="BH42" s="4"/>
    </row>
    <row r="43" spans="1:60" x14ac:dyDescent="0.25">
      <c r="A43" s="93" t="s">
        <v>514</v>
      </c>
      <c r="B43" s="94" t="s">
        <v>225</v>
      </c>
      <c r="C43" s="93">
        <v>690</v>
      </c>
      <c r="D43" s="95">
        <f>'Base de données indicateurs1'!BF58</f>
        <v>55119412.039999984</v>
      </c>
      <c r="E43" s="4">
        <f>'Base de données indicateurs1'!E58</f>
        <v>1817467.61</v>
      </c>
      <c r="F43" s="4">
        <f>'Base de données indicateurs1'!F58</f>
        <v>350105.49</v>
      </c>
      <c r="G43" s="4">
        <f>'Base de données indicateurs1'!G58</f>
        <v>303230.01</v>
      </c>
      <c r="H43" s="4">
        <f>'Base de données indicateurs1'!H58</f>
        <v>122282.8</v>
      </c>
      <c r="I43" s="4">
        <f>'Base de données indicateurs1'!I58</f>
        <v>574124.02</v>
      </c>
      <c r="J43" s="4">
        <f>'Base de données indicateurs1'!J58</f>
        <v>1847431.14</v>
      </c>
      <c r="K43" s="4">
        <f>'Base de données indicateurs1'!K58</f>
        <v>1006228.34</v>
      </c>
      <c r="L43" s="4">
        <f>'Base de données indicateurs1'!L58</f>
        <v>13702597.810000001</v>
      </c>
      <c r="M43" s="4">
        <f>'Base de données indicateurs1'!M58</f>
        <v>966348.19</v>
      </c>
      <c r="N43" s="4">
        <f>'Base de données indicateurs1'!N58</f>
        <v>41267.75</v>
      </c>
      <c r="O43" s="4">
        <f>'Base de données indicateurs1'!O58</f>
        <v>3552900.5</v>
      </c>
      <c r="P43" s="4">
        <f>'Base de données indicateurs1'!P58</f>
        <v>135435.99</v>
      </c>
      <c r="Q43" s="4">
        <f>'Base de données indicateurs1'!Q58</f>
        <v>2137</v>
      </c>
      <c r="R43" s="4">
        <f>'Base de données indicateurs1'!R58</f>
        <v>35597.1</v>
      </c>
      <c r="S43" s="4">
        <f>'Base de données indicateurs1'!S58</f>
        <v>12586.05</v>
      </c>
      <c r="T43" s="4">
        <f>'Base de données indicateurs1'!T58</f>
        <v>246921.63</v>
      </c>
      <c r="U43" s="4">
        <f>'Base de données indicateurs1'!U58</f>
        <v>475208.2</v>
      </c>
      <c r="V43" s="4">
        <v>217980.51</v>
      </c>
      <c r="W43" s="4">
        <f>'Base de données indicateurs1'!W58</f>
        <v>3657738.51</v>
      </c>
      <c r="X43" s="4">
        <f>'Base de données indicateurs1'!X58</f>
        <v>120441.4</v>
      </c>
      <c r="Y43" s="4">
        <f>'Base de données indicateurs1'!Y58</f>
        <v>1082163</v>
      </c>
      <c r="Z43" s="4">
        <f>'Base de données indicateurs1'!Z58</f>
        <v>449610.71</v>
      </c>
      <c r="AA43" s="4">
        <f>'Base de données indicateurs1'!AA58</f>
        <v>195639.65</v>
      </c>
      <c r="AB43" s="4">
        <f>'Base de données indicateurs1'!AB58</f>
        <v>651324.15</v>
      </c>
      <c r="AC43" s="4">
        <f>'Base de données indicateurs1'!AC58</f>
        <v>758577.75</v>
      </c>
      <c r="AD43" s="4">
        <f>'Base de données indicateurs1'!AD58</f>
        <v>236241.6</v>
      </c>
      <c r="AE43" s="4">
        <f>'Base de données indicateurs1'!AE58</f>
        <v>560601.35</v>
      </c>
      <c r="AF43" s="4">
        <f>'Base de données indicateurs1'!AF58</f>
        <v>592880.19999999995</v>
      </c>
      <c r="AG43" s="4">
        <f>'Base de données indicateurs1'!AG58</f>
        <v>1120256.05</v>
      </c>
      <c r="AH43" s="4">
        <f>'Base de données indicateurs1'!AH58</f>
        <v>482214.3</v>
      </c>
      <c r="AI43" s="4">
        <f>'Base de données indicateurs1'!AI58</f>
        <v>208776.05</v>
      </c>
      <c r="AJ43" s="4">
        <f>'Base de données indicateurs1'!AJ58</f>
        <v>228249.65</v>
      </c>
      <c r="AK43" s="4">
        <f>'Base de données indicateurs1'!AK58</f>
        <v>2587328.1</v>
      </c>
      <c r="AL43" s="4">
        <f>'Base de données indicateurs1'!AL58</f>
        <v>607952.1</v>
      </c>
      <c r="AM43" s="4">
        <f>'Base de données indicateurs1'!AM58</f>
        <v>359831.66</v>
      </c>
      <c r="AN43" s="4">
        <f>'Base de données indicateurs1'!AN58</f>
        <v>15191.1</v>
      </c>
      <c r="AO43" s="4">
        <f>'Base de données indicateurs1'!AO58</f>
        <v>1300821.51</v>
      </c>
      <c r="AP43" s="4">
        <f>'Base de données indicateurs1'!AP58</f>
        <v>407340.9</v>
      </c>
      <c r="AQ43" s="4">
        <f>'Base de données indicateurs1'!AQ58</f>
        <v>529522</v>
      </c>
      <c r="AR43" s="4">
        <f>'Base de données indicateurs1'!AR58</f>
        <v>2561966.7000000002</v>
      </c>
      <c r="AS43" s="4">
        <f>'Base de données indicateurs1'!AS58</f>
        <v>190136.45</v>
      </c>
      <c r="AT43" s="4">
        <f>'Base de données indicateurs1'!AT58</f>
        <v>1378844.35</v>
      </c>
      <c r="AU43" s="4">
        <f>'Base de données indicateurs1'!AU58</f>
        <v>69113</v>
      </c>
      <c r="AV43" s="4">
        <f>'Base de données indicateurs1'!AV58</f>
        <v>611861.4</v>
      </c>
      <c r="AW43" s="4">
        <f>'Base de données indicateurs1'!AW58</f>
        <v>342404.75</v>
      </c>
      <c r="AX43" s="4">
        <f>'Base de données indicateurs1'!AX58</f>
        <v>0</v>
      </c>
      <c r="AY43" s="4">
        <f>'Base de données indicateurs1'!AY58</f>
        <v>24663.3</v>
      </c>
      <c r="AZ43" s="4">
        <f>'Base de données indicateurs1'!AZ58</f>
        <v>17061.55</v>
      </c>
      <c r="BA43" s="4">
        <f>'Base de données indicateurs1'!BA58</f>
        <v>722496</v>
      </c>
      <c r="BB43" s="4">
        <f>'Base de données indicateurs1'!BB58</f>
        <v>1057290.32</v>
      </c>
      <c r="BC43" s="4">
        <f>'Base de données indicateurs1'!BC58</f>
        <v>72697.2</v>
      </c>
      <c r="BD43" s="4">
        <f>'Base de données indicateurs1'!BD58</f>
        <v>6553486.2199999997</v>
      </c>
      <c r="BE43" s="4">
        <f>'Base de données indicateurs1'!BE58</f>
        <v>104880.05</v>
      </c>
      <c r="BF43" s="4">
        <f t="shared" si="0"/>
        <v>29067588.649999999</v>
      </c>
      <c r="BG43" s="4">
        <f t="shared" si="1"/>
        <v>6686975.8599999994</v>
      </c>
      <c r="BH43" s="4">
        <f t="shared" si="2"/>
        <v>19514888.660000004</v>
      </c>
    </row>
    <row r="44" spans="1:60" x14ac:dyDescent="0.25">
      <c r="A44" s="96" t="s">
        <v>515</v>
      </c>
      <c r="B44" s="97" t="s">
        <v>226</v>
      </c>
      <c r="C44" s="96">
        <v>590</v>
      </c>
      <c r="D44" s="98">
        <f>'Base de données indicateurs1'!BF61</f>
        <v>16057375.180000002</v>
      </c>
      <c r="E44" s="4">
        <f>'Base de données indicateurs1'!E61</f>
        <v>320010.90000000002</v>
      </c>
      <c r="F44" s="4">
        <f>'Base de données indicateurs1'!F61</f>
        <v>202473.55</v>
      </c>
      <c r="G44" s="4">
        <f>'Base de données indicateurs1'!G61</f>
        <v>243621.8</v>
      </c>
      <c r="H44" s="4">
        <f>'Base de données indicateurs1'!H61</f>
        <v>0</v>
      </c>
      <c r="I44" s="4">
        <f>'Base de données indicateurs1'!I61</f>
        <v>144993.79999999999</v>
      </c>
      <c r="J44" s="4">
        <f>'Base de données indicateurs1'!J61</f>
        <v>1305025.21</v>
      </c>
      <c r="K44" s="4">
        <f>'Base de données indicateurs1'!K61</f>
        <v>390647.25</v>
      </c>
      <c r="L44" s="4">
        <f>'Base de données indicateurs1'!L61</f>
        <v>1561026.7</v>
      </c>
      <c r="M44" s="4">
        <f>'Base de données indicateurs1'!M61</f>
        <v>170087.9</v>
      </c>
      <c r="N44" s="4">
        <f>'Base de données indicateurs1'!N61</f>
        <v>0</v>
      </c>
      <c r="O44" s="4">
        <f>'Base de données indicateurs1'!O61</f>
        <v>668476.35</v>
      </c>
      <c r="P44" s="4">
        <f>'Base de données indicateurs1'!P61</f>
        <v>13158.1</v>
      </c>
      <c r="Q44" s="4">
        <f>'Base de données indicateurs1'!Q61</f>
        <v>0</v>
      </c>
      <c r="R44" s="4">
        <f>'Base de données indicateurs1'!R61</f>
        <v>0</v>
      </c>
      <c r="S44" s="4">
        <f>'Base de données indicateurs1'!S61</f>
        <v>83953</v>
      </c>
      <c r="T44" s="4">
        <f>'Base de données indicateurs1'!T61</f>
        <v>0</v>
      </c>
      <c r="U44" s="4">
        <f>'Base de données indicateurs1'!U61</f>
        <v>406138.5</v>
      </c>
      <c r="V44" s="4">
        <v>312999.09999999998</v>
      </c>
      <c r="W44" s="4">
        <f>'Base de données indicateurs1'!W61</f>
        <v>1476429.1</v>
      </c>
      <c r="X44" s="4">
        <f>'Base de données indicateurs1'!X61</f>
        <v>60000</v>
      </c>
      <c r="Y44" s="4">
        <f>'Base de données indicateurs1'!Y61</f>
        <v>712474.95</v>
      </c>
      <c r="Z44" s="4">
        <f>'Base de données indicateurs1'!Z61</f>
        <v>0</v>
      </c>
      <c r="AA44" s="4">
        <f>'Base de données indicateurs1'!AA61</f>
        <v>14730</v>
      </c>
      <c r="AB44" s="4">
        <f>'Base de données indicateurs1'!AB61</f>
        <v>220439</v>
      </c>
      <c r="AC44" s="4">
        <f>'Base de données indicateurs1'!AC61</f>
        <v>148468.4</v>
      </c>
      <c r="AD44" s="4">
        <f>'Base de données indicateurs1'!AD61</f>
        <v>388199.1</v>
      </c>
      <c r="AE44" s="4">
        <f>'Base de données indicateurs1'!AE61</f>
        <v>515846.5</v>
      </c>
      <c r="AF44" s="4">
        <f>'Base de données indicateurs1'!AF61</f>
        <v>216238</v>
      </c>
      <c r="AG44" s="4">
        <f>'Base de données indicateurs1'!AG61</f>
        <v>109279.25</v>
      </c>
      <c r="AH44" s="4">
        <f>'Base de données indicateurs1'!AH61</f>
        <v>40614</v>
      </c>
      <c r="AI44" s="4">
        <f>'Base de données indicateurs1'!AI61</f>
        <v>96348.43</v>
      </c>
      <c r="AJ44" s="4">
        <f>'Base de données indicateurs1'!AJ61</f>
        <v>204729</v>
      </c>
      <c r="AK44" s="4">
        <f>'Base de données indicateurs1'!AK61</f>
        <v>1039322.15</v>
      </c>
      <c r="AL44" s="4">
        <f>'Base de données indicateurs1'!AL61</f>
        <v>286701.09999999998</v>
      </c>
      <c r="AM44" s="4">
        <f>'Base de données indicateurs1'!AM61</f>
        <v>139977</v>
      </c>
      <c r="AN44" s="4">
        <f>'Base de données indicateurs1'!AN61</f>
        <v>744467.39</v>
      </c>
      <c r="AO44" s="4">
        <f>'Base de données indicateurs1'!AO61</f>
        <v>88171.45</v>
      </c>
      <c r="AP44" s="4">
        <f>'Base de données indicateurs1'!AP61</f>
        <v>97134.65</v>
      </c>
      <c r="AQ44" s="4">
        <f>'Base de données indicateurs1'!AQ61</f>
        <v>10889</v>
      </c>
      <c r="AR44" s="4">
        <f>'Base de données indicateurs1'!AR61</f>
        <v>692740.3</v>
      </c>
      <c r="AS44" s="4">
        <f>'Base de données indicateurs1'!AS61</f>
        <v>77000</v>
      </c>
      <c r="AT44" s="4">
        <f>'Base de données indicateurs1'!AT61</f>
        <v>206000</v>
      </c>
      <c r="AU44" s="4">
        <f>'Base de données indicateurs1'!AU61</f>
        <v>188423.5</v>
      </c>
      <c r="AV44" s="4">
        <f>'Base de données indicateurs1'!AV61</f>
        <v>27500</v>
      </c>
      <c r="AW44" s="4">
        <f>'Base de données indicateurs1'!AW61</f>
        <v>0</v>
      </c>
      <c r="AX44" s="4">
        <f>'Base de données indicateurs1'!AX61</f>
        <v>0</v>
      </c>
      <c r="AY44" s="4">
        <f>'Base de données indicateurs1'!AY61</f>
        <v>13795</v>
      </c>
      <c r="AZ44" s="4">
        <f>'Base de données indicateurs1'!AZ61</f>
        <v>4852.3500000000004</v>
      </c>
      <c r="BA44" s="4">
        <f>'Base de données indicateurs1'!BA61</f>
        <v>160000</v>
      </c>
      <c r="BB44" s="4">
        <f>'Base de données indicateurs1'!BB61</f>
        <v>9142</v>
      </c>
      <c r="BC44" s="4">
        <f>'Base de données indicateurs1'!BC61</f>
        <v>0</v>
      </c>
      <c r="BD44" s="4">
        <f>'Base de données indicateurs1'!BD61</f>
        <v>2529747.5</v>
      </c>
      <c r="BE44" s="4">
        <f>'Base de données indicateurs1'!BE61</f>
        <v>0</v>
      </c>
      <c r="BF44" s="4">
        <f t="shared" si="0"/>
        <v>7299041.2599999998</v>
      </c>
      <c r="BG44" s="4">
        <f t="shared" si="1"/>
        <v>2727366.63</v>
      </c>
      <c r="BH44" s="4">
        <f t="shared" si="2"/>
        <v>6315863.3900000006</v>
      </c>
    </row>
    <row r="45" spans="1:60" ht="15.75" thickBot="1" x14ac:dyDescent="0.3">
      <c r="B45" s="92"/>
      <c r="D45" s="4"/>
      <c r="BF45" s="4"/>
      <c r="BG45" s="4"/>
      <c r="BH45" s="4"/>
    </row>
    <row r="46" spans="1:60" ht="15.75" thickBot="1" x14ac:dyDescent="0.3">
      <c r="A46" s="7" t="s">
        <v>221</v>
      </c>
      <c r="B46" s="104"/>
      <c r="C46" s="7"/>
      <c r="D46" s="100">
        <f>D43-D44</f>
        <v>39062036.859999985</v>
      </c>
      <c r="E46" s="4">
        <f>E43-E44</f>
        <v>1497456.71</v>
      </c>
      <c r="F46" s="4">
        <f t="shared" ref="F46:BE46" si="7">F43-F44</f>
        <v>147631.94</v>
      </c>
      <c r="G46" s="4">
        <f t="shared" si="7"/>
        <v>59608.210000000021</v>
      </c>
      <c r="H46" s="4">
        <f t="shared" si="7"/>
        <v>122282.8</v>
      </c>
      <c r="I46" s="4">
        <f t="shared" si="7"/>
        <v>429130.22000000003</v>
      </c>
      <c r="J46" s="4">
        <f t="shared" si="7"/>
        <v>542405.92999999993</v>
      </c>
      <c r="K46" s="4">
        <f t="shared" si="7"/>
        <v>615581.09</v>
      </c>
      <c r="L46" s="4">
        <f t="shared" si="7"/>
        <v>12141571.110000001</v>
      </c>
      <c r="M46" s="4">
        <f t="shared" si="7"/>
        <v>796260.28999999992</v>
      </c>
      <c r="N46" s="4">
        <f t="shared" si="7"/>
        <v>41267.75</v>
      </c>
      <c r="O46" s="4">
        <f t="shared" si="7"/>
        <v>2884424.15</v>
      </c>
      <c r="P46" s="4">
        <f t="shared" si="7"/>
        <v>122277.88999999998</v>
      </c>
      <c r="Q46" s="4">
        <f t="shared" si="7"/>
        <v>2137</v>
      </c>
      <c r="R46" s="4">
        <f t="shared" si="7"/>
        <v>35597.1</v>
      </c>
      <c r="S46" s="4">
        <f t="shared" si="7"/>
        <v>-71366.95</v>
      </c>
      <c r="T46" s="4">
        <f t="shared" si="7"/>
        <v>246921.63</v>
      </c>
      <c r="U46" s="4">
        <f t="shared" si="7"/>
        <v>69069.700000000012</v>
      </c>
      <c r="V46" s="4">
        <f t="shared" si="7"/>
        <v>-95018.589999999967</v>
      </c>
      <c r="W46" s="4">
        <f t="shared" si="7"/>
        <v>2181309.4099999997</v>
      </c>
      <c r="X46" s="4">
        <f t="shared" si="7"/>
        <v>60441.399999999994</v>
      </c>
      <c r="Y46" s="4">
        <f t="shared" si="7"/>
        <v>369688.05000000005</v>
      </c>
      <c r="Z46" s="4">
        <f t="shared" si="7"/>
        <v>449610.71</v>
      </c>
      <c r="AA46" s="4">
        <f t="shared" si="7"/>
        <v>180909.65</v>
      </c>
      <c r="AB46" s="4">
        <f t="shared" si="7"/>
        <v>430885.15</v>
      </c>
      <c r="AC46" s="4">
        <f t="shared" si="7"/>
        <v>610109.35</v>
      </c>
      <c r="AD46" s="4">
        <f t="shared" si="7"/>
        <v>-151957.49999999997</v>
      </c>
      <c r="AE46" s="4">
        <f t="shared" si="7"/>
        <v>44754.849999999977</v>
      </c>
      <c r="AF46" s="4">
        <f t="shared" si="7"/>
        <v>376642.19999999995</v>
      </c>
      <c r="AG46" s="4">
        <f t="shared" si="7"/>
        <v>1010976.8</v>
      </c>
      <c r="AH46" s="4">
        <f t="shared" si="7"/>
        <v>441600.3</v>
      </c>
      <c r="AI46" s="4">
        <f t="shared" si="7"/>
        <v>112427.62</v>
      </c>
      <c r="AJ46" s="4">
        <f t="shared" si="7"/>
        <v>23520.649999999994</v>
      </c>
      <c r="AK46" s="4">
        <f t="shared" si="7"/>
        <v>1548005.9500000002</v>
      </c>
      <c r="AL46" s="4">
        <f t="shared" si="7"/>
        <v>321251</v>
      </c>
      <c r="AM46" s="4">
        <f t="shared" si="7"/>
        <v>219854.65999999997</v>
      </c>
      <c r="AN46" s="4">
        <f t="shared" si="7"/>
        <v>-729276.29</v>
      </c>
      <c r="AO46" s="4">
        <f t="shared" si="7"/>
        <v>1212650.06</v>
      </c>
      <c r="AP46" s="4">
        <f t="shared" si="7"/>
        <v>310206.25</v>
      </c>
      <c r="AQ46" s="4">
        <f t="shared" si="7"/>
        <v>518633</v>
      </c>
      <c r="AR46" s="4">
        <f t="shared" si="7"/>
        <v>1869226.4000000001</v>
      </c>
      <c r="AS46" s="4">
        <f t="shared" si="7"/>
        <v>113136.45000000001</v>
      </c>
      <c r="AT46" s="4">
        <f t="shared" si="7"/>
        <v>1172844.3500000001</v>
      </c>
      <c r="AU46" s="4">
        <f t="shared" si="7"/>
        <v>-119310.5</v>
      </c>
      <c r="AV46" s="4">
        <f t="shared" si="7"/>
        <v>584361.4</v>
      </c>
      <c r="AW46" s="4">
        <f t="shared" si="7"/>
        <v>342404.75</v>
      </c>
      <c r="AX46" s="4">
        <f t="shared" si="7"/>
        <v>0</v>
      </c>
      <c r="AY46" s="4">
        <f t="shared" si="7"/>
        <v>10868.3</v>
      </c>
      <c r="AZ46" s="4">
        <f t="shared" si="7"/>
        <v>12209.199999999999</v>
      </c>
      <c r="BA46" s="4">
        <f t="shared" si="7"/>
        <v>562496</v>
      </c>
      <c r="BB46" s="4">
        <f t="shared" si="7"/>
        <v>1048148.3200000001</v>
      </c>
      <c r="BC46" s="4">
        <f t="shared" si="7"/>
        <v>72697.2</v>
      </c>
      <c r="BD46" s="4">
        <f t="shared" si="7"/>
        <v>4023738.7199999997</v>
      </c>
      <c r="BE46" s="4">
        <f t="shared" si="7"/>
        <v>104880.05</v>
      </c>
      <c r="BF46" s="4">
        <f t="shared" si="0"/>
        <v>21768547.390000001</v>
      </c>
      <c r="BG46" s="4">
        <f t="shared" si="1"/>
        <v>3959609.23</v>
      </c>
      <c r="BH46" s="4">
        <f t="shared" si="2"/>
        <v>13199025.27</v>
      </c>
    </row>
    <row r="47" spans="1:60" ht="15.75" thickBot="1" x14ac:dyDescent="0.3">
      <c r="B47" s="92"/>
      <c r="D47" s="4"/>
      <c r="BF47" s="4"/>
      <c r="BG47" s="4"/>
      <c r="BH47" s="4"/>
    </row>
    <row r="48" spans="1:60" ht="15.75" thickBot="1" x14ac:dyDescent="0.3">
      <c r="A48" s="7" t="s">
        <v>516</v>
      </c>
      <c r="B48" s="104"/>
      <c r="C48" s="7"/>
      <c r="D48" s="100">
        <f>IF(D46&lt;&gt;0,D41/D46,"")*100</f>
        <v>68.628128369443161</v>
      </c>
      <c r="E48" s="117">
        <f>IF(E46&lt;&gt;0,E41/E46,"")*100</f>
        <v>6.3245173878849563</v>
      </c>
      <c r="F48" s="31">
        <f t="shared" ref="F48:BH48" si="8">IF(F46&lt;&gt;0,F41/F46,"")*100</f>
        <v>33.122256606531082</v>
      </c>
      <c r="G48" s="31">
        <f t="shared" si="8"/>
        <v>-61.478611754991462</v>
      </c>
      <c r="H48" s="31">
        <f t="shared" si="8"/>
        <v>67.958314660769943</v>
      </c>
      <c r="I48" s="31">
        <f t="shared" si="8"/>
        <v>354.13259872492779</v>
      </c>
      <c r="J48" s="31">
        <f t="shared" si="8"/>
        <v>255.005257778063</v>
      </c>
      <c r="K48" s="31">
        <f t="shared" si="8"/>
        <v>99.490863177749674</v>
      </c>
      <c r="L48" s="31">
        <f t="shared" si="8"/>
        <v>6.0195344027433659</v>
      </c>
      <c r="M48" s="31">
        <f t="shared" si="8"/>
        <v>72.505194249985777</v>
      </c>
      <c r="N48" s="31">
        <f t="shared" si="8"/>
        <v>114.31272603909832</v>
      </c>
      <c r="O48" s="31">
        <f>IF(O46&lt;&gt;0,O41/O46,"")*100</f>
        <v>92.118045468451669</v>
      </c>
      <c r="P48" s="31">
        <f t="shared" si="8"/>
        <v>91.130702369823368</v>
      </c>
      <c r="Q48" s="31">
        <f t="shared" si="8"/>
        <v>-632.52503509592896</v>
      </c>
      <c r="R48" s="31">
        <f t="shared" si="8"/>
        <v>360.76329251540159</v>
      </c>
      <c r="S48" s="31">
        <f t="shared" si="8"/>
        <v>-33.62513039999606</v>
      </c>
      <c r="T48" s="31">
        <f t="shared" si="8"/>
        <v>173.60155932876353</v>
      </c>
      <c r="U48" s="31">
        <f t="shared" si="8"/>
        <v>57.321140818622332</v>
      </c>
      <c r="V48" s="31">
        <f t="shared" si="8"/>
        <v>186.11054952509824</v>
      </c>
      <c r="W48" s="31">
        <f t="shared" si="8"/>
        <v>82.093375281409536</v>
      </c>
      <c r="X48" s="31">
        <f t="shared" si="8"/>
        <v>400.56166799577773</v>
      </c>
      <c r="Y48" s="31">
        <f t="shared" si="8"/>
        <v>515.86463506191228</v>
      </c>
      <c r="Z48" s="31">
        <f>IF(Z46&lt;&gt;0,Z41/Z46,"")*100</f>
        <v>309.42976425094497</v>
      </c>
      <c r="AA48" s="31">
        <f t="shared" si="8"/>
        <v>34.366939519257265</v>
      </c>
      <c r="AB48" s="31">
        <f t="shared" si="8"/>
        <v>-5.941894261150563</v>
      </c>
      <c r="AC48" s="31">
        <f t="shared" si="8"/>
        <v>-38.845803625202599</v>
      </c>
      <c r="AD48" s="31">
        <f t="shared" si="8"/>
        <v>-127.17553921326687</v>
      </c>
      <c r="AE48" s="31">
        <f t="shared" si="8"/>
        <v>2.8141531029598084</v>
      </c>
      <c r="AF48" s="31">
        <f t="shared" si="8"/>
        <v>-18.309560107709661</v>
      </c>
      <c r="AG48" s="31">
        <f t="shared" si="8"/>
        <v>156.59078328998251</v>
      </c>
      <c r="AH48" s="31">
        <f t="shared" si="8"/>
        <v>329.34156294730781</v>
      </c>
      <c r="AI48" s="31">
        <f t="shared" si="8"/>
        <v>93.40364938793509</v>
      </c>
      <c r="AJ48" s="31">
        <f t="shared" si="8"/>
        <v>204.21119314304673</v>
      </c>
      <c r="AK48" s="31">
        <f t="shared" si="8"/>
        <v>102.56423368398551</v>
      </c>
      <c r="AL48" s="31">
        <f t="shared" si="8"/>
        <v>127.34279426367546</v>
      </c>
      <c r="AM48" s="31">
        <f t="shared" si="8"/>
        <v>162.79002228108334</v>
      </c>
      <c r="AN48" s="31">
        <f t="shared" si="8"/>
        <v>-4.9527141489818609</v>
      </c>
      <c r="AO48" s="31">
        <f t="shared" si="8"/>
        <v>130.50799337774328</v>
      </c>
      <c r="AP48" s="31">
        <f t="shared" si="8"/>
        <v>94.936978220135813</v>
      </c>
      <c r="AQ48" s="31">
        <f t="shared" si="8"/>
        <v>51.50983450725272</v>
      </c>
      <c r="AR48" s="31">
        <f t="shared" si="8"/>
        <v>29.950485933646132</v>
      </c>
      <c r="AS48" s="31">
        <f t="shared" si="8"/>
        <v>443.03011098545164</v>
      </c>
      <c r="AT48" s="31">
        <f t="shared" si="8"/>
        <v>22.387795106827259</v>
      </c>
      <c r="AU48" s="31">
        <f t="shared" si="8"/>
        <v>547.04135847222176</v>
      </c>
      <c r="AV48" s="31">
        <f t="shared" si="8"/>
        <v>144.17795049433454</v>
      </c>
      <c r="AW48" s="31">
        <f t="shared" si="8"/>
        <v>131.75057296956308</v>
      </c>
      <c r="AX48" s="31" t="e">
        <f t="shared" si="8"/>
        <v>#VALUE!</v>
      </c>
      <c r="AY48" s="31">
        <f t="shared" si="8"/>
        <v>816.8762363939162</v>
      </c>
      <c r="AZ48" s="31">
        <f t="shared" si="8"/>
        <v>6916.5378566982281</v>
      </c>
      <c r="BA48" s="31">
        <f t="shared" si="8"/>
        <v>2.5759454289452726</v>
      </c>
      <c r="BB48" s="31">
        <f t="shared" si="8"/>
        <v>46.519482090091977</v>
      </c>
      <c r="BC48" s="31">
        <f t="shared" si="8"/>
        <v>90.266585232993847</v>
      </c>
      <c r="BD48" s="31">
        <f t="shared" si="8"/>
        <v>46.733654216991503</v>
      </c>
      <c r="BE48" s="31">
        <f t="shared" si="8"/>
        <v>226.66418446596853</v>
      </c>
      <c r="BF48" s="31">
        <f t="shared" si="8"/>
        <v>46.168737444634793</v>
      </c>
      <c r="BG48" s="31">
        <f t="shared" si="8"/>
        <v>168.0988270148062</v>
      </c>
      <c r="BH48" s="31">
        <f t="shared" si="8"/>
        <v>76.530080315544396</v>
      </c>
    </row>
    <row r="49" spans="1:2" x14ac:dyDescent="0.25">
      <c r="A49" s="102" t="s">
        <v>517</v>
      </c>
      <c r="B49" s="92"/>
    </row>
    <row r="50" spans="1:2" x14ac:dyDescent="0.25">
      <c r="B50" s="92"/>
    </row>
  </sheetData>
  <mergeCells count="1">
    <mergeCell ref="A8:D8"/>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5" tint="0.59999389629810485"/>
  </sheetPr>
  <dimension ref="A5:BH43"/>
  <sheetViews>
    <sheetView zoomScaleNormal="100" workbookViewId="0">
      <selection activeCell="BE40" sqref="BE40"/>
    </sheetView>
  </sheetViews>
  <sheetFormatPr baseColWidth="10" defaultColWidth="11.42578125" defaultRowHeight="15" x14ac:dyDescent="0.25"/>
  <cols>
    <col min="1" max="1" width="51.85546875" customWidth="1"/>
    <col min="2" max="2" width="7.42578125" customWidth="1"/>
    <col min="4" max="4" width="22.85546875" customWidth="1"/>
    <col min="5" max="60" width="15.7109375" customWidth="1"/>
  </cols>
  <sheetData>
    <row r="5" spans="1:60" x14ac:dyDescent="0.25">
      <c r="B5" s="124"/>
    </row>
    <row r="8" spans="1:60" ht="18.75" x14ac:dyDescent="0.3">
      <c r="A8" s="157" t="s">
        <v>494</v>
      </c>
      <c r="B8" s="157"/>
      <c r="C8" s="157"/>
      <c r="D8" s="157"/>
    </row>
    <row r="10" spans="1:60" x14ac:dyDescent="0.25">
      <c r="A10" s="7" t="s">
        <v>518</v>
      </c>
      <c r="B10" s="92"/>
      <c r="C10" s="53" t="s">
        <v>496</v>
      </c>
      <c r="D10" s="53" t="s">
        <v>497</v>
      </c>
      <c r="E10" s="119">
        <f>'4.1 Comptes 2021 natures'!E2</f>
        <v>947</v>
      </c>
      <c r="F10" s="119">
        <f>'4.1 Comptes 2021 natures'!F2</f>
        <v>265</v>
      </c>
      <c r="G10" s="119">
        <f>'4.1 Comptes 2021 natures'!G2</f>
        <v>469</v>
      </c>
      <c r="H10" s="119">
        <f>'4.1 Comptes 2021 natures'!H2</f>
        <v>439</v>
      </c>
      <c r="I10" s="119">
        <f>'4.1 Comptes 2021 natures'!I2</f>
        <v>3728</v>
      </c>
      <c r="J10" s="119">
        <f>'4.1 Comptes 2021 natures'!J2</f>
        <v>3345</v>
      </c>
      <c r="K10" s="119">
        <f>'4.1 Comptes 2021 natures'!K2</f>
        <v>2652</v>
      </c>
      <c r="L10" s="119">
        <f>'4.1 Comptes 2021 natures'!L2</f>
        <v>12479</v>
      </c>
      <c r="M10" s="119">
        <f>'4.1 Comptes 2021 natures'!M2</f>
        <v>1359</v>
      </c>
      <c r="N10" s="119">
        <f>'4.1 Comptes 2021 natures'!N2</f>
        <v>117</v>
      </c>
      <c r="O10" s="119">
        <f>'4.1 Comptes 2021 natures'!O2</f>
        <v>7261</v>
      </c>
      <c r="P10" s="119">
        <f>'4.1 Comptes 2021 natures'!P2</f>
        <v>538</v>
      </c>
      <c r="Q10" s="119">
        <f>'4.1 Comptes 2021 natures'!Q2</f>
        <v>111</v>
      </c>
      <c r="R10" s="119">
        <f>'4.1 Comptes 2021 natures'!R2</f>
        <v>421</v>
      </c>
      <c r="S10" s="119">
        <f>'4.1 Comptes 2021 natures'!S2</f>
        <v>346</v>
      </c>
      <c r="T10" s="119">
        <f>'4.1 Comptes 2021 natures'!T2</f>
        <v>710</v>
      </c>
      <c r="U10" s="119">
        <f>'4.1 Comptes 2021 natures'!U2</f>
        <v>269</v>
      </c>
      <c r="V10" s="119">
        <f>'4.1 Comptes 2021 natures'!V2</f>
        <v>440</v>
      </c>
      <c r="W10" s="119">
        <f>'4.1 Comptes 2021 natures'!W2</f>
        <v>3229</v>
      </c>
      <c r="X10" s="120">
        <f>'4.1 Comptes 2021 natures'!X2</f>
        <v>310</v>
      </c>
      <c r="Y10" s="120">
        <f>'4.1 Comptes 2021 natures'!Y2</f>
        <v>1270</v>
      </c>
      <c r="Z10" s="120">
        <f>'4.1 Comptes 2021 natures'!Z2</f>
        <v>1506</v>
      </c>
      <c r="AA10" s="120">
        <f>'4.1 Comptes 2021 natures'!AA2</f>
        <v>96</v>
      </c>
      <c r="AB10" s="120">
        <f>'4.1 Comptes 2021 natures'!AB2</f>
        <v>148</v>
      </c>
      <c r="AC10" s="120">
        <f>'4.1 Comptes 2021 natures'!AC2</f>
        <v>518</v>
      </c>
      <c r="AD10" s="120">
        <f>'4.1 Comptes 2021 natures'!AD2</f>
        <v>701</v>
      </c>
      <c r="AE10" s="120">
        <f>'4.1 Comptes 2021 natures'!AE2</f>
        <v>564</v>
      </c>
      <c r="AF10" s="120">
        <f>'4.1 Comptes 2021 natures'!AF2</f>
        <v>525</v>
      </c>
      <c r="AG10" s="120">
        <f>'4.1 Comptes 2021 natures'!AG2</f>
        <v>1909</v>
      </c>
      <c r="AH10" s="120">
        <f>'4.1 Comptes 2021 natures'!AH2</f>
        <v>2580</v>
      </c>
      <c r="AI10" s="120">
        <f>'4.1 Comptes 2021 natures'!AI2</f>
        <v>222</v>
      </c>
      <c r="AJ10" s="120">
        <f>'4.1 Comptes 2021 natures'!AJ2</f>
        <v>129</v>
      </c>
      <c r="AK10" s="121">
        <f>'4.1 Comptes 2021 natures'!AK2</f>
        <v>1891</v>
      </c>
      <c r="AL10" s="121">
        <f>'4.1 Comptes 2021 natures'!AL2</f>
        <v>1126</v>
      </c>
      <c r="AM10" s="121">
        <f>'4.1 Comptes 2021 natures'!AM2</f>
        <v>1225</v>
      </c>
      <c r="AN10" s="121">
        <f>'4.1 Comptes 2021 natures'!AN2</f>
        <v>117</v>
      </c>
      <c r="AO10" s="121">
        <f>'4.1 Comptes 2021 natures'!AO2</f>
        <v>1185</v>
      </c>
      <c r="AP10" s="121">
        <f>'4.1 Comptes 2021 natures'!AP2</f>
        <v>642</v>
      </c>
      <c r="AQ10" s="121">
        <f>'4.1 Comptes 2021 natures'!AQ2</f>
        <v>633</v>
      </c>
      <c r="AR10" s="121">
        <f>'4.1 Comptes 2021 natures'!AR2</f>
        <v>1284</v>
      </c>
      <c r="AS10" s="121">
        <f>'4.1 Comptes 2021 natures'!AS2</f>
        <v>731</v>
      </c>
      <c r="AT10" s="121">
        <f>'4.1 Comptes 2021 natures'!AT2</f>
        <v>1016</v>
      </c>
      <c r="AU10" s="121">
        <f>'4.1 Comptes 2021 natures'!AU2</f>
        <v>304</v>
      </c>
      <c r="AV10" s="121">
        <f>'4.1 Comptes 2021 natures'!AV2</f>
        <v>2412</v>
      </c>
      <c r="AW10" s="121">
        <f>'4.1 Comptes 2021 natures'!AW2</f>
        <v>735</v>
      </c>
      <c r="AX10" s="121">
        <f>'4.1 Comptes 2021 natures'!AX2</f>
        <v>185</v>
      </c>
      <c r="AY10" s="121">
        <f>'4.1 Comptes 2021 natures'!AY2</f>
        <v>340</v>
      </c>
      <c r="AZ10" s="121">
        <f>'4.1 Comptes 2021 natures'!AZ2</f>
        <v>1697</v>
      </c>
      <c r="BA10" s="121">
        <f>'4.1 Comptes 2021 natures'!BA2</f>
        <v>390</v>
      </c>
      <c r="BB10" s="121">
        <f>'4.1 Comptes 2021 natures'!BB2</f>
        <v>1073</v>
      </c>
      <c r="BC10" s="121">
        <f>'4.1 Comptes 2021 natures'!BC2</f>
        <v>184</v>
      </c>
      <c r="BD10" s="121">
        <f>'4.1 Comptes 2021 natures'!BD2</f>
        <v>6466</v>
      </c>
      <c r="BE10" s="121">
        <f>'4.1 Comptes 2021 natures'!BE2</f>
        <v>559</v>
      </c>
      <c r="BF10" s="122" t="str">
        <f>'4.1 Comptes 2021 natures'!BG2</f>
        <v>ct</v>
      </c>
      <c r="BG10" s="122">
        <f>'4.1 Comptes 2021 natures'!BH2</f>
        <v>10478</v>
      </c>
      <c r="BH10" s="1">
        <f>'4.1 Comptes 2021 natures'!BI2</f>
        <v>24195</v>
      </c>
    </row>
    <row r="11" spans="1:60" x14ac:dyDescent="0.25">
      <c r="B11" s="92"/>
      <c r="E11" s="33" t="s">
        <v>56</v>
      </c>
      <c r="F11" s="33" t="s">
        <v>18</v>
      </c>
      <c r="G11" s="33" t="s">
        <v>57</v>
      </c>
      <c r="H11" s="33" t="s">
        <v>53</v>
      </c>
      <c r="I11" s="33" t="s">
        <v>33</v>
      </c>
      <c r="J11" s="33" t="s">
        <v>10</v>
      </c>
      <c r="K11" s="33" t="s">
        <v>15</v>
      </c>
      <c r="L11" s="33" t="s">
        <v>28</v>
      </c>
      <c r="M11" s="33" t="s">
        <v>42</v>
      </c>
      <c r="N11" s="33" t="s">
        <v>23</v>
      </c>
      <c r="O11" s="33" t="s">
        <v>22</v>
      </c>
      <c r="P11" s="33" t="s">
        <v>13</v>
      </c>
      <c r="Q11" s="33" t="s">
        <v>17</v>
      </c>
      <c r="R11" s="33" t="s">
        <v>43</v>
      </c>
      <c r="S11" s="33" t="s">
        <v>40</v>
      </c>
      <c r="T11" s="33" t="s">
        <v>31</v>
      </c>
      <c r="U11" s="33" t="s">
        <v>12</v>
      </c>
      <c r="V11" s="33" t="s">
        <v>59</v>
      </c>
      <c r="W11" s="33" t="s">
        <v>27</v>
      </c>
      <c r="X11" s="34" t="s">
        <v>30</v>
      </c>
      <c r="Y11" s="34" t="s">
        <v>20</v>
      </c>
      <c r="Z11" s="34" t="s">
        <v>45</v>
      </c>
      <c r="AA11" s="34" t="s">
        <v>71</v>
      </c>
      <c r="AB11" s="34" t="s">
        <v>39</v>
      </c>
      <c r="AC11" s="34" t="s">
        <v>19</v>
      </c>
      <c r="AD11" s="34" t="s">
        <v>41</v>
      </c>
      <c r="AE11" s="34" t="s">
        <v>36</v>
      </c>
      <c r="AF11" s="34" t="s">
        <v>7</v>
      </c>
      <c r="AG11" s="34" t="s">
        <v>55</v>
      </c>
      <c r="AH11" s="34" t="s">
        <v>21</v>
      </c>
      <c r="AI11" s="34" t="s">
        <v>6</v>
      </c>
      <c r="AJ11" s="34" t="s">
        <v>34</v>
      </c>
      <c r="AK11" s="35" t="s">
        <v>52</v>
      </c>
      <c r="AL11" s="35" t="s">
        <v>14</v>
      </c>
      <c r="AM11" s="35" t="s">
        <v>32</v>
      </c>
      <c r="AN11" s="35" t="s">
        <v>29</v>
      </c>
      <c r="AO11" s="35" t="s">
        <v>26</v>
      </c>
      <c r="AP11" s="35" t="s">
        <v>48</v>
      </c>
      <c r="AQ11" s="35" t="s">
        <v>44</v>
      </c>
      <c r="AR11" s="35" t="s">
        <v>37</v>
      </c>
      <c r="AS11" s="35" t="s">
        <v>51</v>
      </c>
      <c r="AT11" s="35" t="s">
        <v>8</v>
      </c>
      <c r="AU11" s="35" t="s">
        <v>24</v>
      </c>
      <c r="AV11" s="35" t="s">
        <v>9</v>
      </c>
      <c r="AW11" s="35" t="s">
        <v>62</v>
      </c>
      <c r="AX11" s="35" t="s">
        <v>46</v>
      </c>
      <c r="AY11" s="35" t="s">
        <v>35</v>
      </c>
      <c r="AZ11" s="35" t="s">
        <v>49</v>
      </c>
      <c r="BA11" s="35" t="s">
        <v>47</v>
      </c>
      <c r="BB11" s="35" t="s">
        <v>58</v>
      </c>
      <c r="BC11" s="35" t="s">
        <v>50</v>
      </c>
      <c r="BD11" s="35" t="s">
        <v>16</v>
      </c>
      <c r="BE11" s="35" t="s">
        <v>25</v>
      </c>
      <c r="BF11" s="37" t="s">
        <v>28</v>
      </c>
      <c r="BG11" s="34" t="s">
        <v>64</v>
      </c>
      <c r="BH11" s="35" t="s">
        <v>16</v>
      </c>
    </row>
    <row r="12" spans="1:60" x14ac:dyDescent="0.25">
      <c r="A12" s="93" t="s">
        <v>282</v>
      </c>
      <c r="B12" s="94" t="s">
        <v>225</v>
      </c>
      <c r="C12" s="93">
        <v>340</v>
      </c>
      <c r="D12" s="95">
        <f>'Base de données indicateurs1'!BF22</f>
        <v>6549525.540000001</v>
      </c>
      <c r="E12" s="4">
        <f>'Base de données indicateurs1'!E22</f>
        <v>38934.65</v>
      </c>
      <c r="F12" s="4">
        <f>'Base de données indicateurs1'!F22</f>
        <v>37718.33</v>
      </c>
      <c r="G12" s="4">
        <f>'Base de données indicateurs1'!G22</f>
        <v>63703.07</v>
      </c>
      <c r="H12" s="4">
        <f>'Base de données indicateurs1'!H22</f>
        <v>50695.97</v>
      </c>
      <c r="I12" s="4">
        <f>'Base de données indicateurs1'!I22</f>
        <v>441586</v>
      </c>
      <c r="J12" s="4">
        <f>'Base de données indicateurs1'!J22</f>
        <v>256881.91</v>
      </c>
      <c r="K12" s="4">
        <f>'Base de données indicateurs1'!K22</f>
        <v>135437.13</v>
      </c>
      <c r="L12" s="4">
        <f>'Base de données indicateurs1'!L22</f>
        <v>1605830.89</v>
      </c>
      <c r="M12" s="4">
        <f>'Base de données indicateurs1'!M22</f>
        <v>44645.69</v>
      </c>
      <c r="N12" s="4">
        <f>'Base de données indicateurs1'!N22</f>
        <v>8121.91</v>
      </c>
      <c r="O12" s="4">
        <f>'Base de données indicateurs1'!O22</f>
        <v>277293.21000000002</v>
      </c>
      <c r="P12" s="4">
        <f>'Base de données indicateurs1'!P22</f>
        <v>37908.54</v>
      </c>
      <c r="Q12" s="4">
        <f>'Base de données indicateurs1'!Q22</f>
        <v>8389.0300000000007</v>
      </c>
      <c r="R12" s="4">
        <f>'Base de données indicateurs1'!R22</f>
        <v>45100.37</v>
      </c>
      <c r="S12" s="4">
        <f>'Base de données indicateurs1'!S22</f>
        <v>64989.99</v>
      </c>
      <c r="T12" s="4">
        <f>'Base de données indicateurs1'!T22</f>
        <v>48118.02</v>
      </c>
      <c r="U12" s="4">
        <f>'Base de données indicateurs1'!U22</f>
        <v>8827.43</v>
      </c>
      <c r="V12" s="4">
        <f>'Base de données indicateurs1'!V22</f>
        <v>42480.34</v>
      </c>
      <c r="W12" s="4">
        <f>'Base de données indicateurs1'!W22</f>
        <v>185337.29</v>
      </c>
      <c r="X12" s="4">
        <f>'Base de données indicateurs1'!X22</f>
        <v>6978.81</v>
      </c>
      <c r="Y12" s="4">
        <f>'Base de données indicateurs1'!Y22</f>
        <v>158659.09</v>
      </c>
      <c r="Z12" s="4">
        <f>'Base de données indicateurs1'!Z22</f>
        <v>10036.209999999999</v>
      </c>
      <c r="AA12" s="4">
        <f>'Base de données indicateurs1'!AA22</f>
        <v>3455.77</v>
      </c>
      <c r="AB12" s="4">
        <f>'Base de données indicateurs1'!AB22</f>
        <v>3676.22</v>
      </c>
      <c r="AC12" s="4">
        <f>'Base de données indicateurs1'!AC22</f>
        <v>51756.65</v>
      </c>
      <c r="AD12" s="4">
        <f>'Base de données indicateurs1'!AD22</f>
        <v>79274.83</v>
      </c>
      <c r="AE12" s="4">
        <f>'Base de données indicateurs1'!AE22</f>
        <v>38264.15</v>
      </c>
      <c r="AF12" s="4">
        <f>'Base de données indicateurs1'!AF22</f>
        <v>8911.5</v>
      </c>
      <c r="AG12" s="4">
        <f>'Base de données indicateurs1'!AG22</f>
        <v>55215</v>
      </c>
      <c r="AH12" s="4">
        <f>'Base de données indicateurs1'!AH22</f>
        <v>172314.82</v>
      </c>
      <c r="AI12" s="4">
        <f>'Base de données indicateurs1'!AI22</f>
        <v>29078.26</v>
      </c>
      <c r="AJ12" s="4">
        <f>'Base de données indicateurs1'!AJ22</f>
        <v>4752.6000000000004</v>
      </c>
      <c r="AK12" s="4">
        <f>'Base de données indicateurs1'!AK22</f>
        <v>144522.82</v>
      </c>
      <c r="AL12" s="4">
        <f>'Base de données indicateurs1'!AL22</f>
        <v>135519</v>
      </c>
      <c r="AM12" s="4">
        <f>'Base de données indicateurs1'!AM22</f>
        <v>136276.35</v>
      </c>
      <c r="AN12" s="4">
        <f>'Base de données indicateurs1'!AN22</f>
        <v>19639.759999999998</v>
      </c>
      <c r="AO12" s="4">
        <f>'Base de données indicateurs1'!AO22</f>
        <v>67994.080000000002</v>
      </c>
      <c r="AP12" s="4">
        <f>'Base de données indicateurs1'!AP22</f>
        <v>60019.839999999997</v>
      </c>
      <c r="AQ12" s="4">
        <f>'Base de données indicateurs1'!AQ22</f>
        <v>62321</v>
      </c>
      <c r="AR12" s="4">
        <f>'Base de données indicateurs1'!AR22</f>
        <v>81690.240000000005</v>
      </c>
      <c r="AS12" s="4">
        <f>'Base de données indicateurs1'!AS22</f>
        <v>80902.12</v>
      </c>
      <c r="AT12" s="4">
        <f>'Base de données indicateurs1'!AT22</f>
        <v>131647.57999999999</v>
      </c>
      <c r="AU12" s="4">
        <f>'Base de données indicateurs1'!AU22</f>
        <v>22674.73</v>
      </c>
      <c r="AV12" s="4">
        <f>'Base de données indicateurs1'!AV22</f>
        <v>301752.61</v>
      </c>
      <c r="AW12" s="4">
        <f>'Base de données indicateurs1'!AW22</f>
        <v>56642.14</v>
      </c>
      <c r="AX12" s="4">
        <f>'Base de données indicateurs1'!AX22</f>
        <v>7339</v>
      </c>
      <c r="AY12" s="4">
        <f>'Base de données indicateurs1'!AY22</f>
        <v>15749.32</v>
      </c>
      <c r="AZ12" s="4">
        <f>'Base de données indicateurs1'!AZ22</f>
        <v>306670.73</v>
      </c>
      <c r="BA12" s="4">
        <f>'Base de données indicateurs1'!BA22</f>
        <v>11746.61</v>
      </c>
      <c r="BB12" s="4">
        <f>'Base de données indicateurs1'!BB22</f>
        <v>79671.94</v>
      </c>
      <c r="BC12" s="4">
        <f>'Base de données indicateurs1'!BC22</f>
        <v>60.65</v>
      </c>
      <c r="BD12" s="4">
        <f>'Base de données indicateurs1'!BD22</f>
        <v>763187.49</v>
      </c>
      <c r="BE12" s="4">
        <f>'Base de données indicateurs1'!BE22</f>
        <v>39123.85</v>
      </c>
      <c r="BF12" s="4">
        <f>SUM(E12:W12)</f>
        <v>3401999.7700000005</v>
      </c>
      <c r="BG12" s="4">
        <f>SUM(X12:AJ12)</f>
        <v>622373.91</v>
      </c>
      <c r="BH12" s="4">
        <f>SUM(AK12:BE12)</f>
        <v>2525151.86</v>
      </c>
    </row>
    <row r="13" spans="1:60" x14ac:dyDescent="0.25">
      <c r="A13" s="96" t="s">
        <v>281</v>
      </c>
      <c r="B13" s="97" t="s">
        <v>226</v>
      </c>
      <c r="C13" s="96">
        <v>440</v>
      </c>
      <c r="D13" s="98">
        <f>'Base de données indicateurs1'!BF41</f>
        <v>2846281.7899999996</v>
      </c>
      <c r="E13" s="4">
        <f>'Base de données indicateurs1'!E41</f>
        <v>17852.91</v>
      </c>
      <c r="F13" s="4">
        <f>'Base de données indicateurs1'!F41</f>
        <v>14092.86</v>
      </c>
      <c r="G13" s="4">
        <f>'Base de données indicateurs1'!G41</f>
        <v>7262.16</v>
      </c>
      <c r="H13" s="4">
        <f>'Base de données indicateurs1'!H41</f>
        <v>7231.52</v>
      </c>
      <c r="I13" s="4">
        <f>'Base de données indicateurs1'!I41</f>
        <v>147881</v>
      </c>
      <c r="J13" s="4">
        <f>'Base de données indicateurs1'!J41</f>
        <v>110134.57</v>
      </c>
      <c r="K13" s="4">
        <f>'Base de données indicateurs1'!K41</f>
        <v>92398.8</v>
      </c>
      <c r="L13" s="4">
        <f>'Base de données indicateurs1'!L41</f>
        <v>839026.92</v>
      </c>
      <c r="M13" s="4">
        <f>'Base de données indicateurs1'!M41</f>
        <v>42133.760000000002</v>
      </c>
      <c r="N13" s="4">
        <f>'Base de données indicateurs1'!N41</f>
        <v>571.49</v>
      </c>
      <c r="O13" s="4">
        <f>'Base de données indicateurs1'!O41</f>
        <v>153813.91</v>
      </c>
      <c r="P13" s="4">
        <f>'Base de données indicateurs1'!P41</f>
        <v>6893.74</v>
      </c>
      <c r="Q13" s="4">
        <f>'Base de données indicateurs1'!Q41</f>
        <v>3224.6</v>
      </c>
      <c r="R13" s="4">
        <f>'Base de données indicateurs1'!R41</f>
        <v>25.39</v>
      </c>
      <c r="S13" s="4">
        <f>'Base de données indicateurs1'!S41</f>
        <v>0</v>
      </c>
      <c r="T13" s="4">
        <f>'Base de données indicateurs1'!T41</f>
        <v>20393.48</v>
      </c>
      <c r="U13" s="4">
        <f>'Base de données indicateurs1'!U41</f>
        <v>4934.32</v>
      </c>
      <c r="V13" s="4">
        <f>'Base de données indicateurs1'!V41</f>
        <v>18651.38</v>
      </c>
      <c r="W13" s="4">
        <f>'Base de données indicateurs1'!W41</f>
        <v>84414.84</v>
      </c>
      <c r="X13" s="4">
        <f>'Base de données indicateurs1'!X41</f>
        <v>4036.93</v>
      </c>
      <c r="Y13" s="4">
        <f>'Base de données indicateurs1'!Y41</f>
        <v>39911.230000000003</v>
      </c>
      <c r="Z13" s="4">
        <f>'Base de données indicateurs1'!Z41</f>
        <v>32275.279999999999</v>
      </c>
      <c r="AA13" s="4">
        <f>'Base de données indicateurs1'!AA41</f>
        <v>1441.7</v>
      </c>
      <c r="AB13" s="4">
        <f>'Base de données indicateurs1'!AB41</f>
        <v>3866.07</v>
      </c>
      <c r="AC13" s="4">
        <f>'Base de données indicateurs1'!AC41</f>
        <v>10163.709999999999</v>
      </c>
      <c r="AD13" s="4">
        <f>'Base de données indicateurs1'!AD41</f>
        <v>12975.76</v>
      </c>
      <c r="AE13" s="4">
        <f>'Base de données indicateurs1'!AE41</f>
        <v>8325.84</v>
      </c>
      <c r="AF13" s="4">
        <f>'Base de données indicateurs1'!AF41</f>
        <v>0.03</v>
      </c>
      <c r="AG13" s="4">
        <f>'Base de données indicateurs1'!AG41</f>
        <v>24520.51</v>
      </c>
      <c r="AH13" s="4">
        <f>'Base de données indicateurs1'!AH41</f>
        <v>56099.360000000001</v>
      </c>
      <c r="AI13" s="4">
        <f>'Base de données indicateurs1'!AI41</f>
        <v>5382</v>
      </c>
      <c r="AJ13" s="4">
        <f>'Base de données indicateurs1'!AJ41</f>
        <v>1867.57</v>
      </c>
      <c r="AK13" s="4">
        <f>'Base de données indicateurs1'!AK41</f>
        <v>189874.47</v>
      </c>
      <c r="AL13" s="4">
        <f>'Base de données indicateurs1'!AL41</f>
        <v>65144</v>
      </c>
      <c r="AM13" s="4">
        <f>'Base de données indicateurs1'!AM41</f>
        <v>36183.730000000003</v>
      </c>
      <c r="AN13" s="4">
        <f>'Base de données indicateurs1'!AN41</f>
        <v>5054.3</v>
      </c>
      <c r="AO13" s="4">
        <f>'Base de données indicateurs1'!AO41</f>
        <v>21296.17</v>
      </c>
      <c r="AP13" s="4">
        <f>'Base de données indicateurs1'!AP41</f>
        <v>26446.03</v>
      </c>
      <c r="AQ13" s="4">
        <f>'Base de données indicateurs1'!AQ41</f>
        <v>18471</v>
      </c>
      <c r="AR13" s="4">
        <f>'Base de données indicateurs1'!AR41</f>
        <v>38140.639999999999</v>
      </c>
      <c r="AS13" s="4">
        <f>'Base de données indicateurs1'!AS41</f>
        <v>38738.620000000003</v>
      </c>
      <c r="AT13" s="4">
        <f>'Base de données indicateurs1'!AT41</f>
        <v>60576.639999999999</v>
      </c>
      <c r="AU13" s="4">
        <f>'Base de données indicateurs1'!AU41</f>
        <v>6079.05</v>
      </c>
      <c r="AV13" s="4">
        <f>'Base de données indicateurs1'!AV41</f>
        <v>57507.01</v>
      </c>
      <c r="AW13" s="4">
        <f>'Base de données indicateurs1'!AW41</f>
        <v>20126.89</v>
      </c>
      <c r="AX13" s="4">
        <f>'Base de données indicateurs1'!AX41</f>
        <v>4114.5600000000004</v>
      </c>
      <c r="AY13" s="4">
        <f>'Base de données indicateurs1'!AY41</f>
        <v>11981.21</v>
      </c>
      <c r="AZ13" s="4">
        <f>'Base de données indicateurs1'!AZ41</f>
        <v>42596.1</v>
      </c>
      <c r="BA13" s="4">
        <f>'Base de données indicateurs1'!BA41</f>
        <v>10597</v>
      </c>
      <c r="BB13" s="4">
        <f>'Base de données indicateurs1'!BB41</f>
        <v>41362.76</v>
      </c>
      <c r="BC13" s="4">
        <f>'Base de données indicateurs1'!BC41</f>
        <v>8877.09</v>
      </c>
      <c r="BD13" s="4">
        <f>'Base de données indicateurs1'!BD41</f>
        <v>337144.49</v>
      </c>
      <c r="BE13" s="4">
        <f>'Base de données indicateurs1'!BE41</f>
        <v>34166.39</v>
      </c>
      <c r="BF13" s="4">
        <f t="shared" ref="BF13:BF38" si="0">SUM(E13:W13)</f>
        <v>1570937.65</v>
      </c>
      <c r="BG13" s="4">
        <f t="shared" ref="BG13:BG38" si="1">SUM(X13:AJ13)</f>
        <v>200865.99</v>
      </c>
      <c r="BH13" s="4">
        <f t="shared" ref="BH13:BH38" si="2">SUM(AK13:BE13)</f>
        <v>1074478.1499999999</v>
      </c>
    </row>
    <row r="14" spans="1:60" ht="15.75" thickBot="1" x14ac:dyDescent="0.3">
      <c r="B14" s="99"/>
      <c r="D14" s="4"/>
      <c r="BF14" s="4"/>
      <c r="BG14" s="4"/>
      <c r="BH14" s="4"/>
    </row>
    <row r="15" spans="1:60" ht="15.75" thickBot="1" x14ac:dyDescent="0.3">
      <c r="A15" s="7" t="s">
        <v>519</v>
      </c>
      <c r="B15" s="52"/>
      <c r="C15" s="7"/>
      <c r="D15" s="100">
        <f>D12-D13</f>
        <v>3703243.7500000014</v>
      </c>
      <c r="E15" s="4">
        <f>E12-E13</f>
        <v>21081.74</v>
      </c>
      <c r="F15" s="4">
        <f t="shared" ref="F15:BE15" si="3">F12-F13</f>
        <v>23625.47</v>
      </c>
      <c r="G15" s="4">
        <f t="shared" si="3"/>
        <v>56440.91</v>
      </c>
      <c r="H15" s="4">
        <f t="shared" si="3"/>
        <v>43464.45</v>
      </c>
      <c r="I15" s="4">
        <f t="shared" si="3"/>
        <v>293705</v>
      </c>
      <c r="J15" s="4">
        <f t="shared" si="3"/>
        <v>146747.34</v>
      </c>
      <c r="K15" s="4">
        <f t="shared" si="3"/>
        <v>43038.33</v>
      </c>
      <c r="L15" s="4">
        <f t="shared" si="3"/>
        <v>766803.96999999986</v>
      </c>
      <c r="M15" s="4">
        <f t="shared" si="3"/>
        <v>2511.9300000000003</v>
      </c>
      <c r="N15" s="4">
        <f t="shared" si="3"/>
        <v>7550.42</v>
      </c>
      <c r="O15" s="4">
        <f t="shared" si="3"/>
        <v>123479.30000000002</v>
      </c>
      <c r="P15" s="4">
        <f t="shared" si="3"/>
        <v>31014.800000000003</v>
      </c>
      <c r="Q15" s="4">
        <f t="shared" si="3"/>
        <v>5164.43</v>
      </c>
      <c r="R15" s="4">
        <f t="shared" si="3"/>
        <v>45074.98</v>
      </c>
      <c r="S15" s="4">
        <f t="shared" si="3"/>
        <v>64989.99</v>
      </c>
      <c r="T15" s="4">
        <f t="shared" si="3"/>
        <v>27724.539999999997</v>
      </c>
      <c r="U15" s="4">
        <f t="shared" si="3"/>
        <v>3893.1100000000006</v>
      </c>
      <c r="V15" s="4">
        <f t="shared" si="3"/>
        <v>23828.959999999995</v>
      </c>
      <c r="W15" s="4">
        <f t="shared" si="3"/>
        <v>100922.45000000001</v>
      </c>
      <c r="X15" s="4">
        <f t="shared" si="3"/>
        <v>2941.8800000000006</v>
      </c>
      <c r="Y15" s="4">
        <f t="shared" si="3"/>
        <v>118747.85999999999</v>
      </c>
      <c r="Z15" s="4">
        <f t="shared" si="3"/>
        <v>-22239.07</v>
      </c>
      <c r="AA15" s="4">
        <f t="shared" si="3"/>
        <v>2014.07</v>
      </c>
      <c r="AB15" s="4">
        <f t="shared" si="3"/>
        <v>-189.85000000000036</v>
      </c>
      <c r="AC15" s="4">
        <f t="shared" si="3"/>
        <v>41592.94</v>
      </c>
      <c r="AD15" s="4">
        <f t="shared" si="3"/>
        <v>66299.070000000007</v>
      </c>
      <c r="AE15" s="4">
        <f t="shared" si="3"/>
        <v>29938.31</v>
      </c>
      <c r="AF15" s="4">
        <f t="shared" si="3"/>
        <v>8911.4699999999993</v>
      </c>
      <c r="AG15" s="4">
        <f t="shared" si="3"/>
        <v>30694.49</v>
      </c>
      <c r="AH15" s="4">
        <f t="shared" si="3"/>
        <v>116215.46</v>
      </c>
      <c r="AI15" s="4">
        <f t="shared" si="3"/>
        <v>23696.26</v>
      </c>
      <c r="AJ15" s="4">
        <f t="shared" si="3"/>
        <v>2885.0300000000007</v>
      </c>
      <c r="AK15" s="4">
        <f t="shared" si="3"/>
        <v>-45351.649999999994</v>
      </c>
      <c r="AL15" s="4">
        <f t="shared" si="3"/>
        <v>70375</v>
      </c>
      <c r="AM15" s="4">
        <f t="shared" si="3"/>
        <v>100092.62</v>
      </c>
      <c r="AN15" s="4">
        <f t="shared" si="3"/>
        <v>14585.46</v>
      </c>
      <c r="AO15" s="4">
        <f t="shared" si="3"/>
        <v>46697.91</v>
      </c>
      <c r="AP15" s="4">
        <f t="shared" si="3"/>
        <v>33573.81</v>
      </c>
      <c r="AQ15" s="4">
        <f t="shared" si="3"/>
        <v>43850</v>
      </c>
      <c r="AR15" s="4">
        <f t="shared" si="3"/>
        <v>43549.600000000006</v>
      </c>
      <c r="AS15" s="4">
        <f t="shared" si="3"/>
        <v>42163.499999999993</v>
      </c>
      <c r="AT15" s="4">
        <f t="shared" si="3"/>
        <v>71070.939999999988</v>
      </c>
      <c r="AU15" s="4">
        <f t="shared" si="3"/>
        <v>16595.68</v>
      </c>
      <c r="AV15" s="4">
        <f t="shared" si="3"/>
        <v>244245.59999999998</v>
      </c>
      <c r="AW15" s="4">
        <f t="shared" si="3"/>
        <v>36515.25</v>
      </c>
      <c r="AX15" s="4">
        <f t="shared" si="3"/>
        <v>3224.4399999999996</v>
      </c>
      <c r="AY15" s="4">
        <f t="shared" si="3"/>
        <v>3768.1100000000006</v>
      </c>
      <c r="AZ15" s="4">
        <f t="shared" si="3"/>
        <v>264074.63</v>
      </c>
      <c r="BA15" s="4">
        <f t="shared" si="3"/>
        <v>1149.6100000000006</v>
      </c>
      <c r="BB15" s="4">
        <f t="shared" si="3"/>
        <v>38309.18</v>
      </c>
      <c r="BC15" s="4">
        <f t="shared" si="3"/>
        <v>-8816.44</v>
      </c>
      <c r="BD15" s="4">
        <f t="shared" si="3"/>
        <v>426043</v>
      </c>
      <c r="BE15" s="4">
        <f t="shared" si="3"/>
        <v>4957.4599999999991</v>
      </c>
      <c r="BF15" s="4">
        <f t="shared" si="0"/>
        <v>1831062.1199999999</v>
      </c>
      <c r="BG15" s="4">
        <f t="shared" si="1"/>
        <v>421507.92000000004</v>
      </c>
      <c r="BH15" s="4">
        <f t="shared" si="2"/>
        <v>1450673.71</v>
      </c>
    </row>
    <row r="16" spans="1:60" x14ac:dyDescent="0.25">
      <c r="B16" s="99"/>
      <c r="D16" s="4"/>
      <c r="BF16" s="4"/>
      <c r="BG16" s="4"/>
      <c r="BH16" s="4"/>
    </row>
    <row r="17" spans="1:60" x14ac:dyDescent="0.25">
      <c r="A17" s="93" t="s">
        <v>79</v>
      </c>
      <c r="B17" s="94" t="s">
        <v>225</v>
      </c>
      <c r="C17" s="93">
        <v>40</v>
      </c>
      <c r="D17" s="95">
        <f>'Base de données indicateurs1'!BF37</f>
        <v>374764028.71000004</v>
      </c>
      <c r="E17" s="4">
        <f>'Base de données indicateurs1'!E37</f>
        <v>2484648.4500000002</v>
      </c>
      <c r="F17" s="4">
        <f>'Base de données indicateurs1'!F37</f>
        <v>1055665.27</v>
      </c>
      <c r="G17" s="4">
        <f>'Base de données indicateurs1'!G37</f>
        <v>1542170.09</v>
      </c>
      <c r="H17" s="4">
        <f>'Base de données indicateurs1'!H37</f>
        <v>1977595.98</v>
      </c>
      <c r="I17" s="4">
        <f>'Base de données indicateurs1'!I37</f>
        <v>15874152</v>
      </c>
      <c r="J17" s="4">
        <f>'Base de données indicateurs1'!J37</f>
        <v>13528253.02</v>
      </c>
      <c r="K17" s="4">
        <f>'Base de données indicateurs1'!K37</f>
        <v>10538476.91</v>
      </c>
      <c r="L17" s="4">
        <f>'Base de données indicateurs1'!L37</f>
        <v>104352081.14</v>
      </c>
      <c r="M17" s="4">
        <f>'Base de données indicateurs1'!M37</f>
        <v>7769549.9000000004</v>
      </c>
      <c r="N17" s="4">
        <f>'Base de données indicateurs1'!N37</f>
        <v>526788.53</v>
      </c>
      <c r="O17" s="4">
        <f>'Base de données indicateurs1'!O37</f>
        <v>27337755.82</v>
      </c>
      <c r="P17" s="4">
        <f>'Base de données indicateurs1'!P37</f>
        <v>1889354.54</v>
      </c>
      <c r="Q17" s="4">
        <f>'Base de données indicateurs1'!Q37</f>
        <v>420828.52</v>
      </c>
      <c r="R17" s="4">
        <f>'Base de données indicateurs1'!R37</f>
        <v>1018982.93</v>
      </c>
      <c r="S17" s="4">
        <f>'Base de données indicateurs1'!S37</f>
        <v>837138.83</v>
      </c>
      <c r="T17" s="4">
        <f>'Base de données indicateurs1'!T37</f>
        <v>3028687.98</v>
      </c>
      <c r="U17" s="4">
        <f>'Base de données indicateurs1'!U37</f>
        <v>946108.07</v>
      </c>
      <c r="V17" s="4">
        <f>'Base de données indicateurs1'!V37</f>
        <v>2158247.85</v>
      </c>
      <c r="W17" s="4">
        <f>'Base de données indicateurs1'!W37</f>
        <v>12795603.93</v>
      </c>
      <c r="X17" s="4">
        <f>'Base de données indicateurs1'!X37</f>
        <v>822382.96</v>
      </c>
      <c r="Y17" s="4">
        <f>'Base de données indicateurs1'!Y37</f>
        <v>7518799.2599999998</v>
      </c>
      <c r="Z17" s="4">
        <f>'Base de données indicateurs1'!Z37</f>
        <v>11534604.16</v>
      </c>
      <c r="AA17" s="4">
        <f>'Base de données indicateurs1'!AA37</f>
        <v>656370.62</v>
      </c>
      <c r="AB17" s="4">
        <f>'Base de données indicateurs1'!AB37</f>
        <v>883560.33</v>
      </c>
      <c r="AC17" s="4">
        <f>'Base de données indicateurs1'!AC37</f>
        <v>1416378.81</v>
      </c>
      <c r="AD17" s="4">
        <f>'Base de données indicateurs1'!AD37</f>
        <v>3410325.77</v>
      </c>
      <c r="AE17" s="4">
        <f>'Base de données indicateurs1'!AE37</f>
        <v>2778539.63</v>
      </c>
      <c r="AF17" s="4">
        <f>'Base de données indicateurs1'!AF37</f>
        <v>3466791.29</v>
      </c>
      <c r="AG17" s="4">
        <f>'Base de données indicateurs1'!AG37</f>
        <v>10157491.630000001</v>
      </c>
      <c r="AH17" s="4">
        <f>'Base de données indicateurs1'!AH37</f>
        <v>12700411.98</v>
      </c>
      <c r="AI17" s="4">
        <f>'Base de données indicateurs1'!AI37</f>
        <v>1094727.8799999999</v>
      </c>
      <c r="AJ17" s="4">
        <f>'Base de données indicateurs1'!AJ37</f>
        <v>716212.09</v>
      </c>
      <c r="AK17" s="4">
        <f>'Base de données indicateurs1'!AK37</f>
        <v>5885786.6500000004</v>
      </c>
      <c r="AL17" s="4">
        <f>'Base de données indicateurs1'!AL37</f>
        <v>5678645</v>
      </c>
      <c r="AM17" s="4">
        <f>'Base de données indicateurs1'!AM37</f>
        <v>5433082.5800000001</v>
      </c>
      <c r="AN17" s="4">
        <f>'Base de données indicateurs1'!AN37</f>
        <v>342747.26</v>
      </c>
      <c r="AO17" s="4">
        <f>'Base de données indicateurs1'!AO37</f>
        <v>9404092.9000000004</v>
      </c>
      <c r="AP17" s="4">
        <f>'Base de données indicateurs1'!AP37</f>
        <v>3880880.65</v>
      </c>
      <c r="AQ17" s="4">
        <f>'Base de données indicateurs1'!AQ37</f>
        <v>1738358</v>
      </c>
      <c r="AR17" s="4">
        <f>'Base de données indicateurs1'!AR37</f>
        <v>3259670.81</v>
      </c>
      <c r="AS17" s="4">
        <f>'Base de données indicateurs1'!AS37</f>
        <v>1748640.05</v>
      </c>
      <c r="AT17" s="4">
        <f>'Base de données indicateurs1'!AT37</f>
        <v>2536343.5</v>
      </c>
      <c r="AU17" s="4">
        <f>'Base de données indicateurs1'!AU37</f>
        <v>283135.43</v>
      </c>
      <c r="AV17" s="4">
        <f>'Base de données indicateurs1'!AV37</f>
        <v>8668513.6099999994</v>
      </c>
      <c r="AW17" s="4">
        <f>'Base de données indicateurs1'!AW37</f>
        <v>3321892.18</v>
      </c>
      <c r="AX17" s="4">
        <f>'Base de données indicateurs1'!AX37</f>
        <v>653978</v>
      </c>
      <c r="AY17" s="4">
        <f>'Base de données indicateurs1'!AY37</f>
        <v>906867.19999999995</v>
      </c>
      <c r="AZ17" s="4">
        <f>'Base de données indicateurs1'!AZ37</f>
        <v>5064301.16</v>
      </c>
      <c r="BA17" s="4">
        <f>'Base de données indicateurs1'!BA37</f>
        <v>1735107.11</v>
      </c>
      <c r="BB17" s="4">
        <f>'Base de données indicateurs1'!BB37</f>
        <v>3523672.39</v>
      </c>
      <c r="BC17" s="4">
        <f>'Base de données indicateurs1'!BC37</f>
        <v>754241</v>
      </c>
      <c r="BD17" s="4">
        <f>'Base de données indicateurs1'!BD37</f>
        <v>40168822.840000004</v>
      </c>
      <c r="BE17" s="4">
        <f>'Base de données indicateurs1'!BE37</f>
        <v>2536564.2200000002</v>
      </c>
      <c r="BF17" s="4">
        <f t="shared" si="0"/>
        <v>210082089.76000002</v>
      </c>
      <c r="BG17" s="4">
        <f t="shared" si="1"/>
        <v>57156596.410000004</v>
      </c>
      <c r="BH17" s="4">
        <f t="shared" si="2"/>
        <v>107525342.54000001</v>
      </c>
    </row>
    <row r="18" spans="1:60" x14ac:dyDescent="0.25">
      <c r="A18" s="96" t="s">
        <v>119</v>
      </c>
      <c r="B18" s="97" t="s">
        <v>226</v>
      </c>
      <c r="C18" s="96">
        <v>47</v>
      </c>
      <c r="D18" s="98">
        <f>'Base de données indicateurs1'!BF50</f>
        <v>2368380.25</v>
      </c>
      <c r="E18" s="4">
        <f>'Base de données indicateurs1'!E50</f>
        <v>0</v>
      </c>
      <c r="F18" s="4">
        <f>'Base de données indicateurs1'!F50</f>
        <v>0</v>
      </c>
      <c r="G18" s="4">
        <f>'Base de données indicateurs1'!G50</f>
        <v>0</v>
      </c>
      <c r="H18" s="4">
        <f>'Base de données indicateurs1'!H50</f>
        <v>0</v>
      </c>
      <c r="I18" s="4">
        <f>'Base de données indicateurs1'!I50</f>
        <v>0</v>
      </c>
      <c r="J18" s="4">
        <f>'Base de données indicateurs1'!J50</f>
        <v>0</v>
      </c>
      <c r="K18" s="4">
        <f>'Base de données indicateurs1'!K50</f>
        <v>0</v>
      </c>
      <c r="L18" s="4">
        <f>'Base de données indicateurs1'!L50</f>
        <v>0</v>
      </c>
      <c r="M18" s="4">
        <f>'Base de données indicateurs1'!M50</f>
        <v>0</v>
      </c>
      <c r="N18" s="4">
        <f>'Base de données indicateurs1'!N50</f>
        <v>0</v>
      </c>
      <c r="O18" s="4">
        <f>'Base de données indicateurs1'!O50</f>
        <v>0</v>
      </c>
      <c r="P18" s="4">
        <f>'Base de données indicateurs1'!P50</f>
        <v>0</v>
      </c>
      <c r="Q18" s="4">
        <f>'Base de données indicateurs1'!Q50</f>
        <v>0</v>
      </c>
      <c r="R18" s="4">
        <f>'Base de données indicateurs1'!R50</f>
        <v>0</v>
      </c>
      <c r="S18" s="4">
        <f>'Base de données indicateurs1'!S50</f>
        <v>0</v>
      </c>
      <c r="T18" s="4">
        <f>'Base de données indicateurs1'!T50</f>
        <v>0</v>
      </c>
      <c r="U18" s="4">
        <f>'Base de données indicateurs1'!U50</f>
        <v>0</v>
      </c>
      <c r="V18" s="4">
        <f>'Base de données indicateurs1'!V50</f>
        <v>0</v>
      </c>
      <c r="W18" s="4">
        <f>'Base de données indicateurs1'!W50</f>
        <v>0</v>
      </c>
      <c r="X18" s="4">
        <f>'Base de données indicateurs1'!X50</f>
        <v>0</v>
      </c>
      <c r="Y18" s="4">
        <f>'Base de données indicateurs1'!Y50</f>
        <v>0</v>
      </c>
      <c r="Z18" s="4">
        <f>'Base de données indicateurs1'!Z50</f>
        <v>429137</v>
      </c>
      <c r="AA18" s="4">
        <f>'Base de données indicateurs1'!AA50</f>
        <v>159211.1</v>
      </c>
      <c r="AB18" s="4">
        <f>'Base de données indicateurs1'!AB50</f>
        <v>201569.3</v>
      </c>
      <c r="AC18" s="4">
        <f>'Base de données indicateurs1'!AC50</f>
        <v>188162.35</v>
      </c>
      <c r="AD18" s="4">
        <f>'Base de données indicateurs1'!AD50</f>
        <v>0</v>
      </c>
      <c r="AE18" s="4">
        <f>'Base de données indicateurs1'!AE50</f>
        <v>238357.4</v>
      </c>
      <c r="AF18" s="4">
        <f>'Base de données indicateurs1'!AF50</f>
        <v>591726.85</v>
      </c>
      <c r="AG18" s="4">
        <f>'Base de données indicateurs1'!AG50</f>
        <v>419088.2</v>
      </c>
      <c r="AH18" s="4">
        <f>'Base de données indicateurs1'!AH50</f>
        <v>0</v>
      </c>
      <c r="AI18" s="4">
        <f>'Base de données indicateurs1'!AI50</f>
        <v>4182.3500000000004</v>
      </c>
      <c r="AJ18" s="4">
        <f>'Base de données indicateurs1'!AJ50</f>
        <v>0</v>
      </c>
      <c r="AK18" s="4">
        <f>'Base de données indicateurs1'!AK50</f>
        <v>0</v>
      </c>
      <c r="AL18" s="4">
        <f>'Base de données indicateurs1'!AL50</f>
        <v>0</v>
      </c>
      <c r="AM18" s="4">
        <f>'Base de données indicateurs1'!AM50</f>
        <v>0</v>
      </c>
      <c r="AN18" s="4">
        <f>'Base de données indicateurs1'!AN50</f>
        <v>0</v>
      </c>
      <c r="AO18" s="4">
        <f>'Base de données indicateurs1'!AO50</f>
        <v>0</v>
      </c>
      <c r="AP18" s="4">
        <f>'Base de données indicateurs1'!AP50</f>
        <v>0</v>
      </c>
      <c r="AQ18" s="4">
        <f>'Base de données indicateurs1'!AQ50</f>
        <v>0</v>
      </c>
      <c r="AR18" s="4">
        <f>'Base de données indicateurs1'!AR50</f>
        <v>56776.4</v>
      </c>
      <c r="AS18" s="4">
        <f>'Base de données indicateurs1'!AS50</f>
        <v>0</v>
      </c>
      <c r="AT18" s="4">
        <f>'Base de données indicateurs1'!AT50</f>
        <v>0</v>
      </c>
      <c r="AU18" s="4">
        <f>'Base de données indicateurs1'!AU50</f>
        <v>0</v>
      </c>
      <c r="AV18" s="4">
        <f>'Base de données indicateurs1'!AV50</f>
        <v>80169.3</v>
      </c>
      <c r="AW18" s="4">
        <f>'Base de données indicateurs1'!AW50</f>
        <v>0</v>
      </c>
      <c r="AX18" s="4">
        <f>'Base de données indicateurs1'!AX50</f>
        <v>0</v>
      </c>
      <c r="AY18" s="4">
        <f>'Base de données indicateurs1'!AY50</f>
        <v>0</v>
      </c>
      <c r="AZ18" s="4">
        <f>'Base de données indicateurs1'!AZ50</f>
        <v>0</v>
      </c>
      <c r="BA18" s="4">
        <f>'Base de données indicateurs1'!BA50</f>
        <v>0</v>
      </c>
      <c r="BB18" s="4">
        <f>'Base de données indicateurs1'!BB50</f>
        <v>0</v>
      </c>
      <c r="BC18" s="4">
        <f>'Base de données indicateurs1'!BC50</f>
        <v>0</v>
      </c>
      <c r="BD18" s="4">
        <f>'Base de données indicateurs1'!BD50</f>
        <v>0</v>
      </c>
      <c r="BE18" s="4">
        <f>'Base de données indicateurs1'!BE50</f>
        <v>0</v>
      </c>
      <c r="BF18" s="4">
        <f t="shared" si="0"/>
        <v>0</v>
      </c>
      <c r="BG18" s="4">
        <f t="shared" si="1"/>
        <v>2231434.5500000003</v>
      </c>
      <c r="BH18" s="4">
        <f t="shared" si="2"/>
        <v>136945.70000000001</v>
      </c>
    </row>
    <row r="19" spans="1:60" x14ac:dyDescent="0.25">
      <c r="A19" s="96" t="s">
        <v>128</v>
      </c>
      <c r="B19" s="97" t="s">
        <v>226</v>
      </c>
      <c r="C19" s="96">
        <v>49</v>
      </c>
      <c r="D19" s="98">
        <f>'Base de données indicateurs1'!BF53</f>
        <v>7323416.1400000006</v>
      </c>
      <c r="E19" s="4">
        <f>'Base de données indicateurs1'!E53</f>
        <v>0</v>
      </c>
      <c r="F19" s="4">
        <f>'Base de données indicateurs1'!F53</f>
        <v>23767.65</v>
      </c>
      <c r="G19" s="4">
        <f>'Base de données indicateurs1'!G53</f>
        <v>7417.71</v>
      </c>
      <c r="H19" s="4">
        <f>'Base de données indicateurs1'!H53</f>
        <v>38216.6</v>
      </c>
      <c r="I19" s="4">
        <f>'Base de données indicateurs1'!I53</f>
        <v>317300</v>
      </c>
      <c r="J19" s="4">
        <f>'Base de données indicateurs1'!J53</f>
        <v>71777</v>
      </c>
      <c r="K19" s="4">
        <f>'Base de données indicateurs1'!K53</f>
        <v>196076.65</v>
      </c>
      <c r="L19" s="4">
        <f>'Base de données indicateurs1'!L53</f>
        <v>5163108.45</v>
      </c>
      <c r="M19" s="4">
        <f>'Base de données indicateurs1'!M53</f>
        <v>93218.26</v>
      </c>
      <c r="N19" s="4">
        <f>'Base de données indicateurs1'!N53</f>
        <v>8967.7000000000007</v>
      </c>
      <c r="O19" s="4">
        <f>'Base de données indicateurs1'!O53</f>
        <v>62019</v>
      </c>
      <c r="P19" s="4">
        <f>'Base de données indicateurs1'!P53</f>
        <v>33302</v>
      </c>
      <c r="Q19" s="4">
        <f>'Base de données indicateurs1'!Q53</f>
        <v>0</v>
      </c>
      <c r="R19" s="4">
        <f>'Base de données indicateurs1'!R53</f>
        <v>55900</v>
      </c>
      <c r="S19" s="4">
        <f>'Base de données indicateurs1'!S53</f>
        <v>0</v>
      </c>
      <c r="T19" s="4">
        <f>'Base de données indicateurs1'!T53</f>
        <v>10000</v>
      </c>
      <c r="U19" s="4">
        <f>'Base de données indicateurs1'!U53</f>
        <v>0</v>
      </c>
      <c r="V19" s="4">
        <f>'Base de données indicateurs1'!V53</f>
        <v>0</v>
      </c>
      <c r="W19" s="4">
        <f>'Base de données indicateurs1'!W53</f>
        <v>260895.8</v>
      </c>
      <c r="X19" s="4">
        <f>'Base de données indicateurs1'!X53</f>
        <v>0</v>
      </c>
      <c r="Y19" s="4">
        <f>'Base de données indicateurs1'!Y53</f>
        <v>0</v>
      </c>
      <c r="Z19" s="4">
        <f>'Base de données indicateurs1'!Z53</f>
        <v>84000</v>
      </c>
      <c r="AA19" s="4">
        <f>'Base de données indicateurs1'!AA53</f>
        <v>15393.4</v>
      </c>
      <c r="AB19" s="4">
        <f>'Base de données indicateurs1'!AB53</f>
        <v>0</v>
      </c>
      <c r="AC19" s="4">
        <f>'Base de données indicateurs1'!AC53</f>
        <v>0</v>
      </c>
      <c r="AD19" s="4">
        <f>'Base de données indicateurs1'!AD53</f>
        <v>58010.8</v>
      </c>
      <c r="AE19" s="4">
        <f>'Base de données indicateurs1'!AE53</f>
        <v>77935.649999999994</v>
      </c>
      <c r="AF19" s="4">
        <f>'Base de données indicateurs1'!AF53</f>
        <v>173761</v>
      </c>
      <c r="AG19" s="4">
        <f>'Base de données indicateurs1'!AG53</f>
        <v>6365.35</v>
      </c>
      <c r="AH19" s="4">
        <f>'Base de données indicateurs1'!AH53</f>
        <v>23800</v>
      </c>
      <c r="AI19" s="4">
        <f>'Base de données indicateurs1'!AI53</f>
        <v>0</v>
      </c>
      <c r="AJ19" s="4">
        <f>'Base de données indicateurs1'!AJ53</f>
        <v>0</v>
      </c>
      <c r="AK19" s="4">
        <f>'Base de données indicateurs1'!AK53</f>
        <v>93000</v>
      </c>
      <c r="AL19" s="4">
        <f>'Base de données indicateurs1'!AL53</f>
        <v>59347</v>
      </c>
      <c r="AM19" s="4">
        <f>'Base de données indicateurs1'!AM53</f>
        <v>3190</v>
      </c>
      <c r="AN19" s="4">
        <f>'Base de données indicateurs1'!AN53</f>
        <v>240</v>
      </c>
      <c r="AO19" s="4">
        <f>'Base de données indicateurs1'!AO53</f>
        <v>0</v>
      </c>
      <c r="AP19" s="4">
        <f>'Base de données indicateurs1'!AP53</f>
        <v>0</v>
      </c>
      <c r="AQ19" s="4">
        <f>'Base de données indicateurs1'!AQ53</f>
        <v>0</v>
      </c>
      <c r="AR19" s="4">
        <f>'Base de données indicateurs1'!AR53</f>
        <v>0</v>
      </c>
      <c r="AS19" s="4">
        <f>'Base de données indicateurs1'!AS53</f>
        <v>128592.79</v>
      </c>
      <c r="AT19" s="4">
        <f>'Base de données indicateurs1'!AT53</f>
        <v>0</v>
      </c>
      <c r="AU19" s="4">
        <f>'Base de données indicateurs1'!AU53</f>
        <v>0</v>
      </c>
      <c r="AV19" s="4">
        <f>'Base de données indicateurs1'!AV53</f>
        <v>81719.25</v>
      </c>
      <c r="AW19" s="4">
        <f>'Base de données indicateurs1'!AW53</f>
        <v>0</v>
      </c>
      <c r="AX19" s="4">
        <f>'Base de données indicateurs1'!AX53</f>
        <v>7276.95</v>
      </c>
      <c r="AY19" s="4">
        <f>'Base de données indicateurs1'!AY53</f>
        <v>0</v>
      </c>
      <c r="AZ19" s="4">
        <f>'Base de données indicateurs1'!AZ53</f>
        <v>0</v>
      </c>
      <c r="BA19" s="4">
        <f>'Base de données indicateurs1'!BA53</f>
        <v>0</v>
      </c>
      <c r="BB19" s="4">
        <f>'Base de données indicateurs1'!BB53</f>
        <v>153317.13</v>
      </c>
      <c r="BC19" s="4">
        <f>'Base de données indicateurs1'!BC53</f>
        <v>0</v>
      </c>
      <c r="BD19" s="4">
        <f>'Base de données indicateurs1'!BD53</f>
        <v>0</v>
      </c>
      <c r="BE19" s="4">
        <f>'Base de données indicateurs1'!BE53</f>
        <v>15500</v>
      </c>
      <c r="BF19" s="4">
        <f t="shared" si="0"/>
        <v>6341966.8200000003</v>
      </c>
      <c r="BG19" s="4">
        <f t="shared" si="1"/>
        <v>439266.19999999995</v>
      </c>
      <c r="BH19" s="4">
        <f t="shared" si="2"/>
        <v>542183.12</v>
      </c>
    </row>
    <row r="20" spans="1:60" x14ac:dyDescent="0.25">
      <c r="A20" s="96" t="s">
        <v>233</v>
      </c>
      <c r="B20" s="97" t="s">
        <v>226</v>
      </c>
      <c r="C20" s="101">
        <v>489</v>
      </c>
      <c r="D20" s="98">
        <f>'Base de données indicateurs1'!BF51</f>
        <v>3376992.21</v>
      </c>
      <c r="E20" s="4">
        <f>'Base de données indicateurs1'!E51</f>
        <v>0</v>
      </c>
      <c r="F20" s="4">
        <f>'Base de données indicateurs1'!F51</f>
        <v>0</v>
      </c>
      <c r="G20" s="4">
        <f>'Base de données indicateurs1'!G51</f>
        <v>0</v>
      </c>
      <c r="H20" s="4">
        <f>'Base de données indicateurs1'!H51</f>
        <v>0</v>
      </c>
      <c r="I20" s="4">
        <f>'Base de données indicateurs1'!I51</f>
        <v>0</v>
      </c>
      <c r="J20" s="4">
        <f>'Base de données indicateurs1'!J51</f>
        <v>2944.95</v>
      </c>
      <c r="K20" s="4">
        <f>'Base de données indicateurs1'!K51</f>
        <v>0</v>
      </c>
      <c r="L20" s="4">
        <f>'Base de données indicateurs1'!L51</f>
        <v>1310000</v>
      </c>
      <c r="M20" s="4">
        <f>'Base de données indicateurs1'!M51</f>
        <v>0</v>
      </c>
      <c r="N20" s="4">
        <f>'Base de données indicateurs1'!N51</f>
        <v>0</v>
      </c>
      <c r="O20" s="4">
        <f>'Base de données indicateurs1'!O51</f>
        <v>0</v>
      </c>
      <c r="P20" s="4">
        <f>'Base de données indicateurs1'!P51</f>
        <v>0</v>
      </c>
      <c r="Q20" s="4">
        <f>'Base de données indicateurs1'!Q51</f>
        <v>0</v>
      </c>
      <c r="R20" s="4">
        <f>'Base de données indicateurs1'!R51</f>
        <v>0</v>
      </c>
      <c r="S20" s="4">
        <f>'Base de données indicateurs1'!S51</f>
        <v>0</v>
      </c>
      <c r="T20" s="4">
        <f>'Base de données indicateurs1'!T51</f>
        <v>0</v>
      </c>
      <c r="U20" s="4">
        <f>'Base de données indicateurs1'!U51</f>
        <v>0</v>
      </c>
      <c r="V20" s="4">
        <f>'Base de données indicateurs1'!V51</f>
        <v>0</v>
      </c>
      <c r="W20" s="4">
        <f>'Base de données indicateurs1'!W51</f>
        <v>0</v>
      </c>
      <c r="X20" s="4">
        <f>'Base de données indicateurs1'!X51</f>
        <v>0</v>
      </c>
      <c r="Y20" s="4">
        <f>'Base de données indicateurs1'!Y51</f>
        <v>0</v>
      </c>
      <c r="Z20" s="4">
        <f>'Base de données indicateurs1'!Z51</f>
        <v>0</v>
      </c>
      <c r="AA20" s="4">
        <f>'Base de données indicateurs1'!AA51</f>
        <v>0</v>
      </c>
      <c r="AB20" s="4">
        <f>'Base de données indicateurs1'!AB51</f>
        <v>0</v>
      </c>
      <c r="AC20" s="4">
        <f>'Base de données indicateurs1'!AC51</f>
        <v>130000</v>
      </c>
      <c r="AD20" s="4">
        <f>'Base de données indicateurs1'!AD51</f>
        <v>0</v>
      </c>
      <c r="AE20" s="4">
        <f>'Base de données indicateurs1'!AE51</f>
        <v>0</v>
      </c>
      <c r="AF20" s="4">
        <f>'Base de données indicateurs1'!AF51</f>
        <v>0</v>
      </c>
      <c r="AG20" s="4">
        <f>'Base de données indicateurs1'!AG51</f>
        <v>0</v>
      </c>
      <c r="AH20" s="4">
        <f>'Base de données indicateurs1'!AH51</f>
        <v>0</v>
      </c>
      <c r="AI20" s="4">
        <f>'Base de données indicateurs1'!AI51</f>
        <v>0</v>
      </c>
      <c r="AJ20" s="4">
        <f>'Base de données indicateurs1'!AJ51</f>
        <v>0</v>
      </c>
      <c r="AK20" s="4">
        <f>'Base de données indicateurs1'!AK51</f>
        <v>0</v>
      </c>
      <c r="AL20" s="4">
        <f>'Base de données indicateurs1'!AL51</f>
        <v>35000</v>
      </c>
      <c r="AM20" s="4">
        <f>'Base de données indicateurs1'!AM51</f>
        <v>18062.259999999998</v>
      </c>
      <c r="AN20" s="4">
        <f>'Base de données indicateurs1'!AN51</f>
        <v>5985</v>
      </c>
      <c r="AO20" s="4">
        <f>'Base de données indicateurs1'!AO51</f>
        <v>0</v>
      </c>
      <c r="AP20" s="4">
        <f>'Base de données indicateurs1'!AP51</f>
        <v>0</v>
      </c>
      <c r="AQ20" s="4">
        <f>'Base de données indicateurs1'!AQ51</f>
        <v>0</v>
      </c>
      <c r="AR20" s="4">
        <f>'Base de données indicateurs1'!AR51</f>
        <v>0</v>
      </c>
      <c r="AS20" s="4">
        <f>'Base de données indicateurs1'!AS51</f>
        <v>0</v>
      </c>
      <c r="AT20" s="4">
        <f>'Base de données indicateurs1'!AT51</f>
        <v>100000</v>
      </c>
      <c r="AU20" s="4">
        <f>'Base de données indicateurs1'!AU51</f>
        <v>775000</v>
      </c>
      <c r="AV20" s="4">
        <f>'Base de données indicateurs1'!AV51</f>
        <v>0</v>
      </c>
      <c r="AW20" s="4">
        <f>'Base de données indicateurs1'!AW51</f>
        <v>0</v>
      </c>
      <c r="AX20" s="4">
        <f>'Base de données indicateurs1'!AX51</f>
        <v>0</v>
      </c>
      <c r="AY20" s="4">
        <f>'Base de données indicateurs1'!AY51</f>
        <v>0</v>
      </c>
      <c r="AZ20" s="4">
        <f>'Base de données indicateurs1'!AZ51</f>
        <v>0</v>
      </c>
      <c r="BA20" s="4">
        <f>'Base de données indicateurs1'!BA51</f>
        <v>0</v>
      </c>
      <c r="BB20" s="4">
        <f>'Base de données indicateurs1'!BB51</f>
        <v>0</v>
      </c>
      <c r="BC20" s="4">
        <f>'Base de données indicateurs1'!BC51</f>
        <v>0</v>
      </c>
      <c r="BD20" s="4">
        <f>'Base de données indicateurs1'!BD51</f>
        <v>1000000</v>
      </c>
      <c r="BE20" s="4">
        <f>'Base de données indicateurs1'!BE51</f>
        <v>0</v>
      </c>
      <c r="BF20" s="4">
        <f t="shared" si="0"/>
        <v>1312944.95</v>
      </c>
      <c r="BG20" s="4">
        <f t="shared" si="1"/>
        <v>130000</v>
      </c>
      <c r="BH20" s="4">
        <f t="shared" si="2"/>
        <v>1934047.26</v>
      </c>
    </row>
    <row r="21" spans="1:60" x14ac:dyDescent="0.25">
      <c r="A21" s="96" t="s">
        <v>520</v>
      </c>
      <c r="B21" s="97" t="s">
        <v>225</v>
      </c>
      <c r="C21" s="96">
        <v>4896</v>
      </c>
      <c r="D21" s="98">
        <f>'Base de données indicateurs1'!BF52</f>
        <v>0</v>
      </c>
      <c r="E21" s="4">
        <f>'Base de données indicateurs1'!E52</f>
        <v>0</v>
      </c>
      <c r="F21" s="4">
        <f>'Base de données indicateurs1'!F52</f>
        <v>0</v>
      </c>
      <c r="G21" s="4">
        <f>'Base de données indicateurs1'!G52</f>
        <v>0</v>
      </c>
      <c r="H21" s="4">
        <f>'Base de données indicateurs1'!H52</f>
        <v>0</v>
      </c>
      <c r="I21" s="4">
        <f>'Base de données indicateurs1'!I52</f>
        <v>0</v>
      </c>
      <c r="J21" s="4">
        <f>'Base de données indicateurs1'!J52</f>
        <v>0</v>
      </c>
      <c r="K21" s="4">
        <f>'Base de données indicateurs1'!K52</f>
        <v>0</v>
      </c>
      <c r="L21" s="4">
        <f>'Base de données indicateurs1'!L52</f>
        <v>0</v>
      </c>
      <c r="M21" s="4">
        <f>'Base de données indicateurs1'!M52</f>
        <v>0</v>
      </c>
      <c r="N21" s="4">
        <f>'Base de données indicateurs1'!N52</f>
        <v>0</v>
      </c>
      <c r="O21" s="4">
        <f>'Base de données indicateurs1'!O52</f>
        <v>0</v>
      </c>
      <c r="P21" s="4">
        <f>'Base de données indicateurs1'!P52</f>
        <v>0</v>
      </c>
      <c r="Q21" s="4">
        <f>'Base de données indicateurs1'!Q52</f>
        <v>0</v>
      </c>
      <c r="R21" s="4">
        <f>'Base de données indicateurs1'!R52</f>
        <v>0</v>
      </c>
      <c r="S21" s="4">
        <f>'Base de données indicateurs1'!S52</f>
        <v>0</v>
      </c>
      <c r="T21" s="4">
        <f>'Base de données indicateurs1'!T52</f>
        <v>0</v>
      </c>
      <c r="U21" s="4">
        <f>'Base de données indicateurs1'!U52</f>
        <v>0</v>
      </c>
      <c r="V21" s="4">
        <f>'Base de données indicateurs1'!V52</f>
        <v>0</v>
      </c>
      <c r="W21" s="4">
        <f>'Base de données indicateurs1'!W52</f>
        <v>0</v>
      </c>
      <c r="X21" s="4">
        <f>'Base de données indicateurs1'!X52</f>
        <v>0</v>
      </c>
      <c r="Y21" s="4">
        <f>'Base de données indicateurs1'!Y52</f>
        <v>0</v>
      </c>
      <c r="Z21" s="4">
        <f>'Base de données indicateurs1'!Z52</f>
        <v>0</v>
      </c>
      <c r="AA21" s="4">
        <f>'Base de données indicateurs1'!AA52</f>
        <v>0</v>
      </c>
      <c r="AB21" s="4">
        <f>'Base de données indicateurs1'!AB52</f>
        <v>0</v>
      </c>
      <c r="AC21" s="4">
        <f>'Base de données indicateurs1'!AC52</f>
        <v>0</v>
      </c>
      <c r="AD21" s="4">
        <f>'Base de données indicateurs1'!AD52</f>
        <v>0</v>
      </c>
      <c r="AE21" s="4">
        <f>'Base de données indicateurs1'!AE52</f>
        <v>0</v>
      </c>
      <c r="AF21" s="4">
        <f>'Base de données indicateurs1'!AF52</f>
        <v>0</v>
      </c>
      <c r="AG21" s="4">
        <f>'Base de données indicateurs1'!AG52</f>
        <v>0</v>
      </c>
      <c r="AH21" s="4">
        <f>'Base de données indicateurs1'!AH52</f>
        <v>0</v>
      </c>
      <c r="AI21" s="4">
        <f>'Base de données indicateurs1'!AI52</f>
        <v>0</v>
      </c>
      <c r="AJ21" s="4">
        <f>'Base de données indicateurs1'!AJ52</f>
        <v>0</v>
      </c>
      <c r="AK21" s="4">
        <f>'Base de données indicateurs1'!AK52</f>
        <v>0</v>
      </c>
      <c r="AL21" s="4">
        <f>'Base de données indicateurs1'!AL52</f>
        <v>0</v>
      </c>
      <c r="AM21" s="4">
        <f>'Base de données indicateurs1'!AM52</f>
        <v>0</v>
      </c>
      <c r="AN21" s="4">
        <f>'Base de données indicateurs1'!AN52</f>
        <v>0</v>
      </c>
      <c r="AO21" s="4">
        <f>'Base de données indicateurs1'!AO52</f>
        <v>0</v>
      </c>
      <c r="AP21" s="4">
        <f>'Base de données indicateurs1'!AP52</f>
        <v>0</v>
      </c>
      <c r="AQ21" s="4">
        <f>'Base de données indicateurs1'!AQ52</f>
        <v>0</v>
      </c>
      <c r="AR21" s="4">
        <f>'Base de données indicateurs1'!AR52</f>
        <v>0</v>
      </c>
      <c r="AS21" s="4">
        <f>'Base de données indicateurs1'!AS52</f>
        <v>0</v>
      </c>
      <c r="AT21" s="4">
        <f>'Base de données indicateurs1'!AT52</f>
        <v>0</v>
      </c>
      <c r="AU21" s="4">
        <f>'Base de données indicateurs1'!AU52</f>
        <v>0</v>
      </c>
      <c r="AV21" s="4">
        <f>'Base de données indicateurs1'!AV52</f>
        <v>0</v>
      </c>
      <c r="AW21" s="4">
        <f>'Base de données indicateurs1'!AW52</f>
        <v>0</v>
      </c>
      <c r="AX21" s="4">
        <f>'Base de données indicateurs1'!AX52</f>
        <v>0</v>
      </c>
      <c r="AY21" s="4">
        <f>'Base de données indicateurs1'!AY52</f>
        <v>0</v>
      </c>
      <c r="AZ21" s="4">
        <f>'Base de données indicateurs1'!AZ52</f>
        <v>0</v>
      </c>
      <c r="BA21" s="4">
        <f>'Base de données indicateurs1'!BA52</f>
        <v>0</v>
      </c>
      <c r="BB21" s="4">
        <f>'Base de données indicateurs1'!BB52</f>
        <v>0</v>
      </c>
      <c r="BC21" s="4">
        <f>'Base de données indicateurs1'!BC52</f>
        <v>0</v>
      </c>
      <c r="BD21" s="4">
        <f>'Base de données indicateurs1'!BD52</f>
        <v>0</v>
      </c>
      <c r="BE21" s="4">
        <f>'Base de données indicateurs1'!BE52</f>
        <v>0</v>
      </c>
      <c r="BF21" s="4">
        <f t="shared" si="0"/>
        <v>0</v>
      </c>
      <c r="BG21" s="4">
        <f t="shared" si="1"/>
        <v>0</v>
      </c>
      <c r="BH21" s="4">
        <f t="shared" si="2"/>
        <v>0</v>
      </c>
    </row>
    <row r="22" spans="1:60" ht="15.75" thickBot="1" x14ac:dyDescent="0.3">
      <c r="B22" s="99"/>
      <c r="D22" s="4"/>
      <c r="BF22" s="4"/>
      <c r="BG22" s="4"/>
      <c r="BH22" s="4"/>
    </row>
    <row r="23" spans="1:60" ht="15.75" thickBot="1" x14ac:dyDescent="0.3">
      <c r="A23" s="7" t="s">
        <v>521</v>
      </c>
      <c r="B23" s="52"/>
      <c r="C23" s="7"/>
      <c r="D23" s="100">
        <f>SUM(D17,D21)-SUM(D18:D20)</f>
        <v>361695240.11000001</v>
      </c>
      <c r="E23" s="118">
        <f>SUM(E17,E21)-SUM(E18:E20)</f>
        <v>2484648.4500000002</v>
      </c>
      <c r="F23" s="4">
        <f t="shared" ref="F23:BE23" si="4">SUM(F17,F21)-SUM(F18:F20)</f>
        <v>1031897.62</v>
      </c>
      <c r="G23" s="4">
        <f t="shared" si="4"/>
        <v>1534752.3800000001</v>
      </c>
      <c r="H23" s="4">
        <f t="shared" si="4"/>
        <v>1939379.38</v>
      </c>
      <c r="I23" s="4">
        <f t="shared" si="4"/>
        <v>15556852</v>
      </c>
      <c r="J23" s="4">
        <f t="shared" si="4"/>
        <v>13453531.07</v>
      </c>
      <c r="K23" s="4">
        <f t="shared" si="4"/>
        <v>10342400.26</v>
      </c>
      <c r="L23" s="4">
        <f t="shared" si="4"/>
        <v>97878972.689999998</v>
      </c>
      <c r="M23" s="4">
        <f t="shared" si="4"/>
        <v>7676331.6400000006</v>
      </c>
      <c r="N23" s="4">
        <f t="shared" si="4"/>
        <v>517820.83</v>
      </c>
      <c r="O23" s="4">
        <f t="shared" si="4"/>
        <v>27275736.82</v>
      </c>
      <c r="P23" s="4">
        <f t="shared" si="4"/>
        <v>1856052.54</v>
      </c>
      <c r="Q23" s="4">
        <f t="shared" si="4"/>
        <v>420828.52</v>
      </c>
      <c r="R23" s="4">
        <f t="shared" si="4"/>
        <v>963082.93</v>
      </c>
      <c r="S23" s="4">
        <f t="shared" si="4"/>
        <v>837138.83</v>
      </c>
      <c r="T23" s="4">
        <f t="shared" si="4"/>
        <v>3018687.98</v>
      </c>
      <c r="U23" s="4">
        <f t="shared" si="4"/>
        <v>946108.07</v>
      </c>
      <c r="V23" s="4">
        <f t="shared" si="4"/>
        <v>2158247.85</v>
      </c>
      <c r="W23" s="4">
        <f t="shared" si="4"/>
        <v>12534708.129999999</v>
      </c>
      <c r="X23" s="4">
        <f t="shared" si="4"/>
        <v>822382.96</v>
      </c>
      <c r="Y23" s="4">
        <f t="shared" si="4"/>
        <v>7518799.2599999998</v>
      </c>
      <c r="Z23" s="4">
        <f t="shared" si="4"/>
        <v>11021467.16</v>
      </c>
      <c r="AA23" s="4">
        <f t="shared" si="4"/>
        <v>481766.12</v>
      </c>
      <c r="AB23" s="4">
        <f t="shared" si="4"/>
        <v>681991.03</v>
      </c>
      <c r="AC23" s="4">
        <f t="shared" si="4"/>
        <v>1098216.46</v>
      </c>
      <c r="AD23" s="4">
        <f t="shared" si="4"/>
        <v>3352314.97</v>
      </c>
      <c r="AE23" s="4">
        <f t="shared" si="4"/>
        <v>2462246.58</v>
      </c>
      <c r="AF23" s="4">
        <f t="shared" si="4"/>
        <v>2701303.44</v>
      </c>
      <c r="AG23" s="4">
        <f t="shared" si="4"/>
        <v>9732038.0800000001</v>
      </c>
      <c r="AH23" s="4">
        <f t="shared" si="4"/>
        <v>12676611.98</v>
      </c>
      <c r="AI23" s="4">
        <f t="shared" si="4"/>
        <v>1090545.5299999998</v>
      </c>
      <c r="AJ23" s="4">
        <f t="shared" si="4"/>
        <v>716212.09</v>
      </c>
      <c r="AK23" s="4">
        <f t="shared" si="4"/>
        <v>5792786.6500000004</v>
      </c>
      <c r="AL23" s="4">
        <f t="shared" si="4"/>
        <v>5584298</v>
      </c>
      <c r="AM23" s="4">
        <f t="shared" si="4"/>
        <v>5411830.3200000003</v>
      </c>
      <c r="AN23" s="4">
        <f t="shared" si="4"/>
        <v>336522.26</v>
      </c>
      <c r="AO23" s="4">
        <f t="shared" si="4"/>
        <v>9404092.9000000004</v>
      </c>
      <c r="AP23" s="4">
        <f t="shared" si="4"/>
        <v>3880880.65</v>
      </c>
      <c r="AQ23" s="4">
        <f t="shared" si="4"/>
        <v>1738358</v>
      </c>
      <c r="AR23" s="4">
        <f t="shared" si="4"/>
        <v>3202894.41</v>
      </c>
      <c r="AS23" s="4">
        <f t="shared" si="4"/>
        <v>1620047.26</v>
      </c>
      <c r="AT23" s="4">
        <f t="shared" si="4"/>
        <v>2436343.5</v>
      </c>
      <c r="AU23" s="4">
        <f t="shared" si="4"/>
        <v>-491864.57</v>
      </c>
      <c r="AV23" s="4">
        <f t="shared" si="4"/>
        <v>8506625.0599999987</v>
      </c>
      <c r="AW23" s="4">
        <f t="shared" si="4"/>
        <v>3321892.18</v>
      </c>
      <c r="AX23" s="4">
        <f t="shared" si="4"/>
        <v>646701.05000000005</v>
      </c>
      <c r="AY23" s="4">
        <f t="shared" si="4"/>
        <v>906867.19999999995</v>
      </c>
      <c r="AZ23" s="4">
        <f t="shared" si="4"/>
        <v>5064301.16</v>
      </c>
      <c r="BA23" s="4">
        <f t="shared" si="4"/>
        <v>1735107.11</v>
      </c>
      <c r="BB23" s="4">
        <f t="shared" si="4"/>
        <v>3370355.2600000002</v>
      </c>
      <c r="BC23" s="4">
        <f t="shared" si="4"/>
        <v>754241</v>
      </c>
      <c r="BD23" s="4">
        <f t="shared" si="4"/>
        <v>39168822.840000004</v>
      </c>
      <c r="BE23" s="4">
        <f t="shared" si="4"/>
        <v>2521064.2200000002</v>
      </c>
      <c r="BF23" s="4">
        <f t="shared" si="0"/>
        <v>202427177.99000001</v>
      </c>
      <c r="BG23" s="4">
        <f t="shared" si="1"/>
        <v>54355895.660000011</v>
      </c>
      <c r="BH23" s="4">
        <f t="shared" si="2"/>
        <v>104912166.46000001</v>
      </c>
    </row>
    <row r="24" spans="1:60" ht="15.75" thickBot="1" x14ac:dyDescent="0.3">
      <c r="B24" s="99"/>
      <c r="D24" s="4"/>
      <c r="BF24" s="4"/>
      <c r="BG24" s="4"/>
      <c r="BH24" s="4"/>
    </row>
    <row r="25" spans="1:60" ht="15.75" thickBot="1" x14ac:dyDescent="0.3">
      <c r="A25" s="7" t="s">
        <v>522</v>
      </c>
      <c r="B25" s="99"/>
      <c r="D25" s="100">
        <f>IF(D23&lt;&gt;0,D15/D23,"")*100</f>
        <v>1.0238574742851905</v>
      </c>
      <c r="E25" s="118">
        <f>IF(E23&lt;&gt;0,E15/E23,"")*100</f>
        <v>0.8484797919802296</v>
      </c>
      <c r="F25" s="4">
        <f t="shared" ref="F25:BH25" si="5">IF(F23&lt;&gt;0,F15/F23,"")*100</f>
        <v>2.2895168611785346</v>
      </c>
      <c r="G25" s="4">
        <f t="shared" si="5"/>
        <v>3.6775254911153814</v>
      </c>
      <c r="H25" s="4">
        <f t="shared" si="5"/>
        <v>2.2411525278772428</v>
      </c>
      <c r="I25" s="4">
        <f t="shared" si="5"/>
        <v>1.8879462245960814</v>
      </c>
      <c r="J25" s="4">
        <f t="shared" si="5"/>
        <v>1.0907719262434497</v>
      </c>
      <c r="K25" s="4">
        <f t="shared" si="5"/>
        <v>0.4161348325151748</v>
      </c>
      <c r="L25" s="4">
        <f t="shared" si="5"/>
        <v>0.78342053346698237</v>
      </c>
      <c r="M25" s="4">
        <f t="shared" si="5"/>
        <v>3.2723052074910094E-2</v>
      </c>
      <c r="N25" s="4">
        <f t="shared" si="5"/>
        <v>1.4581143829227574</v>
      </c>
      <c r="O25" s="4">
        <f t="shared" si="5"/>
        <v>0.4527074770330623</v>
      </c>
      <c r="P25" s="4">
        <f t="shared" si="5"/>
        <v>1.6710087312506789</v>
      </c>
      <c r="Q25" s="4">
        <f t="shared" si="5"/>
        <v>1.2272053234414815</v>
      </c>
      <c r="R25" s="4">
        <f t="shared" si="5"/>
        <v>4.68028023298056</v>
      </c>
      <c r="S25" s="4">
        <f t="shared" si="5"/>
        <v>7.7633467318676406</v>
      </c>
      <c r="T25" s="4">
        <f t="shared" si="5"/>
        <v>0.91843013202046797</v>
      </c>
      <c r="U25" s="4">
        <f t="shared" si="5"/>
        <v>0.41148681883666849</v>
      </c>
      <c r="V25" s="4">
        <f t="shared" si="5"/>
        <v>1.1040882074781166</v>
      </c>
      <c r="W25" s="4">
        <f t="shared" si="5"/>
        <v>0.80514399659978375</v>
      </c>
      <c r="X25" s="4">
        <f t="shared" si="5"/>
        <v>0.35772628362825037</v>
      </c>
      <c r="Y25" s="4">
        <f t="shared" si="5"/>
        <v>1.5793460617008144</v>
      </c>
      <c r="Z25" s="4">
        <f t="shared" si="5"/>
        <v>-0.20177957868179139</v>
      </c>
      <c r="AA25" s="4">
        <f t="shared" si="5"/>
        <v>0.41805970083574989</v>
      </c>
      <c r="AB25" s="4">
        <f t="shared" si="5"/>
        <v>-2.7837609535714916E-2</v>
      </c>
      <c r="AC25" s="4">
        <f t="shared" si="5"/>
        <v>3.7873171196141064</v>
      </c>
      <c r="AD25" s="4">
        <f t="shared" si="5"/>
        <v>1.9777100479314449</v>
      </c>
      <c r="AE25" s="4">
        <f t="shared" si="5"/>
        <v>1.2158940637050251</v>
      </c>
      <c r="AF25" s="4">
        <f t="shared" si="5"/>
        <v>0.32989518571079152</v>
      </c>
      <c r="AG25" s="4">
        <f t="shared" si="5"/>
        <v>0.31539632035636261</v>
      </c>
      <c r="AH25" s="4">
        <f t="shared" si="5"/>
        <v>0.91677066540613639</v>
      </c>
      <c r="AI25" s="4">
        <f t="shared" si="5"/>
        <v>2.1728813101457582</v>
      </c>
      <c r="AJ25" s="4">
        <f t="shared" si="5"/>
        <v>0.40281783012068401</v>
      </c>
      <c r="AK25" s="4">
        <f t="shared" si="5"/>
        <v>-0.78289867623555565</v>
      </c>
      <c r="AL25" s="4">
        <f t="shared" si="5"/>
        <v>1.2602300235410073</v>
      </c>
      <c r="AM25" s="4">
        <f t="shared" si="5"/>
        <v>1.8495151193136445</v>
      </c>
      <c r="AN25" s="4">
        <f t="shared" si="5"/>
        <v>4.334173911704978</v>
      </c>
      <c r="AO25" s="4">
        <f t="shared" si="5"/>
        <v>0.4965700625947666</v>
      </c>
      <c r="AP25" s="4">
        <f t="shared" si="5"/>
        <v>0.86510802644755391</v>
      </c>
      <c r="AQ25" s="4">
        <f t="shared" si="5"/>
        <v>2.5224953663169498</v>
      </c>
      <c r="AR25" s="4">
        <f t="shared" si="5"/>
        <v>1.3596951514864333</v>
      </c>
      <c r="AS25" s="4">
        <f t="shared" si="5"/>
        <v>2.6026092596829549</v>
      </c>
      <c r="AT25" s="4">
        <f t="shared" si="5"/>
        <v>2.9171149306327284</v>
      </c>
      <c r="AU25" s="4">
        <f t="shared" si="5"/>
        <v>-3.3740344420416375</v>
      </c>
      <c r="AV25" s="4">
        <f t="shared" si="5"/>
        <v>2.8712397487517807</v>
      </c>
      <c r="AW25" s="4">
        <f t="shared" si="5"/>
        <v>1.0992304392010699</v>
      </c>
      <c r="AX25" s="4">
        <f t="shared" si="5"/>
        <v>0.49859823174865714</v>
      </c>
      <c r="AY25" s="4">
        <f t="shared" si="5"/>
        <v>0.41550846695083921</v>
      </c>
      <c r="AZ25" s="4">
        <f t="shared" si="5"/>
        <v>5.2144337719441634</v>
      </c>
      <c r="BA25" s="4">
        <f t="shared" si="5"/>
        <v>6.6255852066677348E-2</v>
      </c>
      <c r="BB25" s="4">
        <f t="shared" si="5"/>
        <v>1.1366510959441112</v>
      </c>
      <c r="BC25" s="4">
        <f t="shared" si="5"/>
        <v>-1.1689155057866119</v>
      </c>
      <c r="BD25" s="4">
        <f t="shared" si="5"/>
        <v>1.0877094819528663</v>
      </c>
      <c r="BE25" s="4">
        <f t="shared" si="5"/>
        <v>0.19664155957121945</v>
      </c>
      <c r="BF25" s="4">
        <f t="shared" si="5"/>
        <v>0.90455349829085452</v>
      </c>
      <c r="BG25" s="4">
        <f t="shared" si="5"/>
        <v>0.77545943247180038</v>
      </c>
      <c r="BH25" s="4">
        <f t="shared" si="5"/>
        <v>1.3827506941753034</v>
      </c>
    </row>
    <row r="26" spans="1:60" x14ac:dyDescent="0.25">
      <c r="A26" s="102" t="s">
        <v>523</v>
      </c>
      <c r="B26" s="99"/>
      <c r="D26" s="4"/>
      <c r="BF26" s="4"/>
      <c r="BG26" s="4"/>
      <c r="BH26" s="4"/>
    </row>
    <row r="27" spans="1:60" x14ac:dyDescent="0.25">
      <c r="A27" s="102"/>
      <c r="B27" s="99"/>
      <c r="D27" s="4"/>
      <c r="BF27" s="4"/>
      <c r="BG27" s="4"/>
      <c r="BH27" s="4"/>
    </row>
    <row r="28" spans="1:60" x14ac:dyDescent="0.25">
      <c r="B28" s="99"/>
      <c r="D28" s="4"/>
      <c r="BF28" s="4"/>
      <c r="BG28" s="4"/>
      <c r="BH28" s="4"/>
    </row>
    <row r="29" spans="1:60" x14ac:dyDescent="0.25">
      <c r="A29" s="7" t="s">
        <v>524</v>
      </c>
      <c r="B29" s="99"/>
      <c r="D29" s="4"/>
      <c r="BF29" s="4"/>
      <c r="BG29" s="4"/>
      <c r="BH29" s="4"/>
    </row>
    <row r="30" spans="1:60" x14ac:dyDescent="0.25">
      <c r="B30" s="99"/>
      <c r="D30" s="4"/>
      <c r="BF30" s="4"/>
      <c r="BG30" s="4"/>
      <c r="BH30" s="4"/>
    </row>
    <row r="31" spans="1:60" x14ac:dyDescent="0.25">
      <c r="A31" s="93" t="s">
        <v>253</v>
      </c>
      <c r="B31" s="94" t="s">
        <v>225</v>
      </c>
      <c r="C31" s="103">
        <v>200</v>
      </c>
      <c r="D31" s="95">
        <f>'Base de données indicateurs1'!BF9</f>
        <v>37578063.129999995</v>
      </c>
      <c r="E31" s="4">
        <f>'Base de données indicateurs1'!E9</f>
        <v>0</v>
      </c>
      <c r="F31" s="4">
        <f>'Base de données indicateurs1'!F9</f>
        <v>96415.1</v>
      </c>
      <c r="G31" s="4">
        <f>'Base de données indicateurs1'!G9</f>
        <v>204208.4</v>
      </c>
      <c r="H31" s="4">
        <f>'Base de données indicateurs1'!H9</f>
        <v>288807.18</v>
      </c>
      <c r="I31" s="4">
        <f>'Base de données indicateurs1'!I9</f>
        <v>770196</v>
      </c>
      <c r="J31" s="4">
        <f>'Base de données indicateurs1'!J9</f>
        <v>1390243.5</v>
      </c>
      <c r="K31" s="4">
        <f>'Base de données indicateurs1'!K9</f>
        <v>386006.85</v>
      </c>
      <c r="L31" s="4">
        <f>'Base de données indicateurs1'!L9</f>
        <v>10226270.390000001</v>
      </c>
      <c r="M31" s="4">
        <f>'Base de données indicateurs1'!M9</f>
        <v>313883.77</v>
      </c>
      <c r="N31" s="4">
        <f>'Base de données indicateurs1'!N9</f>
        <v>78133.58</v>
      </c>
      <c r="O31" s="4">
        <f>'Base de données indicateurs1'!O9</f>
        <v>1915537.59</v>
      </c>
      <c r="P31" s="4">
        <f>'Base de données indicateurs1'!P9</f>
        <v>103015.62</v>
      </c>
      <c r="Q31" s="4">
        <f>'Base de données indicateurs1'!Q9</f>
        <v>537.75</v>
      </c>
      <c r="R31" s="4">
        <f>'Base de données indicateurs1'!R9</f>
        <v>140154.57</v>
      </c>
      <c r="S31" s="4">
        <f>'Base de données indicateurs1'!S9</f>
        <v>61278.31</v>
      </c>
      <c r="T31" s="4">
        <f>'Base de données indicateurs1'!T9</f>
        <v>224663.18</v>
      </c>
      <c r="U31" s="4">
        <f>'Base de données indicateurs1'!U9</f>
        <v>264819.38</v>
      </c>
      <c r="V31" s="4">
        <f>'Base de données indicateurs1'!V9</f>
        <v>293780.13</v>
      </c>
      <c r="W31" s="4">
        <f>'Base de données indicateurs1'!W9</f>
        <v>1439741.95</v>
      </c>
      <c r="X31" s="4">
        <f>'Base de données indicateurs1'!X9</f>
        <v>0</v>
      </c>
      <c r="Y31" s="4">
        <f>'Base de données indicateurs1'!Y9</f>
        <v>-43502.31</v>
      </c>
      <c r="Z31" s="4">
        <f>'Base de données indicateurs1'!Z9</f>
        <v>5139268.8499999996</v>
      </c>
      <c r="AA31" s="4">
        <f>'Base de données indicateurs1'!AA9</f>
        <v>66448.5</v>
      </c>
      <c r="AB31" s="4">
        <f>'Base de données indicateurs1'!AB9</f>
        <v>30930.55</v>
      </c>
      <c r="AC31" s="4">
        <f>'Base de données indicateurs1'!AC9</f>
        <v>360279.41</v>
      </c>
      <c r="AD31" s="4">
        <f>'Base de données indicateurs1'!AD9</f>
        <v>146295.12</v>
      </c>
      <c r="AE31" s="4">
        <f>'Base de données indicateurs1'!AE9</f>
        <v>20883.599999999999</v>
      </c>
      <c r="AF31" s="4">
        <f>'Base de données indicateurs1'!AF9</f>
        <v>177481.53</v>
      </c>
      <c r="AG31" s="4">
        <f>'Base de données indicateurs1'!AG9</f>
        <v>1236141.22</v>
      </c>
      <c r="AH31" s="4">
        <f>'Base de données indicateurs1'!AH9</f>
        <v>774396.68</v>
      </c>
      <c r="AI31" s="4">
        <f>'Base de données indicateurs1'!AI9</f>
        <v>607793.76</v>
      </c>
      <c r="AJ31" s="4">
        <f>'Base de données indicateurs1'!AJ9</f>
        <v>60243.5</v>
      </c>
      <c r="AK31" s="4">
        <f>'Base de données indicateurs1'!AK9</f>
        <v>149235.53</v>
      </c>
      <c r="AL31" s="4">
        <f>'Base de données indicateurs1'!AL9</f>
        <v>400259.22</v>
      </c>
      <c r="AM31" s="4">
        <f>'Base de données indicateurs1'!AM9</f>
        <v>373344.66</v>
      </c>
      <c r="AN31" s="4">
        <f>'Base de données indicateurs1'!AN9</f>
        <v>25435.59</v>
      </c>
      <c r="AO31" s="4">
        <f>'Base de données indicateurs1'!AO9</f>
        <v>1045617.86</v>
      </c>
      <c r="AP31" s="4">
        <f>'Base de données indicateurs1'!AP9</f>
        <v>356679.72</v>
      </c>
      <c r="AQ31" s="4">
        <f>'Base de données indicateurs1'!AQ9</f>
        <v>115182</v>
      </c>
      <c r="AR31" s="4">
        <f>'Base de données indicateurs1'!AR9</f>
        <v>779647.5</v>
      </c>
      <c r="AS31" s="4">
        <f>'Base de données indicateurs1'!AS9</f>
        <v>578207.18000000005</v>
      </c>
      <c r="AT31" s="4">
        <f>'Base de données indicateurs1'!AT9</f>
        <v>304650.15999999997</v>
      </c>
      <c r="AU31" s="4">
        <f>'Base de données indicateurs1'!AU9</f>
        <v>41809.15</v>
      </c>
      <c r="AV31" s="4">
        <f>'Base de données indicateurs1'!AV9</f>
        <v>169682.91</v>
      </c>
      <c r="AW31" s="4">
        <f>'Base de données indicateurs1'!AW9</f>
        <v>96698.8</v>
      </c>
      <c r="AX31" s="4">
        <f>'Base de données indicateurs1'!AX9</f>
        <v>67075</v>
      </c>
      <c r="AY31" s="4">
        <f>'Base de données indicateurs1'!AY9</f>
        <v>124398.05</v>
      </c>
      <c r="AZ31" s="4">
        <f>'Base de données indicateurs1'!AZ9</f>
        <v>1017304</v>
      </c>
      <c r="BA31" s="4">
        <f>'Base de données indicateurs1'!BA9</f>
        <v>47647.15</v>
      </c>
      <c r="BB31" s="4">
        <f>'Base de données indicateurs1'!BB9</f>
        <v>547198.9</v>
      </c>
      <c r="BC31" s="4">
        <f>'Base de données indicateurs1'!BC9</f>
        <v>81146.8</v>
      </c>
      <c r="BD31" s="4">
        <f>'Base de données indicateurs1'!BD9</f>
        <v>4206691.96</v>
      </c>
      <c r="BE31" s="4">
        <f>'Base de données indicateurs1'!BE9</f>
        <v>275797.33</v>
      </c>
      <c r="BF31" s="4">
        <f t="shared" si="0"/>
        <v>18197693.25</v>
      </c>
      <c r="BG31" s="4">
        <f t="shared" si="1"/>
        <v>8576660.4100000001</v>
      </c>
      <c r="BH31" s="4">
        <f t="shared" si="2"/>
        <v>10803709.470000001</v>
      </c>
    </row>
    <row r="32" spans="1:60" x14ac:dyDescent="0.25">
      <c r="A32" s="96" t="s">
        <v>254</v>
      </c>
      <c r="B32" s="97" t="s">
        <v>225</v>
      </c>
      <c r="C32" s="96">
        <v>201</v>
      </c>
      <c r="D32" s="98">
        <f>'Base de données indicateurs1'!BF10</f>
        <v>107135120.95</v>
      </c>
      <c r="E32" s="4">
        <f>'Base de données indicateurs1'!E10</f>
        <v>5748056.3600000003</v>
      </c>
      <c r="F32" s="4">
        <f>'Base de données indicateurs1'!F10</f>
        <v>308700</v>
      </c>
      <c r="G32" s="4">
        <f>'Base de données indicateurs1'!G10</f>
        <v>140800</v>
      </c>
      <c r="H32" s="4">
        <f>'Base de données indicateurs1'!H10</f>
        <v>252741.72</v>
      </c>
      <c r="I32" s="4">
        <f>'Base de données indicateurs1'!I10</f>
        <v>5587130</v>
      </c>
      <c r="J32" s="4">
        <f>'Base de données indicateurs1'!J10</f>
        <v>6015550</v>
      </c>
      <c r="K32" s="4">
        <f>'Base de données indicateurs1'!K10</f>
        <v>390000</v>
      </c>
      <c r="L32" s="4">
        <f>'Base de données indicateurs1'!L10</f>
        <v>37051659</v>
      </c>
      <c r="M32" s="4">
        <f>'Base de données indicateurs1'!M10</f>
        <v>267000</v>
      </c>
      <c r="N32" s="4">
        <f>'Base de données indicateurs1'!N10</f>
        <v>0</v>
      </c>
      <c r="O32" s="4">
        <f>'Base de données indicateurs1'!O10</f>
        <v>16290985.550000001</v>
      </c>
      <c r="P32" s="4">
        <f>'Base de données indicateurs1'!P10</f>
        <v>1214136.27</v>
      </c>
      <c r="Q32" s="4">
        <f>'Base de données indicateurs1'!Q10</f>
        <v>120408.18</v>
      </c>
      <c r="R32" s="4">
        <f>'Base de données indicateurs1'!R10</f>
        <v>0</v>
      </c>
      <c r="S32" s="4">
        <f>'Base de données indicateurs1'!S10</f>
        <v>2979081.9</v>
      </c>
      <c r="T32" s="4">
        <f>'Base de données indicateurs1'!T10</f>
        <v>0</v>
      </c>
      <c r="U32" s="4">
        <f>'Base de données indicateurs1'!U10</f>
        <v>168291.86</v>
      </c>
      <c r="V32" s="4">
        <f>'Base de données indicateurs1'!V10</f>
        <v>235989.23</v>
      </c>
      <c r="W32" s="4">
        <f>'Base de données indicateurs1'!W10</f>
        <v>2545622.62</v>
      </c>
      <c r="X32" s="4">
        <f>'Base de données indicateurs1'!X10</f>
        <v>405605</v>
      </c>
      <c r="Y32" s="4">
        <f>'Base de données indicateurs1'!Y10</f>
        <v>1490285.95</v>
      </c>
      <c r="Z32" s="4">
        <f>'Base de données indicateurs1'!Z10</f>
        <v>2640000</v>
      </c>
      <c r="AA32" s="4">
        <f>'Base de données indicateurs1'!AA10</f>
        <v>0</v>
      </c>
      <c r="AB32" s="4">
        <f>'Base de données indicateurs1'!AB10</f>
        <v>12500</v>
      </c>
      <c r="AC32" s="4">
        <f>'Base de données indicateurs1'!AC10</f>
        <v>1235051.02</v>
      </c>
      <c r="AD32" s="4">
        <f>'Base de données indicateurs1'!AD10</f>
        <v>-22825.81</v>
      </c>
      <c r="AE32" s="4">
        <f>'Base de données indicateurs1'!AE10</f>
        <v>587125.71</v>
      </c>
      <c r="AF32" s="4">
        <f>'Base de données indicateurs1'!AF10</f>
        <v>490796.4</v>
      </c>
      <c r="AG32" s="4">
        <f>'Base de données indicateurs1'!AG10</f>
        <v>876760.84</v>
      </c>
      <c r="AH32" s="4">
        <f>'Base de données indicateurs1'!AH10</f>
        <v>1234262.1499999999</v>
      </c>
      <c r="AI32" s="4">
        <f>'Base de données indicateurs1'!AI10</f>
        <v>242085.96</v>
      </c>
      <c r="AJ32" s="4">
        <f>'Base de données indicateurs1'!AJ10</f>
        <v>148300</v>
      </c>
      <c r="AK32" s="4">
        <f>'Base de données indicateurs1'!AK10</f>
        <v>496152.57</v>
      </c>
      <c r="AL32" s="4">
        <f>'Base de données indicateurs1'!AL10</f>
        <v>573216.67000000004</v>
      </c>
      <c r="AM32" s="4">
        <f>'Base de données indicateurs1'!AM10</f>
        <v>230143.03</v>
      </c>
      <c r="AN32" s="4">
        <f>'Base de données indicateurs1'!AN10</f>
        <v>0</v>
      </c>
      <c r="AO32" s="4">
        <f>'Base de données indicateurs1'!AO10</f>
        <v>0</v>
      </c>
      <c r="AP32" s="4">
        <f>'Base de données indicateurs1'!AP10</f>
        <v>102400</v>
      </c>
      <c r="AQ32" s="4">
        <f>'Base de données indicateurs1'!AQ10</f>
        <v>536240</v>
      </c>
      <c r="AR32" s="4">
        <f>'Base de données indicateurs1'!AR10</f>
        <v>1050</v>
      </c>
      <c r="AS32" s="4">
        <f>'Base de données indicateurs1'!AS10</f>
        <v>249777.17</v>
      </c>
      <c r="AT32" s="4">
        <f>'Base de données indicateurs1'!AT10</f>
        <v>294313</v>
      </c>
      <c r="AU32" s="4">
        <f>'Base de données indicateurs1'!AU10</f>
        <v>19300</v>
      </c>
      <c r="AV32" s="4">
        <f>'Base de données indicateurs1'!AV10</f>
        <v>0</v>
      </c>
      <c r="AW32" s="4">
        <f>'Base de données indicateurs1'!AW10</f>
        <v>666341.01</v>
      </c>
      <c r="AX32" s="4">
        <f>'Base de données indicateurs1'!AX10</f>
        <v>238.5</v>
      </c>
      <c r="AY32" s="4">
        <f>'Base de données indicateurs1'!AY10</f>
        <v>0</v>
      </c>
      <c r="AZ32" s="4">
        <f>'Base de données indicateurs1'!AZ10</f>
        <v>999818.38</v>
      </c>
      <c r="BA32" s="4">
        <f>'Base de données indicateurs1'!BA10</f>
        <v>1162137.02</v>
      </c>
      <c r="BB32" s="4">
        <f>'Base de données indicateurs1'!BB10</f>
        <v>2681903.5299999998</v>
      </c>
      <c r="BC32" s="4">
        <f>'Base de données indicateurs1'!BC10</f>
        <v>0</v>
      </c>
      <c r="BD32" s="4">
        <f>'Base de données indicateurs1'!BD10</f>
        <v>10280540</v>
      </c>
      <c r="BE32" s="4">
        <f>'Base de données indicateurs1'!BE10</f>
        <v>185450.16</v>
      </c>
      <c r="BF32" s="4">
        <f t="shared" si="0"/>
        <v>79316152.690000013</v>
      </c>
      <c r="BG32" s="4">
        <f t="shared" si="1"/>
        <v>9339947.2200000025</v>
      </c>
      <c r="BH32" s="4">
        <f t="shared" si="2"/>
        <v>18479021.039999999</v>
      </c>
    </row>
    <row r="33" spans="1:60" x14ac:dyDescent="0.25">
      <c r="A33" s="96" t="s">
        <v>269</v>
      </c>
      <c r="B33" s="97" t="s">
        <v>226</v>
      </c>
      <c r="C33" s="96">
        <v>2016</v>
      </c>
      <c r="D33" s="98">
        <f>'Base de données indicateurs1'!BF11</f>
        <v>0</v>
      </c>
      <c r="E33" s="4">
        <f>'Base de données indicateurs1'!E11</f>
        <v>0</v>
      </c>
      <c r="F33" s="4">
        <f>'Base de données indicateurs1'!F11</f>
        <v>0</v>
      </c>
      <c r="G33" s="4">
        <f>'Base de données indicateurs1'!G11</f>
        <v>0</v>
      </c>
      <c r="H33" s="4">
        <f>'Base de données indicateurs1'!H11</f>
        <v>0</v>
      </c>
      <c r="I33" s="4">
        <f>'Base de données indicateurs1'!I11</f>
        <v>0</v>
      </c>
      <c r="J33" s="4">
        <f>'Base de données indicateurs1'!J11</f>
        <v>0</v>
      </c>
      <c r="K33" s="4">
        <f>'Base de données indicateurs1'!K11</f>
        <v>0</v>
      </c>
      <c r="L33" s="4">
        <f>'Base de données indicateurs1'!L11</f>
        <v>0</v>
      </c>
      <c r="M33" s="4">
        <f>'Base de données indicateurs1'!M11</f>
        <v>0</v>
      </c>
      <c r="N33" s="4">
        <f>'Base de données indicateurs1'!N11</f>
        <v>0</v>
      </c>
      <c r="O33" s="4">
        <f>'Base de données indicateurs1'!O11</f>
        <v>0</v>
      </c>
      <c r="P33" s="4">
        <f>'Base de données indicateurs1'!P11</f>
        <v>0</v>
      </c>
      <c r="Q33" s="4">
        <f>'Base de données indicateurs1'!Q11</f>
        <v>0</v>
      </c>
      <c r="R33" s="4">
        <f>'Base de données indicateurs1'!R11</f>
        <v>0</v>
      </c>
      <c r="S33" s="4">
        <f>'Base de données indicateurs1'!S11</f>
        <v>0</v>
      </c>
      <c r="T33" s="4">
        <f>'Base de données indicateurs1'!T11</f>
        <v>0</v>
      </c>
      <c r="U33" s="4">
        <f>'Base de données indicateurs1'!U11</f>
        <v>0</v>
      </c>
      <c r="V33" s="4">
        <f>'Base de données indicateurs1'!V11</f>
        <v>0</v>
      </c>
      <c r="W33" s="4">
        <f>'Base de données indicateurs1'!W11</f>
        <v>0</v>
      </c>
      <c r="X33" s="4">
        <f>'Base de données indicateurs1'!X11</f>
        <v>0</v>
      </c>
      <c r="Y33" s="4">
        <f>'Base de données indicateurs1'!Y11</f>
        <v>0</v>
      </c>
      <c r="Z33" s="4">
        <f>'Base de données indicateurs1'!Z11</f>
        <v>0</v>
      </c>
      <c r="AA33" s="4">
        <f>'Base de données indicateurs1'!AA11</f>
        <v>0</v>
      </c>
      <c r="AB33" s="4">
        <f>'Base de données indicateurs1'!AB11</f>
        <v>0</v>
      </c>
      <c r="AC33" s="4">
        <f>'Base de données indicateurs1'!AC11</f>
        <v>0</v>
      </c>
      <c r="AD33" s="4">
        <f>'Base de données indicateurs1'!AD11</f>
        <v>0</v>
      </c>
      <c r="AE33" s="4">
        <f>'Base de données indicateurs1'!AE11</f>
        <v>0</v>
      </c>
      <c r="AF33" s="4">
        <f>'Base de données indicateurs1'!AF11</f>
        <v>0</v>
      </c>
      <c r="AG33" s="4">
        <f>'Base de données indicateurs1'!AG11</f>
        <v>0</v>
      </c>
      <c r="AH33" s="4">
        <f>'Base de données indicateurs1'!AH11</f>
        <v>0</v>
      </c>
      <c r="AI33" s="4">
        <f>'Base de données indicateurs1'!AI11</f>
        <v>0</v>
      </c>
      <c r="AJ33" s="4">
        <f>'Base de données indicateurs1'!AJ11</f>
        <v>0</v>
      </c>
      <c r="AK33" s="4">
        <f>'Base de données indicateurs1'!AK11</f>
        <v>0</v>
      </c>
      <c r="AL33" s="4">
        <f>'Base de données indicateurs1'!AL11</f>
        <v>0</v>
      </c>
      <c r="AM33" s="4">
        <f>'Base de données indicateurs1'!AM11</f>
        <v>0</v>
      </c>
      <c r="AN33" s="4">
        <f>'Base de données indicateurs1'!AN11</f>
        <v>0</v>
      </c>
      <c r="AO33" s="4">
        <f>'Base de données indicateurs1'!AO11</f>
        <v>0</v>
      </c>
      <c r="AP33" s="4">
        <f>'Base de données indicateurs1'!AP11</f>
        <v>0</v>
      </c>
      <c r="AQ33" s="4">
        <f>'Base de données indicateurs1'!AQ11</f>
        <v>0</v>
      </c>
      <c r="AR33" s="4">
        <f>'Base de données indicateurs1'!AR11</f>
        <v>0</v>
      </c>
      <c r="AS33" s="4">
        <f>'Base de données indicateurs1'!AS11</f>
        <v>0</v>
      </c>
      <c r="AT33" s="4">
        <f>'Base de données indicateurs1'!AT11</f>
        <v>0</v>
      </c>
      <c r="AU33" s="4">
        <f>'Base de données indicateurs1'!AU11</f>
        <v>0</v>
      </c>
      <c r="AV33" s="4">
        <f>'Base de données indicateurs1'!AV11</f>
        <v>0</v>
      </c>
      <c r="AW33" s="4">
        <f>'Base de données indicateurs1'!AW11</f>
        <v>0</v>
      </c>
      <c r="AX33" s="4">
        <f>'Base de données indicateurs1'!AX11</f>
        <v>0</v>
      </c>
      <c r="AY33" s="4">
        <f>'Base de données indicateurs1'!AY11</f>
        <v>0</v>
      </c>
      <c r="AZ33" s="4">
        <f>'Base de données indicateurs1'!AZ11</f>
        <v>0</v>
      </c>
      <c r="BA33" s="4">
        <f>'Base de données indicateurs1'!BA11</f>
        <v>0</v>
      </c>
      <c r="BB33" s="4">
        <f>'Base de données indicateurs1'!BB11</f>
        <v>0</v>
      </c>
      <c r="BC33" s="4">
        <f>'Base de données indicateurs1'!BC11</f>
        <v>0</v>
      </c>
      <c r="BD33" s="4">
        <f>'Base de données indicateurs1'!BD11</f>
        <v>0</v>
      </c>
      <c r="BE33" s="4">
        <f>'Base de données indicateurs1'!BE11</f>
        <v>0</v>
      </c>
      <c r="BF33" s="4">
        <f t="shared" si="0"/>
        <v>0</v>
      </c>
      <c r="BG33" s="4">
        <f t="shared" si="1"/>
        <v>0</v>
      </c>
      <c r="BH33" s="4">
        <f t="shared" si="2"/>
        <v>0</v>
      </c>
    </row>
    <row r="34" spans="1:60" x14ac:dyDescent="0.25">
      <c r="A34" s="96" t="s">
        <v>257</v>
      </c>
      <c r="B34" s="97" t="s">
        <v>225</v>
      </c>
      <c r="C34" s="96">
        <v>206</v>
      </c>
      <c r="D34" s="98">
        <f>'Base de données indicateurs1'!BF12</f>
        <v>443273805.72000003</v>
      </c>
      <c r="E34" s="4">
        <f>'Base de données indicateurs1'!E12</f>
        <v>4604400</v>
      </c>
      <c r="F34" s="4">
        <f>'Base de données indicateurs1'!F12</f>
        <v>2069199.6</v>
      </c>
      <c r="G34" s="4">
        <f>'Base de données indicateurs1'!G12</f>
        <v>5177800</v>
      </c>
      <c r="H34" s="4">
        <f>'Base de données indicateurs1'!H12</f>
        <v>3890756.96</v>
      </c>
      <c r="I34" s="4">
        <f>'Base de données indicateurs1'!I12</f>
        <v>17756300</v>
      </c>
      <c r="J34" s="4">
        <f>'Base de données indicateurs1'!J12</f>
        <v>16190550</v>
      </c>
      <c r="K34" s="4">
        <f>'Base de données indicateurs1'!K12</f>
        <v>9785495.1300000008</v>
      </c>
      <c r="L34" s="4">
        <f>'Base de données indicateurs1'!L12</f>
        <v>95091195.150000006</v>
      </c>
      <c r="M34" s="4">
        <f>'Base de données indicateurs1'!M12</f>
        <v>6134829.75</v>
      </c>
      <c r="N34" s="4">
        <f>'Base de données indicateurs1'!N12</f>
        <v>780304.9</v>
      </c>
      <c r="O34" s="4">
        <f>'Base de données indicateurs1'!O12</f>
        <v>25935350.149999999</v>
      </c>
      <c r="P34" s="4">
        <f>'Base de données indicateurs1'!P12</f>
        <v>1776635.35</v>
      </c>
      <c r="Q34" s="4">
        <f>'Base de données indicateurs1'!Q12</f>
        <v>376450</v>
      </c>
      <c r="R34" s="4">
        <f>'Base de données indicateurs1'!R12</f>
        <v>2943627.35</v>
      </c>
      <c r="S34" s="4">
        <f>'Base de données indicateurs1'!S12</f>
        <v>1060911</v>
      </c>
      <c r="T34" s="4">
        <f>'Base de données indicateurs1'!T12</f>
        <v>4871800</v>
      </c>
      <c r="U34" s="4">
        <f>'Base de données indicateurs1'!U12</f>
        <v>504350</v>
      </c>
      <c r="V34" s="4">
        <f>'Base de données indicateurs1'!V12</f>
        <v>3263161.06</v>
      </c>
      <c r="W34" s="4">
        <f>'Base de données indicateurs1'!W12</f>
        <v>12462575</v>
      </c>
      <c r="X34" s="4">
        <f>'Base de données indicateurs1'!X12</f>
        <v>196736</v>
      </c>
      <c r="Y34" s="4">
        <f>'Base de données indicateurs1'!Y12</f>
        <v>9245800</v>
      </c>
      <c r="Z34" s="4">
        <f>'Base de données indicateurs1'!Z12</f>
        <v>700000</v>
      </c>
      <c r="AA34" s="4">
        <f>'Base de données indicateurs1'!AA12</f>
        <v>768670.9</v>
      </c>
      <c r="AB34" s="4">
        <f>'Base de données indicateurs1'!AB12</f>
        <v>1175000</v>
      </c>
      <c r="AC34" s="4">
        <f>'Base de données indicateurs1'!AC12</f>
        <v>2701405</v>
      </c>
      <c r="AD34" s="4">
        <f>'Base de données indicateurs1'!AD12</f>
        <v>7038135.8499999996</v>
      </c>
      <c r="AE34" s="4">
        <f>'Base de données indicateurs1'!AE12</f>
        <v>3142600</v>
      </c>
      <c r="AF34" s="4">
        <f>'Base de données indicateurs1'!AF12</f>
        <v>490800</v>
      </c>
      <c r="AG34" s="4">
        <f>'Base de données indicateurs1'!AG12</f>
        <v>4291400</v>
      </c>
      <c r="AH34" s="4">
        <f>'Base de données indicateurs1'!AH12</f>
        <v>14869135.15</v>
      </c>
      <c r="AI34" s="4">
        <f>'Base de données indicateurs1'!AI12</f>
        <v>832150.62</v>
      </c>
      <c r="AJ34" s="4">
        <f>'Base de données indicateurs1'!AJ12</f>
        <v>823610</v>
      </c>
      <c r="AK34" s="4">
        <f>'Base de données indicateurs1'!AK12</f>
        <v>17359320</v>
      </c>
      <c r="AL34" s="4">
        <f>'Base de données indicateurs1'!AL12</f>
        <v>8587000</v>
      </c>
      <c r="AM34" s="4">
        <f>'Base de données indicateurs1'!AM12</f>
        <v>10303874.300000001</v>
      </c>
      <c r="AN34" s="4">
        <f>'Base de données indicateurs1'!AN12</f>
        <v>1584400</v>
      </c>
      <c r="AO34" s="4">
        <f>'Base de données indicateurs1'!AO12</f>
        <v>8421550</v>
      </c>
      <c r="AP34" s="4">
        <f>'Base de données indicateurs1'!AP12</f>
        <v>4601800</v>
      </c>
      <c r="AQ34" s="4">
        <f>'Base de données indicateurs1'!AQ12</f>
        <v>3432745</v>
      </c>
      <c r="AR34" s="4">
        <f>'Base de données indicateurs1'!AR12</f>
        <v>10477846.050000001</v>
      </c>
      <c r="AS34" s="4">
        <f>'Base de données indicateurs1'!AS12</f>
        <v>4848271.0999999996</v>
      </c>
      <c r="AT34" s="4">
        <f>'Base de données indicateurs1'!AT12</f>
        <v>8332909.5</v>
      </c>
      <c r="AU34" s="4">
        <f>'Base de données indicateurs1'!AU12</f>
        <v>1806665</v>
      </c>
      <c r="AV34" s="4">
        <f>'Base de données indicateurs1'!AV12</f>
        <v>12929000</v>
      </c>
      <c r="AW34" s="4">
        <f>'Base de données indicateurs1'!AW12</f>
        <v>5224542</v>
      </c>
      <c r="AX34" s="4">
        <f>'Base de données indicateurs1'!AX12</f>
        <v>637770</v>
      </c>
      <c r="AY34" s="4">
        <f>'Base de données indicateurs1'!AY12</f>
        <v>1878500</v>
      </c>
      <c r="AZ34" s="4">
        <f>'Base de données indicateurs1'!AZ12</f>
        <v>17770972</v>
      </c>
      <c r="BA34" s="4">
        <f>'Base de données indicateurs1'!BA12</f>
        <v>860500</v>
      </c>
      <c r="BB34" s="4">
        <f>'Base de données indicateurs1'!BB12</f>
        <v>7129460</v>
      </c>
      <c r="BC34" s="4">
        <f>'Base de données indicateurs1'!BC12</f>
        <v>138745.70000000001</v>
      </c>
      <c r="BD34" s="4">
        <f>'Base de données indicateurs1'!BD12</f>
        <v>52417022</v>
      </c>
      <c r="BE34" s="4">
        <f>'Base de données indicateurs1'!BE12</f>
        <v>3579778.15</v>
      </c>
      <c r="BF34" s="4">
        <f t="shared" si="0"/>
        <v>214675691.40000001</v>
      </c>
      <c r="BG34" s="4">
        <f t="shared" si="1"/>
        <v>46275443.519999996</v>
      </c>
      <c r="BH34" s="4">
        <f t="shared" si="2"/>
        <v>182322670.79999998</v>
      </c>
    </row>
    <row r="35" spans="1:60" ht="15.75" thickBot="1" x14ac:dyDescent="0.3">
      <c r="B35" s="99"/>
      <c r="D35" s="4"/>
      <c r="BF35" s="4"/>
      <c r="BG35" s="4"/>
      <c r="BH35" s="4"/>
    </row>
    <row r="36" spans="1:60" ht="15.75" thickBot="1" x14ac:dyDescent="0.3">
      <c r="A36" s="7" t="s">
        <v>525</v>
      </c>
      <c r="B36" s="52"/>
      <c r="C36" s="7"/>
      <c r="D36" s="100">
        <f>SUM(D31:D32,D34)-D33</f>
        <v>587986989.79999995</v>
      </c>
      <c r="E36" s="118">
        <f>SUM(E31:E32,E34)-E33</f>
        <v>10352456.359999999</v>
      </c>
      <c r="F36" s="4">
        <f t="shared" ref="F36:BE36" si="6">SUM(F31:F32,F34)-F33</f>
        <v>2474314.7000000002</v>
      </c>
      <c r="G36" s="4">
        <f t="shared" si="6"/>
        <v>5522808.4000000004</v>
      </c>
      <c r="H36" s="4">
        <f t="shared" si="6"/>
        <v>4432305.8600000003</v>
      </c>
      <c r="I36" s="4">
        <f t="shared" si="6"/>
        <v>24113626</v>
      </c>
      <c r="J36" s="4">
        <f t="shared" si="6"/>
        <v>23596343.5</v>
      </c>
      <c r="K36" s="4">
        <f t="shared" si="6"/>
        <v>10561501.98</v>
      </c>
      <c r="L36" s="4">
        <f t="shared" si="6"/>
        <v>142369124.54000002</v>
      </c>
      <c r="M36" s="4">
        <f t="shared" si="6"/>
        <v>6715713.5199999996</v>
      </c>
      <c r="N36" s="4">
        <f t="shared" si="6"/>
        <v>858438.48</v>
      </c>
      <c r="O36" s="4">
        <f t="shared" si="6"/>
        <v>44141873.289999999</v>
      </c>
      <c r="P36" s="4">
        <f t="shared" si="6"/>
        <v>3093787.24</v>
      </c>
      <c r="Q36" s="4">
        <f t="shared" si="6"/>
        <v>497395.93</v>
      </c>
      <c r="R36" s="4">
        <f t="shared" si="6"/>
        <v>3083781.92</v>
      </c>
      <c r="S36" s="4">
        <f t="shared" si="6"/>
        <v>4101271.21</v>
      </c>
      <c r="T36" s="4">
        <f t="shared" si="6"/>
        <v>5096463.18</v>
      </c>
      <c r="U36" s="4">
        <f t="shared" si="6"/>
        <v>937461.24</v>
      </c>
      <c r="V36" s="4">
        <f t="shared" si="6"/>
        <v>3792930.42</v>
      </c>
      <c r="W36" s="4">
        <f t="shared" si="6"/>
        <v>16447939.57</v>
      </c>
      <c r="X36" s="4">
        <f t="shared" si="6"/>
        <v>602341</v>
      </c>
      <c r="Y36" s="4">
        <f t="shared" si="6"/>
        <v>10692583.640000001</v>
      </c>
      <c r="Z36" s="4">
        <f t="shared" si="6"/>
        <v>8479268.8499999996</v>
      </c>
      <c r="AA36" s="4">
        <f t="shared" si="6"/>
        <v>835119.4</v>
      </c>
      <c r="AB36" s="4">
        <f t="shared" si="6"/>
        <v>1218430.55</v>
      </c>
      <c r="AC36" s="4">
        <f t="shared" si="6"/>
        <v>4296735.43</v>
      </c>
      <c r="AD36" s="4">
        <f t="shared" si="6"/>
        <v>7161605.1599999992</v>
      </c>
      <c r="AE36" s="4">
        <f t="shared" si="6"/>
        <v>3750609.31</v>
      </c>
      <c r="AF36" s="4">
        <f t="shared" si="6"/>
        <v>1159077.9300000002</v>
      </c>
      <c r="AG36" s="4">
        <f t="shared" si="6"/>
        <v>6404302.0600000005</v>
      </c>
      <c r="AH36" s="4">
        <f t="shared" si="6"/>
        <v>16877793.98</v>
      </c>
      <c r="AI36" s="4">
        <f t="shared" si="6"/>
        <v>1682030.3399999999</v>
      </c>
      <c r="AJ36" s="4">
        <f t="shared" si="6"/>
        <v>1032153.5</v>
      </c>
      <c r="AK36" s="4">
        <f t="shared" si="6"/>
        <v>18004708.100000001</v>
      </c>
      <c r="AL36" s="4">
        <f t="shared" si="6"/>
        <v>9560475.8900000006</v>
      </c>
      <c r="AM36" s="4">
        <f t="shared" si="6"/>
        <v>10907361.99</v>
      </c>
      <c r="AN36" s="4">
        <f t="shared" si="6"/>
        <v>1609835.59</v>
      </c>
      <c r="AO36" s="4">
        <f t="shared" si="6"/>
        <v>9467167.8599999994</v>
      </c>
      <c r="AP36" s="4">
        <f t="shared" si="6"/>
        <v>5060879.72</v>
      </c>
      <c r="AQ36" s="4">
        <f t="shared" si="6"/>
        <v>4084167</v>
      </c>
      <c r="AR36" s="4">
        <f t="shared" si="6"/>
        <v>11258543.550000001</v>
      </c>
      <c r="AS36" s="4">
        <f t="shared" si="6"/>
        <v>5676255.4499999993</v>
      </c>
      <c r="AT36" s="4">
        <f t="shared" si="6"/>
        <v>8931872.6600000001</v>
      </c>
      <c r="AU36" s="4">
        <f t="shared" si="6"/>
        <v>1867774.15</v>
      </c>
      <c r="AV36" s="4">
        <f t="shared" si="6"/>
        <v>13098682.91</v>
      </c>
      <c r="AW36" s="4">
        <f t="shared" si="6"/>
        <v>5987581.8100000005</v>
      </c>
      <c r="AX36" s="4">
        <f t="shared" si="6"/>
        <v>705083.5</v>
      </c>
      <c r="AY36" s="4">
        <f t="shared" si="6"/>
        <v>2002898.05</v>
      </c>
      <c r="AZ36" s="4">
        <f t="shared" si="6"/>
        <v>19788094.379999999</v>
      </c>
      <c r="BA36" s="4">
        <f t="shared" si="6"/>
        <v>2070284.17</v>
      </c>
      <c r="BB36" s="4">
        <f t="shared" si="6"/>
        <v>10358562.43</v>
      </c>
      <c r="BC36" s="4">
        <f t="shared" si="6"/>
        <v>219892.5</v>
      </c>
      <c r="BD36" s="4">
        <f t="shared" si="6"/>
        <v>66904253.960000001</v>
      </c>
      <c r="BE36" s="4">
        <f t="shared" si="6"/>
        <v>4041025.6399999997</v>
      </c>
      <c r="BF36" s="4">
        <f t="shared" si="0"/>
        <v>312189537.34000009</v>
      </c>
      <c r="BG36" s="4">
        <f t="shared" si="1"/>
        <v>64192051.150000006</v>
      </c>
      <c r="BH36" s="4">
        <f t="shared" si="2"/>
        <v>211605401.31</v>
      </c>
    </row>
    <row r="37" spans="1:60" ht="15.75" thickBot="1" x14ac:dyDescent="0.3">
      <c r="B37" s="92"/>
      <c r="D37" s="4"/>
      <c r="BF37" s="4"/>
      <c r="BG37" s="4"/>
      <c r="BH37" s="4"/>
    </row>
    <row r="38" spans="1:60" ht="15.75" thickBot="1" x14ac:dyDescent="0.3">
      <c r="A38" s="7" t="s">
        <v>521</v>
      </c>
      <c r="B38" s="104"/>
      <c r="C38" s="7"/>
      <c r="D38" s="100">
        <f>D23</f>
        <v>361695240.11000001</v>
      </c>
      <c r="E38" s="118">
        <f>E23</f>
        <v>2484648.4500000002</v>
      </c>
      <c r="F38" s="4">
        <f t="shared" ref="F38:BE38" si="7">F23</f>
        <v>1031897.62</v>
      </c>
      <c r="G38" s="4">
        <f t="shared" si="7"/>
        <v>1534752.3800000001</v>
      </c>
      <c r="H38" s="4">
        <f t="shared" si="7"/>
        <v>1939379.38</v>
      </c>
      <c r="I38" s="4">
        <f t="shared" si="7"/>
        <v>15556852</v>
      </c>
      <c r="J38" s="4">
        <f t="shared" si="7"/>
        <v>13453531.07</v>
      </c>
      <c r="K38" s="4">
        <f t="shared" si="7"/>
        <v>10342400.26</v>
      </c>
      <c r="L38" s="4">
        <f t="shared" si="7"/>
        <v>97878972.689999998</v>
      </c>
      <c r="M38" s="4">
        <f t="shared" si="7"/>
        <v>7676331.6400000006</v>
      </c>
      <c r="N38" s="4">
        <f t="shared" si="7"/>
        <v>517820.83</v>
      </c>
      <c r="O38" s="4">
        <f t="shared" si="7"/>
        <v>27275736.82</v>
      </c>
      <c r="P38" s="4">
        <f t="shared" si="7"/>
        <v>1856052.54</v>
      </c>
      <c r="Q38" s="4">
        <f t="shared" si="7"/>
        <v>420828.52</v>
      </c>
      <c r="R38" s="4">
        <f t="shared" si="7"/>
        <v>963082.93</v>
      </c>
      <c r="S38" s="4">
        <f t="shared" si="7"/>
        <v>837138.83</v>
      </c>
      <c r="T38" s="4">
        <f t="shared" si="7"/>
        <v>3018687.98</v>
      </c>
      <c r="U38" s="4">
        <f t="shared" si="7"/>
        <v>946108.07</v>
      </c>
      <c r="V38" s="4">
        <f t="shared" si="7"/>
        <v>2158247.85</v>
      </c>
      <c r="W38" s="4">
        <f t="shared" si="7"/>
        <v>12534708.129999999</v>
      </c>
      <c r="X38" s="4">
        <f t="shared" si="7"/>
        <v>822382.96</v>
      </c>
      <c r="Y38" s="4">
        <f t="shared" si="7"/>
        <v>7518799.2599999998</v>
      </c>
      <c r="Z38" s="4">
        <f t="shared" si="7"/>
        <v>11021467.16</v>
      </c>
      <c r="AA38" s="4">
        <f t="shared" si="7"/>
        <v>481766.12</v>
      </c>
      <c r="AB38" s="4">
        <f t="shared" si="7"/>
        <v>681991.03</v>
      </c>
      <c r="AC38" s="4">
        <f t="shared" si="7"/>
        <v>1098216.46</v>
      </c>
      <c r="AD38" s="4">
        <f t="shared" si="7"/>
        <v>3352314.97</v>
      </c>
      <c r="AE38" s="4">
        <f t="shared" si="7"/>
        <v>2462246.58</v>
      </c>
      <c r="AF38" s="4">
        <f t="shared" si="7"/>
        <v>2701303.44</v>
      </c>
      <c r="AG38" s="4">
        <f t="shared" si="7"/>
        <v>9732038.0800000001</v>
      </c>
      <c r="AH38" s="4">
        <f t="shared" si="7"/>
        <v>12676611.98</v>
      </c>
      <c r="AI38" s="4">
        <f t="shared" si="7"/>
        <v>1090545.5299999998</v>
      </c>
      <c r="AJ38" s="4">
        <f t="shared" si="7"/>
        <v>716212.09</v>
      </c>
      <c r="AK38" s="4">
        <f t="shared" si="7"/>
        <v>5792786.6500000004</v>
      </c>
      <c r="AL38" s="4">
        <f t="shared" si="7"/>
        <v>5584298</v>
      </c>
      <c r="AM38" s="4">
        <f t="shared" si="7"/>
        <v>5411830.3200000003</v>
      </c>
      <c r="AN38" s="4">
        <f t="shared" si="7"/>
        <v>336522.26</v>
      </c>
      <c r="AO38" s="4">
        <f t="shared" si="7"/>
        <v>9404092.9000000004</v>
      </c>
      <c r="AP38" s="4">
        <f t="shared" si="7"/>
        <v>3880880.65</v>
      </c>
      <c r="AQ38" s="4">
        <f t="shared" si="7"/>
        <v>1738358</v>
      </c>
      <c r="AR38" s="4">
        <f t="shared" si="7"/>
        <v>3202894.41</v>
      </c>
      <c r="AS38" s="4">
        <f t="shared" si="7"/>
        <v>1620047.26</v>
      </c>
      <c r="AT38" s="4">
        <f t="shared" si="7"/>
        <v>2436343.5</v>
      </c>
      <c r="AU38" s="4">
        <f t="shared" si="7"/>
        <v>-491864.57</v>
      </c>
      <c r="AV38" s="4">
        <f t="shared" si="7"/>
        <v>8506625.0599999987</v>
      </c>
      <c r="AW38" s="4">
        <f t="shared" si="7"/>
        <v>3321892.18</v>
      </c>
      <c r="AX38" s="4">
        <f t="shared" si="7"/>
        <v>646701.05000000005</v>
      </c>
      <c r="AY38" s="4">
        <f t="shared" si="7"/>
        <v>906867.19999999995</v>
      </c>
      <c r="AZ38" s="4">
        <f t="shared" si="7"/>
        <v>5064301.16</v>
      </c>
      <c r="BA38" s="4">
        <f t="shared" si="7"/>
        <v>1735107.11</v>
      </c>
      <c r="BB38" s="4">
        <f t="shared" si="7"/>
        <v>3370355.2600000002</v>
      </c>
      <c r="BC38" s="4">
        <f t="shared" si="7"/>
        <v>754241</v>
      </c>
      <c r="BD38" s="4">
        <f t="shared" si="7"/>
        <v>39168822.840000004</v>
      </c>
      <c r="BE38" s="4">
        <f t="shared" si="7"/>
        <v>2521064.2200000002</v>
      </c>
      <c r="BF38" s="4">
        <f t="shared" si="0"/>
        <v>202427177.99000001</v>
      </c>
      <c r="BG38" s="4">
        <f t="shared" si="1"/>
        <v>54355895.660000011</v>
      </c>
      <c r="BH38" s="4">
        <f t="shared" si="2"/>
        <v>104912166.46000001</v>
      </c>
    </row>
    <row r="39" spans="1:60" ht="15.75" thickBot="1" x14ac:dyDescent="0.3">
      <c r="B39" s="92"/>
      <c r="D39" s="4"/>
      <c r="BF39" s="4"/>
      <c r="BG39" s="4"/>
      <c r="BH39" s="4"/>
    </row>
    <row r="40" spans="1:60" ht="15.75" thickBot="1" x14ac:dyDescent="0.3">
      <c r="A40" s="7" t="s">
        <v>526</v>
      </c>
      <c r="B40" s="104"/>
      <c r="C40" s="7"/>
      <c r="D40" s="100">
        <f>IF(D38&lt;&gt;0,D36/D38,"")*100</f>
        <v>162.56420450022492</v>
      </c>
      <c r="E40" s="118">
        <f>IF(E38&lt;&gt;0,E36/E38,"")*100</f>
        <v>416.6567853894984</v>
      </c>
      <c r="F40" s="4">
        <f t="shared" ref="F40:BH40" si="8">IF(F38&lt;&gt;0,F36/F38,"")*100</f>
        <v>239.78296412777854</v>
      </c>
      <c r="G40" s="4">
        <f t="shared" si="8"/>
        <v>359.85012774503724</v>
      </c>
      <c r="H40" s="4">
        <f t="shared" si="8"/>
        <v>228.54248661754878</v>
      </c>
      <c r="I40" s="4">
        <f t="shared" si="8"/>
        <v>155.00324872924162</v>
      </c>
      <c r="J40" s="4">
        <f t="shared" si="8"/>
        <v>175.39145208217815</v>
      </c>
      <c r="K40" s="4">
        <f t="shared" si="8"/>
        <v>102.1184803768173</v>
      </c>
      <c r="L40" s="4">
        <f t="shared" si="8"/>
        <v>145.45424888235004</v>
      </c>
      <c r="M40" s="4">
        <f t="shared" si="8"/>
        <v>87.485974225053141</v>
      </c>
      <c r="N40" s="4">
        <f t="shared" si="8"/>
        <v>165.77905527670643</v>
      </c>
      <c r="O40" s="4">
        <f t="shared" si="8"/>
        <v>161.83567681894064</v>
      </c>
      <c r="P40" s="4">
        <f t="shared" si="8"/>
        <v>166.68640425448302</v>
      </c>
      <c r="Q40" s="4">
        <f t="shared" si="8"/>
        <v>118.19444414081059</v>
      </c>
      <c r="R40" s="4">
        <f t="shared" si="8"/>
        <v>320.19900093131122</v>
      </c>
      <c r="S40" s="4">
        <f t="shared" si="8"/>
        <v>489.91529995090542</v>
      </c>
      <c r="T40" s="4">
        <f t="shared" si="8"/>
        <v>168.83040624821382</v>
      </c>
      <c r="U40" s="4">
        <f t="shared" si="8"/>
        <v>99.086063180921826</v>
      </c>
      <c r="V40" s="4">
        <f t="shared" si="8"/>
        <v>175.74118839038806</v>
      </c>
      <c r="W40" s="4">
        <f t="shared" si="8"/>
        <v>131.21916680799492</v>
      </c>
      <c r="X40" s="4">
        <f t="shared" si="8"/>
        <v>73.243370704081713</v>
      </c>
      <c r="Y40" s="4">
        <f t="shared" si="8"/>
        <v>142.21131952391028</v>
      </c>
      <c r="Z40" s="4">
        <f t="shared" si="8"/>
        <v>76.934120720094754</v>
      </c>
      <c r="AA40" s="4">
        <f t="shared" si="8"/>
        <v>173.34539838542403</v>
      </c>
      <c r="AB40" s="4">
        <f t="shared" si="8"/>
        <v>178.65785566123941</v>
      </c>
      <c r="AC40" s="4">
        <f t="shared" si="8"/>
        <v>391.24667918381044</v>
      </c>
      <c r="AD40" s="4">
        <f t="shared" si="8"/>
        <v>213.63163139769048</v>
      </c>
      <c r="AE40" s="4">
        <f t="shared" si="8"/>
        <v>152.32468350103261</v>
      </c>
      <c r="AF40" s="4">
        <f t="shared" si="8"/>
        <v>42.908098099486381</v>
      </c>
      <c r="AG40" s="4">
        <f t="shared" si="8"/>
        <v>65.806381020654626</v>
      </c>
      <c r="AH40" s="4">
        <f t="shared" si="8"/>
        <v>133.14120528914381</v>
      </c>
      <c r="AI40" s="4">
        <f t="shared" si="8"/>
        <v>154.23751633735091</v>
      </c>
      <c r="AJ40" s="4">
        <f t="shared" si="8"/>
        <v>144.11282836624554</v>
      </c>
      <c r="AK40" s="4">
        <f t="shared" si="8"/>
        <v>310.81255340208327</v>
      </c>
      <c r="AL40" s="4">
        <f t="shared" si="8"/>
        <v>171.20282424039692</v>
      </c>
      <c r="AM40" s="4">
        <f t="shared" si="8"/>
        <v>201.54663662847435</v>
      </c>
      <c r="AN40" s="4">
        <f t="shared" si="8"/>
        <v>478.37417649578367</v>
      </c>
      <c r="AO40" s="4">
        <f t="shared" si="8"/>
        <v>100.67071817208439</v>
      </c>
      <c r="AP40" s="4">
        <f t="shared" si="8"/>
        <v>130.40544599071862</v>
      </c>
      <c r="AQ40" s="4">
        <f t="shared" si="8"/>
        <v>234.9439528566613</v>
      </c>
      <c r="AR40" s="4">
        <f t="shared" si="8"/>
        <v>351.5115426487007</v>
      </c>
      <c r="AS40" s="4">
        <f t="shared" si="8"/>
        <v>350.37591742848286</v>
      </c>
      <c r="AT40" s="4">
        <f t="shared" si="8"/>
        <v>366.60974365888882</v>
      </c>
      <c r="AU40" s="4">
        <f t="shared" si="8"/>
        <v>-379.73341930279707</v>
      </c>
      <c r="AV40" s="4">
        <f t="shared" si="8"/>
        <v>153.98213530760697</v>
      </c>
      <c r="AW40" s="4">
        <f t="shared" si="8"/>
        <v>180.2461213536437</v>
      </c>
      <c r="AX40" s="4">
        <f t="shared" si="8"/>
        <v>109.02773391198298</v>
      </c>
      <c r="AY40" s="4">
        <f t="shared" si="8"/>
        <v>220.85902434226315</v>
      </c>
      <c r="AZ40" s="4">
        <f t="shared" si="8"/>
        <v>390.73692015583055</v>
      </c>
      <c r="BA40" s="4">
        <f t="shared" si="8"/>
        <v>119.31736998069242</v>
      </c>
      <c r="BB40" s="4">
        <f t="shared" si="8"/>
        <v>307.34334012017473</v>
      </c>
      <c r="BC40" s="4">
        <f t="shared" si="8"/>
        <v>29.154143039161223</v>
      </c>
      <c r="BD40" s="4">
        <f t="shared" si="8"/>
        <v>170.80996851321254</v>
      </c>
      <c r="BE40" s="4">
        <f t="shared" si="8"/>
        <v>160.29046812619472</v>
      </c>
      <c r="BF40" s="4">
        <f t="shared" si="8"/>
        <v>154.22313369177255</v>
      </c>
      <c r="BG40" s="4">
        <f t="shared" si="8"/>
        <v>118.09583922878551</v>
      </c>
      <c r="BH40" s="4">
        <f t="shared" si="8"/>
        <v>201.69767573208875</v>
      </c>
    </row>
    <row r="41" spans="1:60" x14ac:dyDescent="0.25">
      <c r="A41" s="102" t="s">
        <v>527</v>
      </c>
      <c r="B41" s="92"/>
      <c r="D41" s="4"/>
    </row>
    <row r="42" spans="1:60" x14ac:dyDescent="0.25">
      <c r="B42" s="92"/>
      <c r="D42" s="4"/>
    </row>
    <row r="43" spans="1:60" x14ac:dyDescent="0.25">
      <c r="D43" s="4"/>
    </row>
  </sheetData>
  <pageMargins left="0.25" right="0.25"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5" tint="0.59999389629810485"/>
  </sheetPr>
  <dimension ref="A8:BH46"/>
  <sheetViews>
    <sheetView workbookViewId="0">
      <pane xSplit="4" ySplit="11" topLeftCell="E12" activePane="bottomRight" state="frozen"/>
      <selection pane="topRight" activeCell="E1" sqref="E1"/>
      <selection pane="bottomLeft" activeCell="A12" sqref="A12"/>
      <selection pane="bottomRight" activeCell="D26" sqref="D26"/>
    </sheetView>
  </sheetViews>
  <sheetFormatPr baseColWidth="10" defaultColWidth="11.42578125" defaultRowHeight="15" x14ac:dyDescent="0.25"/>
  <cols>
    <col min="1" max="1" width="51.85546875" customWidth="1"/>
    <col min="2" max="2" width="7.42578125" customWidth="1"/>
    <col min="4" max="4" width="22.85546875" customWidth="1"/>
    <col min="5" max="60" width="15.7109375" customWidth="1"/>
  </cols>
  <sheetData>
    <row r="8" spans="1:60" ht="18.75" x14ac:dyDescent="0.3">
      <c r="A8" s="181" t="s">
        <v>494</v>
      </c>
      <c r="B8" s="181"/>
      <c r="C8" s="181"/>
      <c r="D8" s="181"/>
    </row>
    <row r="10" spans="1:60" x14ac:dyDescent="0.25">
      <c r="A10" s="7" t="s">
        <v>528</v>
      </c>
      <c r="B10" s="92"/>
      <c r="C10" s="53" t="s">
        <v>496</v>
      </c>
      <c r="D10" s="53" t="s">
        <v>497</v>
      </c>
      <c r="E10" s="24">
        <f>'4.1 Comptes 2021 natures'!E2</f>
        <v>947</v>
      </c>
      <c r="F10" s="24">
        <f>'4.1 Comptes 2021 natures'!F2</f>
        <v>265</v>
      </c>
      <c r="G10" s="24">
        <f>'4.1 Comptes 2021 natures'!G2</f>
        <v>469</v>
      </c>
      <c r="H10" s="24">
        <f>'4.1 Comptes 2021 natures'!H2</f>
        <v>439</v>
      </c>
      <c r="I10" s="24">
        <f>'4.1 Comptes 2021 natures'!I2</f>
        <v>3728</v>
      </c>
      <c r="J10" s="24">
        <f>'4.1 Comptes 2021 natures'!J2</f>
        <v>3345</v>
      </c>
      <c r="K10" s="24">
        <f>'4.1 Comptes 2021 natures'!K2</f>
        <v>2652</v>
      </c>
      <c r="L10" s="24">
        <f>'4.1 Comptes 2021 natures'!L2</f>
        <v>12479</v>
      </c>
      <c r="M10" s="24">
        <f>'4.1 Comptes 2021 natures'!M2</f>
        <v>1359</v>
      </c>
      <c r="N10" s="24">
        <f>'4.1 Comptes 2021 natures'!N2</f>
        <v>117</v>
      </c>
      <c r="O10" s="24">
        <f>'4.1 Comptes 2021 natures'!O2</f>
        <v>7261</v>
      </c>
      <c r="P10" s="24">
        <f>'4.1 Comptes 2021 natures'!P2</f>
        <v>538</v>
      </c>
      <c r="Q10" s="24">
        <f>'4.1 Comptes 2021 natures'!Q2</f>
        <v>111</v>
      </c>
      <c r="R10" s="24">
        <f>'4.1 Comptes 2021 natures'!R2</f>
        <v>421</v>
      </c>
      <c r="S10" s="24">
        <f>'4.1 Comptes 2021 natures'!S2</f>
        <v>346</v>
      </c>
      <c r="T10" s="24">
        <f>'4.1 Comptes 2021 natures'!T2</f>
        <v>710</v>
      </c>
      <c r="U10" s="24">
        <f>'4.1 Comptes 2021 natures'!U2</f>
        <v>269</v>
      </c>
      <c r="V10" s="24">
        <f>'4.1 Comptes 2021 natures'!V2</f>
        <v>440</v>
      </c>
      <c r="W10" s="24">
        <f>'4.1 Comptes 2021 natures'!W2</f>
        <v>3229</v>
      </c>
      <c r="X10" s="22">
        <f>'4.1 Comptes 2021 natures'!X2</f>
        <v>310</v>
      </c>
      <c r="Y10" s="22">
        <f>'4.1 Comptes 2021 natures'!Y2</f>
        <v>1270</v>
      </c>
      <c r="Z10" s="22">
        <f>'4.1 Comptes 2021 natures'!Z2</f>
        <v>1506</v>
      </c>
      <c r="AA10" s="22">
        <f>'4.1 Comptes 2021 natures'!AA2</f>
        <v>96</v>
      </c>
      <c r="AB10" s="22">
        <f>'4.1 Comptes 2021 natures'!AB2</f>
        <v>148</v>
      </c>
      <c r="AC10" s="22">
        <f>'4.1 Comptes 2021 natures'!AC2</f>
        <v>518</v>
      </c>
      <c r="AD10" s="22">
        <f>'4.1 Comptes 2021 natures'!AD2</f>
        <v>701</v>
      </c>
      <c r="AE10" s="22">
        <f>'4.1 Comptes 2021 natures'!AE2</f>
        <v>564</v>
      </c>
      <c r="AF10" s="22">
        <f>'4.1 Comptes 2021 natures'!AF2</f>
        <v>525</v>
      </c>
      <c r="AG10" s="22">
        <f>'4.1 Comptes 2021 natures'!AG2</f>
        <v>1909</v>
      </c>
      <c r="AH10" s="22">
        <f>'4.1 Comptes 2021 natures'!AH2</f>
        <v>2580</v>
      </c>
      <c r="AI10" s="22">
        <f>'4.1 Comptes 2021 natures'!AI2</f>
        <v>222</v>
      </c>
      <c r="AJ10" s="22">
        <f>'4.1 Comptes 2021 natures'!AJ2</f>
        <v>129</v>
      </c>
      <c r="AK10" s="15">
        <f>'4.1 Comptes 2021 natures'!AK2</f>
        <v>1891</v>
      </c>
      <c r="AL10" s="15">
        <f>'4.1 Comptes 2021 natures'!AL2</f>
        <v>1126</v>
      </c>
      <c r="AM10" s="15">
        <f>'4.1 Comptes 2021 natures'!AM2</f>
        <v>1225</v>
      </c>
      <c r="AN10" s="15">
        <f>'4.1 Comptes 2021 natures'!AN2</f>
        <v>117</v>
      </c>
      <c r="AO10" s="15">
        <f>'4.1 Comptes 2021 natures'!AO2</f>
        <v>1185</v>
      </c>
      <c r="AP10" s="15">
        <f>'4.1 Comptes 2021 natures'!AP2</f>
        <v>642</v>
      </c>
      <c r="AQ10" s="15">
        <f>'4.1 Comptes 2021 natures'!AQ2</f>
        <v>633</v>
      </c>
      <c r="AR10" s="15">
        <f>'4.1 Comptes 2021 natures'!AR2</f>
        <v>1284</v>
      </c>
      <c r="AS10" s="15">
        <f>'4.1 Comptes 2021 natures'!AS2</f>
        <v>731</v>
      </c>
      <c r="AT10" s="15">
        <f>'4.1 Comptes 2021 natures'!AT2</f>
        <v>1016</v>
      </c>
      <c r="AU10" s="15">
        <f>'4.1 Comptes 2021 natures'!AU2</f>
        <v>304</v>
      </c>
      <c r="AV10" s="15">
        <f>'4.1 Comptes 2021 natures'!AV2</f>
        <v>2412</v>
      </c>
      <c r="AW10" s="15">
        <f>'4.1 Comptes 2021 natures'!AW2</f>
        <v>735</v>
      </c>
      <c r="AX10" s="15">
        <f>'4.1 Comptes 2021 natures'!AX2</f>
        <v>185</v>
      </c>
      <c r="AY10" s="15">
        <f>'4.1 Comptes 2021 natures'!AY2</f>
        <v>340</v>
      </c>
      <c r="AZ10" s="15">
        <f>'4.1 Comptes 2021 natures'!AZ2</f>
        <v>1697</v>
      </c>
      <c r="BA10" s="15">
        <f>'4.1 Comptes 2021 natures'!BA2</f>
        <v>390</v>
      </c>
      <c r="BB10" s="15">
        <f>'4.1 Comptes 2021 natures'!BB2</f>
        <v>1073</v>
      </c>
      <c r="BC10" s="15">
        <f>'4.1 Comptes 2021 natures'!BC2</f>
        <v>184</v>
      </c>
      <c r="BD10" s="15">
        <f>'4.1 Comptes 2021 natures'!BD2</f>
        <v>6466</v>
      </c>
      <c r="BE10" s="15">
        <f>'4.1 Comptes 2021 natures'!BE2</f>
        <v>559</v>
      </c>
      <c r="BF10" s="1" t="str">
        <f>'4.1 Comptes 2021 natures'!BG2</f>
        <v>ct</v>
      </c>
      <c r="BG10" s="1">
        <f>'4.1 Comptes 2021 natures'!BH2</f>
        <v>10478</v>
      </c>
      <c r="BH10" s="1">
        <f>'4.1 Comptes 2021 natures'!BI2</f>
        <v>24195</v>
      </c>
    </row>
    <row r="11" spans="1:60" x14ac:dyDescent="0.25">
      <c r="B11" s="92"/>
      <c r="E11" s="33" t="s">
        <v>56</v>
      </c>
      <c r="F11" s="33" t="s">
        <v>18</v>
      </c>
      <c r="G11" s="33" t="s">
        <v>57</v>
      </c>
      <c r="H11" s="33" t="s">
        <v>53</v>
      </c>
      <c r="I11" s="33" t="s">
        <v>33</v>
      </c>
      <c r="J11" s="33" t="s">
        <v>10</v>
      </c>
      <c r="K11" s="33" t="s">
        <v>15</v>
      </c>
      <c r="L11" s="33" t="s">
        <v>28</v>
      </c>
      <c r="M11" s="33" t="s">
        <v>42</v>
      </c>
      <c r="N11" s="33" t="s">
        <v>23</v>
      </c>
      <c r="O11" s="33" t="s">
        <v>22</v>
      </c>
      <c r="P11" s="33" t="s">
        <v>13</v>
      </c>
      <c r="Q11" s="33" t="s">
        <v>17</v>
      </c>
      <c r="R11" s="33" t="s">
        <v>43</v>
      </c>
      <c r="S11" s="33" t="s">
        <v>40</v>
      </c>
      <c r="T11" s="33" t="s">
        <v>31</v>
      </c>
      <c r="U11" s="33" t="s">
        <v>12</v>
      </c>
      <c r="V11" s="33" t="s">
        <v>59</v>
      </c>
      <c r="W11" s="33" t="s">
        <v>27</v>
      </c>
      <c r="X11" s="34" t="s">
        <v>30</v>
      </c>
      <c r="Y11" s="34" t="s">
        <v>20</v>
      </c>
      <c r="Z11" s="34" t="s">
        <v>45</v>
      </c>
      <c r="AA11" s="34" t="s">
        <v>71</v>
      </c>
      <c r="AB11" s="34" t="s">
        <v>39</v>
      </c>
      <c r="AC11" s="34" t="s">
        <v>19</v>
      </c>
      <c r="AD11" s="34" t="s">
        <v>41</v>
      </c>
      <c r="AE11" s="34" t="s">
        <v>36</v>
      </c>
      <c r="AF11" s="34" t="s">
        <v>7</v>
      </c>
      <c r="AG11" s="34" t="s">
        <v>55</v>
      </c>
      <c r="AH11" s="34" t="s">
        <v>21</v>
      </c>
      <c r="AI11" s="34" t="s">
        <v>6</v>
      </c>
      <c r="AJ11" s="34" t="s">
        <v>34</v>
      </c>
      <c r="AK11" s="35" t="s">
        <v>52</v>
      </c>
      <c r="AL11" s="35" t="s">
        <v>14</v>
      </c>
      <c r="AM11" s="35" t="s">
        <v>32</v>
      </c>
      <c r="AN11" s="35" t="s">
        <v>29</v>
      </c>
      <c r="AO11" s="35" t="s">
        <v>26</v>
      </c>
      <c r="AP11" s="35" t="s">
        <v>48</v>
      </c>
      <c r="AQ11" s="35" t="s">
        <v>44</v>
      </c>
      <c r="AR11" s="35" t="s">
        <v>37</v>
      </c>
      <c r="AS11" s="35" t="s">
        <v>51</v>
      </c>
      <c r="AT11" s="35" t="s">
        <v>8</v>
      </c>
      <c r="AU11" s="35" t="s">
        <v>24</v>
      </c>
      <c r="AV11" s="35" t="s">
        <v>9</v>
      </c>
      <c r="AW11" s="35" t="s">
        <v>62</v>
      </c>
      <c r="AX11" s="35" t="s">
        <v>46</v>
      </c>
      <c r="AY11" s="35" t="s">
        <v>35</v>
      </c>
      <c r="AZ11" s="35" t="s">
        <v>49</v>
      </c>
      <c r="BA11" s="35" t="s">
        <v>47</v>
      </c>
      <c r="BB11" s="35" t="s">
        <v>58</v>
      </c>
      <c r="BC11" s="35" t="s">
        <v>50</v>
      </c>
      <c r="BD11" s="35" t="s">
        <v>16</v>
      </c>
      <c r="BE11" s="35" t="s">
        <v>25</v>
      </c>
      <c r="BF11" s="37" t="s">
        <v>28</v>
      </c>
      <c r="BG11" s="34" t="s">
        <v>64</v>
      </c>
      <c r="BH11" s="35" t="s">
        <v>16</v>
      </c>
    </row>
    <row r="12" spans="1:60" x14ac:dyDescent="0.25">
      <c r="A12" s="7" t="s">
        <v>529</v>
      </c>
      <c r="B12" s="52"/>
      <c r="C12">
        <v>690</v>
      </c>
      <c r="D12" s="31">
        <f>'Base de données indicateurs1'!BF58</f>
        <v>55119412.039999984</v>
      </c>
      <c r="E12" s="4">
        <f>'Base de données indicateurs1'!E58</f>
        <v>1817467.61</v>
      </c>
      <c r="F12" s="4">
        <f>'Base de données indicateurs1'!F58</f>
        <v>350105.49</v>
      </c>
      <c r="G12" s="4">
        <f>'Base de données indicateurs1'!G58</f>
        <v>303230.01</v>
      </c>
      <c r="H12" s="4">
        <f>'Base de données indicateurs1'!H58</f>
        <v>122282.8</v>
      </c>
      <c r="I12" s="4">
        <f>'Base de données indicateurs1'!I58</f>
        <v>574124.02</v>
      </c>
      <c r="J12" s="4">
        <f>'Base de données indicateurs1'!J58</f>
        <v>1847431.14</v>
      </c>
      <c r="K12" s="4">
        <f>'Base de données indicateurs1'!K58</f>
        <v>1006228.34</v>
      </c>
      <c r="L12" s="4">
        <f>'Base de données indicateurs1'!L58</f>
        <v>13702597.810000001</v>
      </c>
      <c r="M12" s="4">
        <f>'Base de données indicateurs1'!M58</f>
        <v>966348.19</v>
      </c>
      <c r="N12" s="4">
        <f>'Base de données indicateurs1'!N58</f>
        <v>41267.75</v>
      </c>
      <c r="O12" s="4">
        <f>'Base de données indicateurs1'!O58</f>
        <v>3552900.5</v>
      </c>
      <c r="P12" s="4">
        <f>'Base de données indicateurs1'!P58</f>
        <v>135435.99</v>
      </c>
      <c r="Q12" s="4">
        <f>'Base de données indicateurs1'!Q58</f>
        <v>2137</v>
      </c>
      <c r="R12" s="4">
        <f>'Base de données indicateurs1'!R58</f>
        <v>35597.1</v>
      </c>
      <c r="S12" s="4">
        <f>'Base de données indicateurs1'!S58</f>
        <v>12586.05</v>
      </c>
      <c r="T12" s="4">
        <f>'Base de données indicateurs1'!T58</f>
        <v>246921.63</v>
      </c>
      <c r="U12" s="4">
        <f>'Base de données indicateurs1'!U58</f>
        <v>475208.2</v>
      </c>
      <c r="V12" s="4">
        <f>'Base de données indicateurs1'!V58</f>
        <v>67939.38</v>
      </c>
      <c r="W12" s="4">
        <f>'Base de données indicateurs1'!W58</f>
        <v>3657738.51</v>
      </c>
      <c r="X12" s="4">
        <f>'Base de données indicateurs1'!X58</f>
        <v>120441.4</v>
      </c>
      <c r="Y12" s="4">
        <f>'Base de données indicateurs1'!Y58</f>
        <v>1082163</v>
      </c>
      <c r="Z12" s="4">
        <f>'Base de données indicateurs1'!Z58</f>
        <v>449610.71</v>
      </c>
      <c r="AA12" s="4">
        <f>'Base de données indicateurs1'!AA58</f>
        <v>195639.65</v>
      </c>
      <c r="AB12" s="4">
        <f>'Base de données indicateurs1'!AB58</f>
        <v>651324.15</v>
      </c>
      <c r="AC12" s="4">
        <f>'Base de données indicateurs1'!AC58</f>
        <v>758577.75</v>
      </c>
      <c r="AD12" s="4">
        <f>'Base de données indicateurs1'!AD58</f>
        <v>236241.6</v>
      </c>
      <c r="AE12" s="4">
        <f>'Base de données indicateurs1'!AE58</f>
        <v>560601.35</v>
      </c>
      <c r="AF12" s="4">
        <f>'Base de données indicateurs1'!AF58</f>
        <v>592880.19999999995</v>
      </c>
      <c r="AG12" s="4">
        <f>'Base de données indicateurs1'!AG58</f>
        <v>1120256.05</v>
      </c>
      <c r="AH12" s="4">
        <f>'Base de données indicateurs1'!AH58</f>
        <v>482214.3</v>
      </c>
      <c r="AI12" s="4">
        <f>'Base de données indicateurs1'!AI58</f>
        <v>208776.05</v>
      </c>
      <c r="AJ12" s="4">
        <f>'Base de données indicateurs1'!AJ58</f>
        <v>228249.65</v>
      </c>
      <c r="AK12" s="4">
        <f>'Base de données indicateurs1'!AK58</f>
        <v>2587328.1</v>
      </c>
      <c r="AL12" s="4">
        <f>'Base de données indicateurs1'!AL58</f>
        <v>607952.1</v>
      </c>
      <c r="AM12" s="4">
        <f>'Base de données indicateurs1'!AM58</f>
        <v>359831.66</v>
      </c>
      <c r="AN12" s="4">
        <f>'Base de données indicateurs1'!AN58</f>
        <v>15191.1</v>
      </c>
      <c r="AO12" s="4">
        <f>'Base de données indicateurs1'!AO58</f>
        <v>1300821.51</v>
      </c>
      <c r="AP12" s="4">
        <f>'Base de données indicateurs1'!AP58</f>
        <v>407340.9</v>
      </c>
      <c r="AQ12" s="4">
        <f>'Base de données indicateurs1'!AQ58</f>
        <v>529522</v>
      </c>
      <c r="AR12" s="4">
        <f>'Base de données indicateurs1'!AR58</f>
        <v>2561966.7000000002</v>
      </c>
      <c r="AS12" s="4">
        <f>'Base de données indicateurs1'!AS58</f>
        <v>190136.45</v>
      </c>
      <c r="AT12" s="4">
        <f>'Base de données indicateurs1'!AT58</f>
        <v>1378844.35</v>
      </c>
      <c r="AU12" s="4">
        <f>'Base de données indicateurs1'!AU58</f>
        <v>69113</v>
      </c>
      <c r="AV12" s="4">
        <f>'Base de données indicateurs1'!AV58</f>
        <v>611861.4</v>
      </c>
      <c r="AW12" s="4">
        <f>'Base de données indicateurs1'!AW58</f>
        <v>342404.75</v>
      </c>
      <c r="AX12" s="4">
        <f>'Base de données indicateurs1'!AX58</f>
        <v>0</v>
      </c>
      <c r="AY12" s="4">
        <f>'Base de données indicateurs1'!AY58</f>
        <v>24663.3</v>
      </c>
      <c r="AZ12" s="4">
        <f>'Base de données indicateurs1'!AZ58</f>
        <v>17061.55</v>
      </c>
      <c r="BA12" s="4">
        <f>'Base de données indicateurs1'!BA58</f>
        <v>722496</v>
      </c>
      <c r="BB12" s="4">
        <f>'Base de données indicateurs1'!BB58</f>
        <v>1057290.32</v>
      </c>
      <c r="BC12" s="4">
        <f>'Base de données indicateurs1'!BC58</f>
        <v>72697.2</v>
      </c>
      <c r="BD12" s="4">
        <f>'Base de données indicateurs1'!BD58</f>
        <v>6553486.2199999997</v>
      </c>
      <c r="BE12" s="4">
        <f>'Base de données indicateurs1'!BE58</f>
        <v>104880.05</v>
      </c>
      <c r="BF12" s="4">
        <f>SUM(E12:W12)</f>
        <v>28917547.519999996</v>
      </c>
      <c r="BG12" s="4">
        <f>SUM(X12:AJ12)</f>
        <v>6686975.8599999994</v>
      </c>
      <c r="BH12" s="4">
        <f>SUM(AK12:BE12)</f>
        <v>19514888.660000004</v>
      </c>
    </row>
    <row r="13" spans="1:60" x14ac:dyDescent="0.25">
      <c r="B13" s="99"/>
      <c r="D13" s="4"/>
      <c r="BF13" s="4"/>
      <c r="BG13" s="4"/>
      <c r="BH13" s="4"/>
    </row>
    <row r="14" spans="1:60" x14ac:dyDescent="0.25">
      <c r="A14" s="93" t="s">
        <v>276</v>
      </c>
      <c r="B14" s="94" t="s">
        <v>225</v>
      </c>
      <c r="C14" s="93">
        <v>30</v>
      </c>
      <c r="D14" s="95">
        <f>'Base de données indicateurs1'!BF17</f>
        <v>85204080.280000001</v>
      </c>
      <c r="E14" s="4">
        <f>'Base de données indicateurs1'!E17</f>
        <v>450690.3</v>
      </c>
      <c r="F14" s="4">
        <f>'Base de données indicateurs1'!F17</f>
        <v>53889.4</v>
      </c>
      <c r="G14" s="4">
        <f>'Base de données indicateurs1'!G17</f>
        <v>132393.1</v>
      </c>
      <c r="H14" s="4">
        <f>'Base de données indicateurs1'!H17</f>
        <v>258390.39999999999</v>
      </c>
      <c r="I14" s="4">
        <f>'Base de données indicateurs1'!I17</f>
        <v>2657324</v>
      </c>
      <c r="J14" s="4">
        <f>'Base de données indicateurs1'!J17</f>
        <v>3047621.84</v>
      </c>
      <c r="K14" s="4">
        <f>'Base de données indicateurs1'!K17</f>
        <v>1079335.8500000001</v>
      </c>
      <c r="L14" s="4">
        <f>'Base de données indicateurs1'!L17</f>
        <v>24161377.41</v>
      </c>
      <c r="M14" s="4">
        <f>'Base de données indicateurs1'!M17</f>
        <v>1263436.25</v>
      </c>
      <c r="N14" s="4">
        <f>'Base de données indicateurs1'!N17</f>
        <v>54332.7</v>
      </c>
      <c r="O14" s="4">
        <f>'Base de données indicateurs1'!O17</f>
        <v>3750775.35</v>
      </c>
      <c r="P14" s="4">
        <f>'Base de données indicateurs1'!P17</f>
        <v>171867.15</v>
      </c>
      <c r="Q14" s="4">
        <f>'Base de données indicateurs1'!Q17</f>
        <v>69241.5</v>
      </c>
      <c r="R14" s="4">
        <f>'Base de données indicateurs1'!R17</f>
        <v>235485.55</v>
      </c>
      <c r="S14" s="4">
        <f>'Base de données indicateurs1'!S17</f>
        <v>146114.39000000001</v>
      </c>
      <c r="T14" s="4">
        <f>'Base de données indicateurs1'!T17</f>
        <v>257989.9</v>
      </c>
      <c r="U14" s="4">
        <f>'Base de données indicateurs1'!U17</f>
        <v>119902.39999999999</v>
      </c>
      <c r="V14" s="4">
        <f>'Base de données indicateurs1'!V17</f>
        <v>352193.45</v>
      </c>
      <c r="W14" s="4">
        <f>'Base de données indicateurs1'!W17</f>
        <v>2297351.7000000002</v>
      </c>
      <c r="X14" s="4">
        <f>'Base de données indicateurs1'!X17</f>
        <v>91997</v>
      </c>
      <c r="Y14" s="4">
        <f>'Base de données indicateurs1'!Y17</f>
        <v>1314388.25</v>
      </c>
      <c r="Z14" s="4">
        <f>'Base de données indicateurs1'!Z17</f>
        <v>17014739.890000001</v>
      </c>
      <c r="AA14" s="4">
        <f>'Base de données indicateurs1'!AA17</f>
        <v>81630.3</v>
      </c>
      <c r="AB14" s="4">
        <f>'Base de données indicateurs1'!AB17</f>
        <v>67663.399999999994</v>
      </c>
      <c r="AC14" s="4">
        <f>'Base de données indicateurs1'!AC17</f>
        <v>380712.95</v>
      </c>
      <c r="AD14" s="4">
        <f>'Base de données indicateurs1'!AD17</f>
        <v>577583.19999999995</v>
      </c>
      <c r="AE14" s="4">
        <f>'Base de données indicateurs1'!AE17</f>
        <v>337240.4</v>
      </c>
      <c r="AF14" s="4">
        <f>'Base de données indicateurs1'!AF17</f>
        <v>320113.7</v>
      </c>
      <c r="AG14" s="4">
        <f>'Base de données indicateurs1'!AG17</f>
        <v>996104.95</v>
      </c>
      <c r="AH14" s="4">
        <f>'Base de données indicateurs1'!AH17</f>
        <v>1786409.6</v>
      </c>
      <c r="AI14" s="4">
        <f>'Base de données indicateurs1'!AI17</f>
        <v>113364</v>
      </c>
      <c r="AJ14" s="4">
        <f>'Base de données indicateurs1'!AJ17</f>
        <v>64499.6</v>
      </c>
      <c r="AK14" s="4">
        <f>'Base de données indicateurs1'!AK17</f>
        <v>748307.08</v>
      </c>
      <c r="AL14" s="4">
        <f>'Base de données indicateurs1'!AL17</f>
        <v>657667</v>
      </c>
      <c r="AM14" s="4">
        <f>'Base de données indicateurs1'!AM17</f>
        <v>488008.4</v>
      </c>
      <c r="AN14" s="4">
        <f>'Base de données indicateurs1'!AN17</f>
        <v>70210.33</v>
      </c>
      <c r="AO14" s="4">
        <f>'Base de données indicateurs1'!AO17</f>
        <v>1366767.95</v>
      </c>
      <c r="AP14" s="4">
        <f>'Base de données indicateurs1'!AP17</f>
        <v>782553.45</v>
      </c>
      <c r="AQ14" s="4">
        <f>'Base de données indicateurs1'!AQ17</f>
        <v>215792</v>
      </c>
      <c r="AR14" s="4">
        <f>'Base de données indicateurs1'!AR17</f>
        <v>1185466</v>
      </c>
      <c r="AS14" s="4">
        <f>'Base de données indicateurs1'!AS17</f>
        <v>408302</v>
      </c>
      <c r="AT14" s="4">
        <f>'Base de données indicateurs1'!AT17</f>
        <v>478325.85</v>
      </c>
      <c r="AU14" s="4">
        <f>'Base de données indicateurs1'!AU17</f>
        <v>112105.3</v>
      </c>
      <c r="AV14" s="4">
        <f>'Base de données indicateurs1'!AV17</f>
        <v>1009880.65</v>
      </c>
      <c r="AW14" s="4">
        <f>'Base de données indicateurs1'!AW17</f>
        <v>455851.81</v>
      </c>
      <c r="AX14" s="4">
        <f>'Base de données indicateurs1'!AX17</f>
        <v>89789</v>
      </c>
      <c r="AY14" s="4">
        <f>'Base de données indicateurs1'!AY17</f>
        <v>145853.9</v>
      </c>
      <c r="AZ14" s="4">
        <f>'Base de données indicateurs1'!AZ17</f>
        <v>859063.05</v>
      </c>
      <c r="BA14" s="4">
        <f>'Base de données indicateurs1'!BA17</f>
        <v>134115.22</v>
      </c>
      <c r="BB14" s="4">
        <f>'Base de données indicateurs1'!BB17</f>
        <v>1296398.55</v>
      </c>
      <c r="BC14" s="4">
        <f>'Base de données indicateurs1'!BC17</f>
        <v>73305.88</v>
      </c>
      <c r="BD14" s="4">
        <f>'Base de données indicateurs1'!BD17</f>
        <v>10605254.83</v>
      </c>
      <c r="BE14" s="4">
        <f>'Base de données indicateurs1'!BE17</f>
        <v>314902.15000000002</v>
      </c>
      <c r="BF14" s="4">
        <f t="shared" ref="BF14:BF41" si="0">SUM(E14:W14)</f>
        <v>40559712.640000001</v>
      </c>
      <c r="BG14" s="4">
        <f t="shared" ref="BG14:BG41" si="1">SUM(X14:AJ14)</f>
        <v>23146447.239999998</v>
      </c>
      <c r="BH14" s="4">
        <f t="shared" ref="BH14:BH41" si="2">SUM(AK14:BE14)</f>
        <v>21497920.399999999</v>
      </c>
    </row>
    <row r="15" spans="1:60" x14ac:dyDescent="0.25">
      <c r="A15" s="96" t="s">
        <v>530</v>
      </c>
      <c r="B15" s="97" t="s">
        <v>225</v>
      </c>
      <c r="C15" s="96">
        <v>31</v>
      </c>
      <c r="D15" s="98">
        <f>'Base de données indicateurs1'!BF18</f>
        <v>76157548.310000002</v>
      </c>
      <c r="E15" s="4">
        <f>'Base de données indicateurs1'!E18</f>
        <v>549823.39</v>
      </c>
      <c r="F15" s="4">
        <f>'Base de données indicateurs1'!F18</f>
        <v>254518.51</v>
      </c>
      <c r="G15" s="4">
        <f>'Base de données indicateurs1'!G18</f>
        <v>248418.09</v>
      </c>
      <c r="H15" s="4">
        <f>'Base de données indicateurs1'!H18</f>
        <v>410875.58</v>
      </c>
      <c r="I15" s="4">
        <f>'Base de données indicateurs1'!I18</f>
        <v>3068964</v>
      </c>
      <c r="J15" s="4">
        <f>'Base de données indicateurs1'!J18</f>
        <v>2179901.38</v>
      </c>
      <c r="K15" s="4">
        <f>'Base de données indicateurs1'!K18</f>
        <v>1530298.89</v>
      </c>
      <c r="L15" s="4">
        <f>'Base de données indicateurs1'!L18</f>
        <v>22441748.620000001</v>
      </c>
      <c r="M15" s="4">
        <f>'Base de données indicateurs1'!M18</f>
        <v>2000847.41</v>
      </c>
      <c r="N15" s="4">
        <f>'Base de données indicateurs1'!N18</f>
        <v>80647.23</v>
      </c>
      <c r="O15" s="4">
        <f>'Base de données indicateurs1'!O18</f>
        <v>4072112.65</v>
      </c>
      <c r="P15" s="4">
        <f>'Base de données indicateurs1'!P18</f>
        <v>353807.63</v>
      </c>
      <c r="Q15" s="4">
        <f>'Base de données indicateurs1'!Q18</f>
        <v>97542.23</v>
      </c>
      <c r="R15" s="4">
        <f>'Base de données indicateurs1'!R18</f>
        <v>225879.16</v>
      </c>
      <c r="S15" s="4">
        <f>'Base de données indicateurs1'!S18</f>
        <v>258484.23</v>
      </c>
      <c r="T15" s="4">
        <f>'Base de données indicateurs1'!T18</f>
        <v>663454.38</v>
      </c>
      <c r="U15" s="4">
        <f>'Base de données indicateurs1'!U18</f>
        <v>223295.85</v>
      </c>
      <c r="V15" s="4">
        <f>'Base de données indicateurs1'!V18</f>
        <v>633090.27</v>
      </c>
      <c r="W15" s="4">
        <f>'Base de données indicateurs1'!W18</f>
        <v>1937241.99</v>
      </c>
      <c r="X15" s="4">
        <f>'Base de données indicateurs1'!X18</f>
        <v>484719</v>
      </c>
      <c r="Y15" s="4">
        <f>'Base de données indicateurs1'!Y18</f>
        <v>1120838.97</v>
      </c>
      <c r="Z15" s="4">
        <f>'Base de données indicateurs1'!Z18</f>
        <v>2551755.75</v>
      </c>
      <c r="AA15" s="4">
        <f>'Base de données indicateurs1'!AA18</f>
        <v>159472.39000000001</v>
      </c>
      <c r="AB15" s="4">
        <f>'Base de données indicateurs1'!AB18</f>
        <v>203627.18</v>
      </c>
      <c r="AC15" s="4">
        <f>'Base de données indicateurs1'!AC18</f>
        <v>806435.3</v>
      </c>
      <c r="AD15" s="4">
        <f>'Base de données indicateurs1'!AD18</f>
        <v>968075.99</v>
      </c>
      <c r="AE15" s="4">
        <f>'Base de données indicateurs1'!AE18</f>
        <v>951096.62</v>
      </c>
      <c r="AF15" s="4">
        <f>'Base de données indicateurs1'!AF18</f>
        <v>920038.68</v>
      </c>
      <c r="AG15" s="4">
        <f>'Base de données indicateurs1'!AG18</f>
        <v>1931402.26</v>
      </c>
      <c r="AH15" s="4">
        <f>'Base de données indicateurs1'!AH18</f>
        <v>2541619.29</v>
      </c>
      <c r="AI15" s="4">
        <f>'Base de données indicateurs1'!AI18</f>
        <v>385034.32</v>
      </c>
      <c r="AJ15" s="4">
        <f>'Base de données indicateurs1'!AJ18</f>
        <v>168436.82</v>
      </c>
      <c r="AK15" s="4">
        <f>'Base de données indicateurs1'!AK18</f>
        <v>1046838.46</v>
      </c>
      <c r="AL15" s="4">
        <f>'Base de données indicateurs1'!AL18</f>
        <v>1139293</v>
      </c>
      <c r="AM15" s="4">
        <f>'Base de données indicateurs1'!AM18</f>
        <v>1125481.8700000001</v>
      </c>
      <c r="AN15" s="4">
        <f>'Base de données indicateurs1'!AN18</f>
        <v>168227.13</v>
      </c>
      <c r="AO15" s="4">
        <f>'Base de données indicateurs1'!AO18</f>
        <v>1909042.09</v>
      </c>
      <c r="AP15" s="4">
        <f>'Base de données indicateurs1'!AP18</f>
        <v>673337.42</v>
      </c>
      <c r="AQ15" s="4">
        <f>'Base de données indicateurs1'!AQ18</f>
        <v>410167</v>
      </c>
      <c r="AR15" s="4">
        <f>'Base de données indicateurs1'!AR18</f>
        <v>1477711.29</v>
      </c>
      <c r="AS15" s="4">
        <f>'Base de données indicateurs1'!AS18</f>
        <v>544709.1</v>
      </c>
      <c r="AT15" s="4">
        <f>'Base de données indicateurs1'!AT18</f>
        <v>749388.76</v>
      </c>
      <c r="AU15" s="4">
        <f>'Base de données indicateurs1'!AU18</f>
        <v>328578.21000000002</v>
      </c>
      <c r="AV15" s="4">
        <f>'Base de données indicateurs1'!AV18</f>
        <v>1375544.67</v>
      </c>
      <c r="AW15" s="4">
        <f>'Base de données indicateurs1'!AW18</f>
        <v>609520.12</v>
      </c>
      <c r="AX15" s="4">
        <f>'Base de données indicateurs1'!AX18</f>
        <v>110413.71</v>
      </c>
      <c r="AY15" s="4">
        <f>'Base de données indicateurs1'!AY18</f>
        <v>371740.68</v>
      </c>
      <c r="AZ15" s="4">
        <f>'Base de données indicateurs1'!AZ18</f>
        <v>1160379.23</v>
      </c>
      <c r="BA15" s="4">
        <f>'Base de données indicateurs1'!BA18</f>
        <v>377914.53</v>
      </c>
      <c r="BB15" s="4">
        <f>'Base de données indicateurs1'!BB18</f>
        <v>1139781.6399999999</v>
      </c>
      <c r="BC15" s="4">
        <f>'Base de données indicateurs1'!BC18</f>
        <v>133571.25</v>
      </c>
      <c r="BD15" s="4">
        <f>'Base de données indicateurs1'!BD18</f>
        <v>6516264.1500000004</v>
      </c>
      <c r="BE15" s="4">
        <f>'Base de données indicateurs1'!BE18</f>
        <v>366139.94</v>
      </c>
      <c r="BF15" s="4">
        <f t="shared" si="0"/>
        <v>41230951.490000002</v>
      </c>
      <c r="BG15" s="4">
        <f t="shared" si="1"/>
        <v>13192552.57</v>
      </c>
      <c r="BH15" s="4">
        <f t="shared" si="2"/>
        <v>21734044.250000004</v>
      </c>
    </row>
    <row r="16" spans="1:60" x14ac:dyDescent="0.25">
      <c r="A16" s="96" t="s">
        <v>279</v>
      </c>
      <c r="B16" s="97" t="s">
        <v>226</v>
      </c>
      <c r="C16" s="96">
        <v>3180</v>
      </c>
      <c r="D16" s="98">
        <f>'Base de données indicateurs1'!BF19</f>
        <v>602365.90000000014</v>
      </c>
      <c r="E16" s="4">
        <f>'Base de données indicateurs1'!E19</f>
        <v>-53000</v>
      </c>
      <c r="F16" s="4">
        <f>'Base de données indicateurs1'!F19</f>
        <v>-3146.94</v>
      </c>
      <c r="G16" s="4">
        <f>'Base de données indicateurs1'!G19</f>
        <v>0</v>
      </c>
      <c r="H16" s="4">
        <f>'Base de données indicateurs1'!H19</f>
        <v>0</v>
      </c>
      <c r="I16" s="4">
        <f>'Base de données indicateurs1'!I19</f>
        <v>207963</v>
      </c>
      <c r="J16" s="4">
        <f>'Base de données indicateurs1'!J19</f>
        <v>34000</v>
      </c>
      <c r="K16" s="4">
        <f>'Base de données indicateurs1'!K19</f>
        <v>-8652.44</v>
      </c>
      <c r="L16" s="4">
        <f>'Base de données indicateurs1'!L19</f>
        <v>-101700</v>
      </c>
      <c r="M16" s="4">
        <f>'Base de données indicateurs1'!M19</f>
        <v>-737.84</v>
      </c>
      <c r="N16" s="4">
        <f>'Base de données indicateurs1'!N19</f>
        <v>0</v>
      </c>
      <c r="O16" s="4">
        <f>'Base de données indicateurs1'!O19</f>
        <v>44244</v>
      </c>
      <c r="P16" s="4">
        <f>'Base de données indicateurs1'!P19</f>
        <v>0</v>
      </c>
      <c r="Q16" s="4">
        <f>'Base de données indicateurs1'!Q19</f>
        <v>0</v>
      </c>
      <c r="R16" s="4">
        <f>'Base de données indicateurs1'!R19</f>
        <v>0</v>
      </c>
      <c r="S16" s="4">
        <f>'Base de données indicateurs1'!S19</f>
        <v>-4049.8</v>
      </c>
      <c r="T16" s="4">
        <f>'Base de données indicateurs1'!T19</f>
        <v>0</v>
      </c>
      <c r="U16" s="4">
        <f>'Base de données indicateurs1'!U19</f>
        <v>1166.75</v>
      </c>
      <c r="V16" s="4">
        <f>'Base de données indicateurs1'!V19</f>
        <v>-2845.35</v>
      </c>
      <c r="W16" s="4">
        <f>'Base de données indicateurs1'!W19</f>
        <v>82352.289999999994</v>
      </c>
      <c r="X16" s="4">
        <f>'Base de données indicateurs1'!X19</f>
        <v>11260.26</v>
      </c>
      <c r="Y16" s="4">
        <f>'Base de données indicateurs1'!Y19</f>
        <v>0</v>
      </c>
      <c r="Z16" s="4">
        <f>'Base de données indicateurs1'!Z19</f>
        <v>-2546.8000000000002</v>
      </c>
      <c r="AA16" s="4">
        <f>'Base de données indicateurs1'!AA19</f>
        <v>0</v>
      </c>
      <c r="AB16" s="4">
        <f>'Base de données indicateurs1'!AB19</f>
        <v>-1589.55</v>
      </c>
      <c r="AC16" s="4">
        <f>'Base de données indicateurs1'!AC19</f>
        <v>64700</v>
      </c>
      <c r="AD16" s="4">
        <f>'Base de données indicateurs1'!AD19</f>
        <v>12321.05</v>
      </c>
      <c r="AE16" s="4">
        <f>'Base de données indicateurs1'!AE19</f>
        <v>0</v>
      </c>
      <c r="AF16" s="4">
        <f>'Base de données indicateurs1'!AF19</f>
        <v>0</v>
      </c>
      <c r="AG16" s="4">
        <f>'Base de données indicateurs1'!AG19</f>
        <v>13410</v>
      </c>
      <c r="AH16" s="4">
        <f>'Base de données indicateurs1'!AH19</f>
        <v>11980.23</v>
      </c>
      <c r="AI16" s="4">
        <f>'Base de données indicateurs1'!AI19</f>
        <v>3592</v>
      </c>
      <c r="AJ16" s="4">
        <f>'Base de données indicateurs1'!AJ19</f>
        <v>-10399.35</v>
      </c>
      <c r="AK16" s="4">
        <f>'Base de données indicateurs1'!AK19</f>
        <v>0</v>
      </c>
      <c r="AL16" s="4">
        <f>'Base de données indicateurs1'!AL19</f>
        <v>60665</v>
      </c>
      <c r="AM16" s="4">
        <f>'Base de données indicateurs1'!AM19</f>
        <v>22102.93</v>
      </c>
      <c r="AN16" s="4">
        <f>'Base de données indicateurs1'!AN19</f>
        <v>26355.39</v>
      </c>
      <c r="AO16" s="4">
        <f>'Base de données indicateurs1'!AO19</f>
        <v>45247.95</v>
      </c>
      <c r="AP16" s="4">
        <f>'Base de données indicateurs1'!AP19</f>
        <v>3029.03</v>
      </c>
      <c r="AQ16" s="4">
        <f>'Base de données indicateurs1'!AQ19</f>
        <v>0</v>
      </c>
      <c r="AR16" s="4">
        <f>'Base de données indicateurs1'!AR19</f>
        <v>0</v>
      </c>
      <c r="AS16" s="4">
        <f>'Base de données indicateurs1'!AS19</f>
        <v>6963.69</v>
      </c>
      <c r="AT16" s="4">
        <f>'Base de données indicateurs1'!AT19</f>
        <v>-2306.16</v>
      </c>
      <c r="AU16" s="4">
        <f>'Base de données indicateurs1'!AU19</f>
        <v>10000</v>
      </c>
      <c r="AV16" s="4">
        <f>'Base de données indicateurs1'!AV19</f>
        <v>15640.45</v>
      </c>
      <c r="AW16" s="4">
        <f>'Base de données indicateurs1'!AW19</f>
        <v>-8934.17</v>
      </c>
      <c r="AX16" s="4">
        <f>'Base de données indicateurs1'!AX19</f>
        <v>5386</v>
      </c>
      <c r="AY16" s="4">
        <f>'Base de données indicateurs1'!AY19</f>
        <v>15842.4</v>
      </c>
      <c r="AZ16" s="4">
        <f>'Base de données indicateurs1'!AZ19</f>
        <v>0</v>
      </c>
      <c r="BA16" s="4">
        <f>'Base de données indicateurs1'!BA19</f>
        <v>35343.15</v>
      </c>
      <c r="BB16" s="4">
        <f>'Base de données indicateurs1'!BB19</f>
        <v>23557.95</v>
      </c>
      <c r="BC16" s="4">
        <f>'Base de données indicateurs1'!BC19</f>
        <v>5937.9</v>
      </c>
      <c r="BD16" s="4">
        <f>'Base de données indicateurs1'!BD19</f>
        <v>0</v>
      </c>
      <c r="BE16" s="4">
        <f>'Base de données indicateurs1'!BE19</f>
        <v>39212.879999999997</v>
      </c>
      <c r="BF16" s="4">
        <f t="shared" si="0"/>
        <v>195593.66999999998</v>
      </c>
      <c r="BG16" s="4">
        <f t="shared" si="1"/>
        <v>102727.84</v>
      </c>
      <c r="BH16" s="4">
        <f t="shared" si="2"/>
        <v>304044.39</v>
      </c>
    </row>
    <row r="17" spans="1:60" x14ac:dyDescent="0.25">
      <c r="A17" s="96" t="s">
        <v>101</v>
      </c>
      <c r="B17" s="97" t="s">
        <v>225</v>
      </c>
      <c r="C17" s="96">
        <v>34</v>
      </c>
      <c r="D17" s="98">
        <f>'Base de données indicateurs1'!BF21</f>
        <v>8250347.9199999999</v>
      </c>
      <c r="E17" s="4">
        <f>'Base de données indicateurs1'!E21</f>
        <v>38934.65</v>
      </c>
      <c r="F17" s="4">
        <f>'Base de données indicateurs1'!F21</f>
        <v>47203.63</v>
      </c>
      <c r="G17" s="4">
        <f>'Base de données indicateurs1'!G21</f>
        <v>100058.82</v>
      </c>
      <c r="H17" s="4">
        <f>'Base de données indicateurs1'!H21</f>
        <v>72918.87</v>
      </c>
      <c r="I17" s="4">
        <f>'Base de données indicateurs1'!I21</f>
        <v>575915</v>
      </c>
      <c r="J17" s="4">
        <f>'Base de données indicateurs1'!J21</f>
        <v>311634.11</v>
      </c>
      <c r="K17" s="4">
        <f>'Base de données indicateurs1'!K21</f>
        <v>212656.85</v>
      </c>
      <c r="L17" s="4">
        <f>'Base de données indicateurs1'!L21</f>
        <v>1762202.09</v>
      </c>
      <c r="M17" s="4">
        <f>'Base de données indicateurs1'!M21</f>
        <v>67667.070000000007</v>
      </c>
      <c r="N17" s="4">
        <f>'Base de données indicateurs1'!N21</f>
        <v>8121.91</v>
      </c>
      <c r="O17" s="4">
        <f>'Base de données indicateurs1'!O21</f>
        <v>363958.46</v>
      </c>
      <c r="P17" s="4">
        <f>'Base de données indicateurs1'!P21</f>
        <v>47542.29</v>
      </c>
      <c r="Q17" s="4">
        <f>'Base de données indicateurs1'!Q21</f>
        <v>8946.48</v>
      </c>
      <c r="R17" s="4">
        <f>'Base de données indicateurs1'!R21</f>
        <v>53453.82</v>
      </c>
      <c r="S17" s="4">
        <f>'Base de données indicateurs1'!S21</f>
        <v>69384.44</v>
      </c>
      <c r="T17" s="4">
        <f>'Base de données indicateurs1'!T21</f>
        <v>66325.72</v>
      </c>
      <c r="U17" s="4">
        <f>'Base de données indicateurs1'!U21</f>
        <v>14511.68</v>
      </c>
      <c r="V17" s="4">
        <f>'Base de données indicateurs1'!V21</f>
        <v>52127.99</v>
      </c>
      <c r="W17" s="4">
        <f>'Base de données indicateurs1'!W21</f>
        <v>202554.03</v>
      </c>
      <c r="X17" s="4">
        <f>'Base de données indicateurs1'!X21</f>
        <v>14076.05</v>
      </c>
      <c r="Y17" s="4">
        <f>'Base de données indicateurs1'!Y21</f>
        <v>158659.09</v>
      </c>
      <c r="Z17" s="4">
        <f>'Base de données indicateurs1'!Z21</f>
        <v>18628.560000000001</v>
      </c>
      <c r="AA17" s="4">
        <f>'Base de données indicateurs1'!AA21</f>
        <v>3560.17</v>
      </c>
      <c r="AB17" s="4">
        <f>'Base de données indicateurs1'!AB21</f>
        <v>15806.06</v>
      </c>
      <c r="AC17" s="4">
        <f>'Base de données indicateurs1'!AC21</f>
        <v>76538.850000000006</v>
      </c>
      <c r="AD17" s="4">
        <f>'Base de données indicateurs1'!AD21</f>
        <v>116578.73</v>
      </c>
      <c r="AE17" s="4">
        <f>'Base de données indicateurs1'!AE21</f>
        <v>38264.15</v>
      </c>
      <c r="AF17" s="4">
        <f>'Base de données indicateurs1'!AF21</f>
        <v>76299.45</v>
      </c>
      <c r="AG17" s="4">
        <f>'Base de données indicateurs1'!AG21</f>
        <v>106342.45</v>
      </c>
      <c r="AH17" s="4">
        <f>'Base de données indicateurs1'!AH21</f>
        <v>192435.77</v>
      </c>
      <c r="AI17" s="4">
        <f>'Base de données indicateurs1'!AI21</f>
        <v>17489.71</v>
      </c>
      <c r="AJ17" s="4">
        <f>'Base de données indicateurs1'!AJ21</f>
        <v>24620.6</v>
      </c>
      <c r="AK17" s="4">
        <f>'Base de données indicateurs1'!AK21</f>
        <v>163387.26999999999</v>
      </c>
      <c r="AL17" s="4">
        <f>'Base de données indicateurs1'!AL21</f>
        <v>199635</v>
      </c>
      <c r="AM17" s="4">
        <f>'Base de données indicateurs1'!AM21</f>
        <v>172278.25</v>
      </c>
      <c r="AN17" s="4">
        <f>'Base de données indicateurs1'!AN21</f>
        <v>20793.810000000001</v>
      </c>
      <c r="AO17" s="4">
        <f>'Base de données indicateurs1'!AO21</f>
        <v>302592</v>
      </c>
      <c r="AP17" s="4">
        <f>'Base de données indicateurs1'!AP21</f>
        <v>72703.8</v>
      </c>
      <c r="AQ17" s="4">
        <f>'Base de données indicateurs1'!AQ21</f>
        <v>62321</v>
      </c>
      <c r="AR17" s="4">
        <f>'Base de données indicateurs1'!AR21</f>
        <v>244846.24</v>
      </c>
      <c r="AS17" s="4">
        <f>'Base de données indicateurs1'!AS21</f>
        <v>85953.99</v>
      </c>
      <c r="AT17" s="4">
        <f>'Base de données indicateurs1'!AT21</f>
        <v>155846.23000000001</v>
      </c>
      <c r="AU17" s="4">
        <f>'Base de données indicateurs1'!AU21</f>
        <v>22674.73</v>
      </c>
      <c r="AV17" s="4">
        <f>'Base de données indicateurs1'!AV21</f>
        <v>301937.46000000002</v>
      </c>
      <c r="AW17" s="4">
        <f>'Base de données indicateurs1'!AW21</f>
        <v>74054.740000000005</v>
      </c>
      <c r="AX17" s="4">
        <f>'Base de données indicateurs1'!AX21</f>
        <v>8054</v>
      </c>
      <c r="AY17" s="4">
        <f>'Base de données indicateurs1'!AY21</f>
        <v>15749.32</v>
      </c>
      <c r="AZ17" s="4">
        <f>'Base de données indicateurs1'!AZ21</f>
        <v>324265.33</v>
      </c>
      <c r="BA17" s="4">
        <f>'Base de données indicateurs1'!BA21</f>
        <v>26202.06</v>
      </c>
      <c r="BB17" s="4">
        <f>'Base de données indicateurs1'!BB21</f>
        <v>129553.11</v>
      </c>
      <c r="BC17" s="4">
        <f>'Base de données indicateurs1'!BC21</f>
        <v>371.1</v>
      </c>
      <c r="BD17" s="4">
        <f>'Base de données indicateurs1'!BD21</f>
        <v>874506.93</v>
      </c>
      <c r="BE17" s="4">
        <f>'Base de données indicateurs1'!BE21</f>
        <v>57204</v>
      </c>
      <c r="BF17" s="4">
        <f t="shared" si="0"/>
        <v>4076117.9100000006</v>
      </c>
      <c r="BG17" s="4">
        <f t="shared" si="1"/>
        <v>859299.64</v>
      </c>
      <c r="BH17" s="4">
        <f t="shared" si="2"/>
        <v>3314930.37</v>
      </c>
    </row>
    <row r="18" spans="1:60" x14ac:dyDescent="0.25">
      <c r="A18" s="96" t="s">
        <v>106</v>
      </c>
      <c r="B18" s="97" t="s">
        <v>226</v>
      </c>
      <c r="C18" s="96">
        <v>344</v>
      </c>
      <c r="D18" s="98">
        <f>'Base de données indicateurs1'!BF23</f>
        <v>-3639.4799999999996</v>
      </c>
      <c r="E18" s="4">
        <f>'Base de données indicateurs1'!E23</f>
        <v>0</v>
      </c>
      <c r="F18" s="4">
        <f>'Base de données indicateurs1'!F23</f>
        <v>0</v>
      </c>
      <c r="G18" s="4">
        <f>'Base de données indicateurs1'!G23</f>
        <v>0</v>
      </c>
      <c r="H18" s="4">
        <f>'Base de données indicateurs1'!H23</f>
        <v>0</v>
      </c>
      <c r="I18" s="4">
        <f>'Base de données indicateurs1'!I23</f>
        <v>0</v>
      </c>
      <c r="J18" s="4">
        <f>'Base de données indicateurs1'!J23</f>
        <v>0</v>
      </c>
      <c r="K18" s="4">
        <f>'Base de données indicateurs1'!K23</f>
        <v>4290.42</v>
      </c>
      <c r="L18" s="4">
        <f>'Base de données indicateurs1'!L23</f>
        <v>0</v>
      </c>
      <c r="M18" s="4">
        <f>'Base de données indicateurs1'!M23</f>
        <v>0</v>
      </c>
      <c r="N18" s="4">
        <f>'Base de données indicateurs1'!N23</f>
        <v>0</v>
      </c>
      <c r="O18" s="4">
        <f>'Base de données indicateurs1'!O23</f>
        <v>0</v>
      </c>
      <c r="P18" s="4">
        <f>'Base de données indicateurs1'!P23</f>
        <v>0</v>
      </c>
      <c r="Q18" s="4">
        <f>'Base de données indicateurs1'!Q23</f>
        <v>0</v>
      </c>
      <c r="R18" s="4">
        <f>'Base de données indicateurs1'!R23</f>
        <v>0</v>
      </c>
      <c r="S18" s="4">
        <f>'Base de données indicateurs1'!S23</f>
        <v>0</v>
      </c>
      <c r="T18" s="4">
        <f>'Base de données indicateurs1'!T23</f>
        <v>3356.65</v>
      </c>
      <c r="U18" s="4">
        <f>'Base de données indicateurs1'!U23</f>
        <v>0</v>
      </c>
      <c r="V18" s="4">
        <f>'Base de données indicateurs1'!V23</f>
        <v>0</v>
      </c>
      <c r="W18" s="4">
        <f>'Base de données indicateurs1'!W23</f>
        <v>0</v>
      </c>
      <c r="X18" s="4">
        <f>'Base de données indicateurs1'!X23</f>
        <v>0</v>
      </c>
      <c r="Y18" s="4">
        <f>'Base de données indicateurs1'!Y23</f>
        <v>0</v>
      </c>
      <c r="Z18" s="4">
        <f>'Base de données indicateurs1'!Z23</f>
        <v>0</v>
      </c>
      <c r="AA18" s="4">
        <f>'Base de données indicateurs1'!AA23</f>
        <v>0</v>
      </c>
      <c r="AB18" s="4">
        <f>'Base de données indicateurs1'!AB23</f>
        <v>0</v>
      </c>
      <c r="AC18" s="4">
        <f>'Base de données indicateurs1'!AC23</f>
        <v>0</v>
      </c>
      <c r="AD18" s="4">
        <f>'Base de données indicateurs1'!AD23</f>
        <v>2</v>
      </c>
      <c r="AE18" s="4">
        <f>'Base de données indicateurs1'!AE23</f>
        <v>0</v>
      </c>
      <c r="AF18" s="4">
        <f>'Base de données indicateurs1'!AF23</f>
        <v>0</v>
      </c>
      <c r="AG18" s="4">
        <f>'Base de données indicateurs1'!AG23</f>
        <v>0</v>
      </c>
      <c r="AH18" s="4">
        <f>'Base de données indicateurs1'!AH23</f>
        <v>0</v>
      </c>
      <c r="AI18" s="4">
        <f>'Base de données indicateurs1'!AI23</f>
        <v>-11588.55</v>
      </c>
      <c r="AJ18" s="4">
        <f>'Base de données indicateurs1'!AJ23</f>
        <v>0</v>
      </c>
      <c r="AK18" s="4">
        <f>'Base de données indicateurs1'!AK23</f>
        <v>0</v>
      </c>
      <c r="AL18" s="4">
        <f>'Base de données indicateurs1'!AL23</f>
        <v>0</v>
      </c>
      <c r="AM18" s="4">
        <f>'Base de données indicateurs1'!AM23</f>
        <v>0</v>
      </c>
      <c r="AN18" s="4">
        <f>'Base de données indicateurs1'!AN23</f>
        <v>0</v>
      </c>
      <c r="AO18" s="4">
        <f>'Base de données indicateurs1'!AO23</f>
        <v>0</v>
      </c>
      <c r="AP18" s="4">
        <f>'Base de données indicateurs1'!AP23</f>
        <v>0</v>
      </c>
      <c r="AQ18" s="4">
        <f>'Base de données indicateurs1'!AQ23</f>
        <v>0</v>
      </c>
      <c r="AR18" s="4">
        <f>'Base de données indicateurs1'!AR23</f>
        <v>0</v>
      </c>
      <c r="AS18" s="4">
        <f>'Base de données indicateurs1'!AS23</f>
        <v>0</v>
      </c>
      <c r="AT18" s="4">
        <f>'Base de données indicateurs1'!AT23</f>
        <v>0</v>
      </c>
      <c r="AU18" s="4">
        <f>'Base de données indicateurs1'!AU23</f>
        <v>0</v>
      </c>
      <c r="AV18" s="4">
        <f>'Base de données indicateurs1'!AV23</f>
        <v>0</v>
      </c>
      <c r="AW18" s="4">
        <f>'Base de données indicateurs1'!AW23</f>
        <v>0</v>
      </c>
      <c r="AX18" s="4">
        <f>'Base de données indicateurs1'!AX23</f>
        <v>0</v>
      </c>
      <c r="AY18" s="4">
        <f>'Base de données indicateurs1'!AY23</f>
        <v>0</v>
      </c>
      <c r="AZ18" s="4">
        <f>'Base de données indicateurs1'!AZ23</f>
        <v>0</v>
      </c>
      <c r="BA18" s="4">
        <f>'Base de données indicateurs1'!BA23</f>
        <v>0</v>
      </c>
      <c r="BB18" s="4">
        <f>'Base de données indicateurs1'!BB23</f>
        <v>300</v>
      </c>
      <c r="BC18" s="4">
        <f>'Base de données indicateurs1'!BC23</f>
        <v>0</v>
      </c>
      <c r="BD18" s="4">
        <f>'Base de données indicateurs1'!BD23</f>
        <v>0</v>
      </c>
      <c r="BE18" s="4">
        <f>'Base de données indicateurs1'!BE23</f>
        <v>0</v>
      </c>
      <c r="BF18" s="4">
        <f t="shared" si="0"/>
        <v>7647.07</v>
      </c>
      <c r="BG18" s="4">
        <f t="shared" si="1"/>
        <v>-11586.55</v>
      </c>
      <c r="BH18" s="4">
        <f t="shared" si="2"/>
        <v>300</v>
      </c>
    </row>
    <row r="19" spans="1:60" x14ac:dyDescent="0.25">
      <c r="A19" s="96" t="s">
        <v>286</v>
      </c>
      <c r="B19" s="97" t="s">
        <v>225</v>
      </c>
      <c r="C19" s="96">
        <v>36</v>
      </c>
      <c r="D19" s="98">
        <f>'Base de données indicateurs1'!BF25</f>
        <v>189232450.44999996</v>
      </c>
      <c r="E19" s="4">
        <f>'Base de données indicateurs1'!E25</f>
        <v>2209370.23</v>
      </c>
      <c r="F19" s="4">
        <f>'Base de données indicateurs1'!F25</f>
        <v>627387.05000000005</v>
      </c>
      <c r="G19" s="4">
        <f>'Base de données indicateurs1'!G25</f>
        <v>1067999.6299999999</v>
      </c>
      <c r="H19" s="4">
        <f>'Base de données indicateurs1'!H25</f>
        <v>993032.24</v>
      </c>
      <c r="I19" s="4">
        <f>'Base de données indicateurs1'!I25</f>
        <v>7195314</v>
      </c>
      <c r="J19" s="4">
        <f>'Base de données indicateurs1'!J25</f>
        <v>6522316.0499999998</v>
      </c>
      <c r="K19" s="4">
        <f>'Base de données indicateurs1'!K25</f>
        <v>6360565.75</v>
      </c>
      <c r="L19" s="4">
        <f>'Base de données indicateurs1'!L25</f>
        <v>41645193.57</v>
      </c>
      <c r="M19" s="4">
        <f>'Base de données indicateurs1'!M25</f>
        <v>3711345.35</v>
      </c>
      <c r="N19" s="4">
        <f>'Base de données indicateurs1'!N25</f>
        <v>332621.14</v>
      </c>
      <c r="O19" s="4">
        <f>'Base de données indicateurs1'!O25</f>
        <v>16420305.289999999</v>
      </c>
      <c r="P19" s="4">
        <f>'Base de données indicateurs1'!P25</f>
        <v>1067370.28</v>
      </c>
      <c r="Q19" s="4">
        <f>'Base de données indicateurs1'!Q25</f>
        <v>237243.12</v>
      </c>
      <c r="R19" s="4">
        <f>'Base de données indicateurs1'!R25</f>
        <v>848961.15</v>
      </c>
      <c r="S19" s="4">
        <f>'Base de données indicateurs1'!S25</f>
        <v>695404.95</v>
      </c>
      <c r="T19" s="4">
        <f>'Base de données indicateurs1'!T25</f>
        <v>1370064.75</v>
      </c>
      <c r="U19" s="4">
        <f>'Base de données indicateurs1'!U25</f>
        <v>555580.94999999995</v>
      </c>
      <c r="V19" s="4">
        <f>'Base de données indicateurs1'!V25</f>
        <v>1279572.96</v>
      </c>
      <c r="W19" s="4">
        <f>'Base de données indicateurs1'!W25</f>
        <v>5914198.4800000004</v>
      </c>
      <c r="X19" s="4">
        <f>'Base de données indicateurs1'!X25</f>
        <v>654769.9</v>
      </c>
      <c r="Y19" s="4">
        <f>'Base de données indicateurs1'!Y25</f>
        <v>2887179.59</v>
      </c>
      <c r="Z19" s="4">
        <f>'Base de données indicateurs1'!Z25</f>
        <v>5156029.13</v>
      </c>
      <c r="AA19" s="4">
        <f>'Base de données indicateurs1'!AA25</f>
        <v>188983.15</v>
      </c>
      <c r="AB19" s="4">
        <f>'Base de données indicateurs1'!AB25</f>
        <v>409650.75</v>
      </c>
      <c r="AC19" s="4">
        <f>'Base de données indicateurs1'!AC25</f>
        <v>1343491.8</v>
      </c>
      <c r="AD19" s="4">
        <f>'Base de données indicateurs1'!AD25</f>
        <v>1472669.32</v>
      </c>
      <c r="AE19" s="4">
        <f>'Base de données indicateurs1'!AE25</f>
        <v>1233611.2</v>
      </c>
      <c r="AF19" s="4">
        <f>'Base de données indicateurs1'!AF25</f>
        <v>1215526.6200000001</v>
      </c>
      <c r="AG19" s="4">
        <f>'Base de données indicateurs1'!AG25</f>
        <v>4919792.47</v>
      </c>
      <c r="AH19" s="4">
        <f>'Base de données indicateurs1'!AH25</f>
        <v>5843500.3099999996</v>
      </c>
      <c r="AI19" s="4">
        <f>'Base de données indicateurs1'!AI25</f>
        <v>502593.45</v>
      </c>
      <c r="AJ19" s="4">
        <f>'Base de données indicateurs1'!AJ25</f>
        <v>353426.6</v>
      </c>
      <c r="AK19" s="4">
        <f>'Base de données indicateurs1'!AK25</f>
        <v>4906314.28</v>
      </c>
      <c r="AL19" s="4">
        <f>'Base de données indicateurs1'!AL25</f>
        <v>2669208</v>
      </c>
      <c r="AM19" s="4">
        <f>'Base de données indicateurs1'!AM25</f>
        <v>3094597.22</v>
      </c>
      <c r="AN19" s="4">
        <f>'Base de données indicateurs1'!AN25</f>
        <v>308362.87</v>
      </c>
      <c r="AO19" s="4">
        <f>'Base de données indicateurs1'!AO25</f>
        <v>4180721.17</v>
      </c>
      <c r="AP19" s="4">
        <f>'Base de données indicateurs1'!AP25</f>
        <v>1966950.19</v>
      </c>
      <c r="AQ19" s="4">
        <f>'Base de données indicateurs1'!AQ25</f>
        <v>1366302</v>
      </c>
      <c r="AR19" s="4">
        <f>'Base de données indicateurs1'!AR25</f>
        <v>3014483.7</v>
      </c>
      <c r="AS19" s="4">
        <f>'Base de données indicateurs1'!AS25</f>
        <v>1826552.7</v>
      </c>
      <c r="AT19" s="4">
        <f>'Base de données indicateurs1'!AT25</f>
        <v>2626079.9500000002</v>
      </c>
      <c r="AU19" s="4">
        <f>'Base de données indicateurs1'!AU25</f>
        <v>861136.67</v>
      </c>
      <c r="AV19" s="4">
        <f>'Base de données indicateurs1'!AV25</f>
        <v>6327870.8499999996</v>
      </c>
      <c r="AW19" s="4">
        <f>'Base de données indicateurs1'!AW25</f>
        <v>1685038.83</v>
      </c>
      <c r="AX19" s="4">
        <f>'Base de données indicateurs1'!AX25</f>
        <v>455572.24</v>
      </c>
      <c r="AY19" s="4">
        <f>'Base de données indicateurs1'!AY25</f>
        <v>681002.32</v>
      </c>
      <c r="AZ19" s="4">
        <f>'Base de données indicateurs1'!AZ25</f>
        <v>4013802.46</v>
      </c>
      <c r="BA19" s="4">
        <f>'Base de données indicateurs1'!BA25</f>
        <v>1037836.91</v>
      </c>
      <c r="BB19" s="4">
        <f>'Base de données indicateurs1'!BB25</f>
        <v>2527216.2200000002</v>
      </c>
      <c r="BC19" s="4">
        <f>'Base de données indicateurs1'!BC25</f>
        <v>482252.09</v>
      </c>
      <c r="BD19" s="4">
        <f>'Base de données indicateurs1'!BD25</f>
        <v>18522704.539999999</v>
      </c>
      <c r="BE19" s="4">
        <f>'Base de données indicateurs1'!BE25</f>
        <v>1443374.01</v>
      </c>
      <c r="BF19" s="4">
        <f t="shared" si="0"/>
        <v>99053846.939999998</v>
      </c>
      <c r="BG19" s="4">
        <f t="shared" si="1"/>
        <v>26181224.289999999</v>
      </c>
      <c r="BH19" s="4">
        <f t="shared" si="2"/>
        <v>63997379.219999999</v>
      </c>
    </row>
    <row r="20" spans="1:60" x14ac:dyDescent="0.25">
      <c r="A20" s="96" t="s">
        <v>531</v>
      </c>
      <c r="B20" s="97" t="s">
        <v>226</v>
      </c>
      <c r="C20" s="96">
        <v>364</v>
      </c>
      <c r="D20" s="98">
        <f>'Base de données indicateurs1'!BF28</f>
        <v>0</v>
      </c>
      <c r="E20" s="4">
        <f>'Base de données indicateurs1'!E28</f>
        <v>0</v>
      </c>
      <c r="F20" s="4">
        <f>'Base de données indicateurs1'!F28</f>
        <v>0</v>
      </c>
      <c r="G20" s="4">
        <f>'Base de données indicateurs1'!G28</f>
        <v>0</v>
      </c>
      <c r="H20" s="4">
        <f>'Base de données indicateurs1'!H28</f>
        <v>0</v>
      </c>
      <c r="I20" s="4">
        <f>'Base de données indicateurs1'!I28</f>
        <v>0</v>
      </c>
      <c r="J20" s="4">
        <f>'Base de données indicateurs1'!J28</f>
        <v>0</v>
      </c>
      <c r="K20" s="4">
        <f>'Base de données indicateurs1'!K28</f>
        <v>0</v>
      </c>
      <c r="L20" s="4">
        <f>'Base de données indicateurs1'!L28</f>
        <v>0</v>
      </c>
      <c r="M20" s="4">
        <f>'Base de données indicateurs1'!M28</f>
        <v>0</v>
      </c>
      <c r="N20" s="4">
        <f>'Base de données indicateurs1'!N28</f>
        <v>0</v>
      </c>
      <c r="O20" s="4">
        <f>'Base de données indicateurs1'!O28</f>
        <v>0</v>
      </c>
      <c r="P20" s="4">
        <f>'Base de données indicateurs1'!P28</f>
        <v>0</v>
      </c>
      <c r="Q20" s="4">
        <f>'Base de données indicateurs1'!Q28</f>
        <v>0</v>
      </c>
      <c r="R20" s="4">
        <f>'Base de données indicateurs1'!R28</f>
        <v>0</v>
      </c>
      <c r="S20" s="4">
        <f>'Base de données indicateurs1'!S28</f>
        <v>0</v>
      </c>
      <c r="T20" s="4">
        <f>'Base de données indicateurs1'!T28</f>
        <v>0</v>
      </c>
      <c r="U20" s="4">
        <f>'Base de données indicateurs1'!U28</f>
        <v>0</v>
      </c>
      <c r="V20" s="4">
        <f>'Base de données indicateurs1'!V28</f>
        <v>0</v>
      </c>
      <c r="W20" s="4">
        <f>'Base de données indicateurs1'!W28</f>
        <v>0</v>
      </c>
      <c r="X20" s="4">
        <f>'Base de données indicateurs1'!X28</f>
        <v>0</v>
      </c>
      <c r="Y20" s="4">
        <f>'Base de données indicateurs1'!Y28</f>
        <v>0</v>
      </c>
      <c r="Z20" s="4">
        <f>'Base de données indicateurs1'!Z28</f>
        <v>0</v>
      </c>
      <c r="AA20" s="4">
        <f>'Base de données indicateurs1'!AA28</f>
        <v>0</v>
      </c>
      <c r="AB20" s="4">
        <f>'Base de données indicateurs1'!AB28</f>
        <v>0</v>
      </c>
      <c r="AC20" s="4">
        <f>'Base de données indicateurs1'!AC28</f>
        <v>0</v>
      </c>
      <c r="AD20" s="4">
        <f>'Base de données indicateurs1'!AD28</f>
        <v>0</v>
      </c>
      <c r="AE20" s="4">
        <f>'Base de données indicateurs1'!AE28</f>
        <v>0</v>
      </c>
      <c r="AF20" s="4">
        <f>'Base de données indicateurs1'!AF28</f>
        <v>0</v>
      </c>
      <c r="AG20" s="4">
        <f>'Base de données indicateurs1'!AG28</f>
        <v>0</v>
      </c>
      <c r="AH20" s="4">
        <f>'Base de données indicateurs1'!AH28</f>
        <v>0</v>
      </c>
      <c r="AI20" s="4">
        <f>'Base de données indicateurs1'!AI28</f>
        <v>0</v>
      </c>
      <c r="AJ20" s="4">
        <f>'Base de données indicateurs1'!AJ28</f>
        <v>0</v>
      </c>
      <c r="AK20" s="4">
        <f>'Base de données indicateurs1'!AK28</f>
        <v>0</v>
      </c>
      <c r="AL20" s="4">
        <f>'Base de données indicateurs1'!AL28</f>
        <v>0</v>
      </c>
      <c r="AM20" s="4">
        <f>'Base de données indicateurs1'!AM28</f>
        <v>0</v>
      </c>
      <c r="AN20" s="4">
        <f>'Base de données indicateurs1'!AN28</f>
        <v>0</v>
      </c>
      <c r="AO20" s="4">
        <f>'Base de données indicateurs1'!AO28</f>
        <v>0</v>
      </c>
      <c r="AP20" s="4">
        <f>'Base de données indicateurs1'!AP28</f>
        <v>0</v>
      </c>
      <c r="AQ20" s="4">
        <f>'Base de données indicateurs1'!AQ28</f>
        <v>0</v>
      </c>
      <c r="AR20" s="4">
        <f>'Base de données indicateurs1'!AR28</f>
        <v>0</v>
      </c>
      <c r="AS20" s="4">
        <f>'Base de données indicateurs1'!AS28</f>
        <v>0</v>
      </c>
      <c r="AT20" s="4">
        <f>'Base de données indicateurs1'!AT28</f>
        <v>0</v>
      </c>
      <c r="AU20" s="4">
        <f>'Base de données indicateurs1'!AU28</f>
        <v>0</v>
      </c>
      <c r="AV20" s="4">
        <f>'Base de données indicateurs1'!AV28</f>
        <v>0</v>
      </c>
      <c r="AW20" s="4">
        <f>'Base de données indicateurs1'!AW28</f>
        <v>0</v>
      </c>
      <c r="AX20" s="4">
        <f>'Base de données indicateurs1'!AX28</f>
        <v>0</v>
      </c>
      <c r="AY20" s="4">
        <f>'Base de données indicateurs1'!AY28</f>
        <v>0</v>
      </c>
      <c r="AZ20" s="4">
        <f>'Base de données indicateurs1'!AZ28</f>
        <v>0</v>
      </c>
      <c r="BA20" s="4">
        <f>'Base de données indicateurs1'!BA28</f>
        <v>0</v>
      </c>
      <c r="BB20" s="4">
        <f>'Base de données indicateurs1'!BB28</f>
        <v>0</v>
      </c>
      <c r="BC20" s="4">
        <f>'Base de données indicateurs1'!BC28</f>
        <v>0</v>
      </c>
      <c r="BD20" s="4">
        <f>'Base de données indicateurs1'!BD28</f>
        <v>0</v>
      </c>
      <c r="BE20" s="4">
        <f>'Base de données indicateurs1'!BE28</f>
        <v>0</v>
      </c>
      <c r="BF20" s="4">
        <f t="shared" si="0"/>
        <v>0</v>
      </c>
      <c r="BG20" s="4">
        <f t="shared" si="1"/>
        <v>0</v>
      </c>
      <c r="BH20" s="4">
        <f t="shared" si="2"/>
        <v>0</v>
      </c>
    </row>
    <row r="21" spans="1:60" x14ac:dyDescent="0.25">
      <c r="A21" s="96" t="s">
        <v>116</v>
      </c>
      <c r="B21" s="97" t="s">
        <v>226</v>
      </c>
      <c r="C21" s="101">
        <v>365</v>
      </c>
      <c r="D21" s="98">
        <f>'Base de données indicateurs1'!BF29</f>
        <v>20820</v>
      </c>
      <c r="E21" s="4">
        <f>'Base de données indicateurs1'!E29</f>
        <v>0</v>
      </c>
      <c r="F21" s="4">
        <f>'Base de données indicateurs1'!F29</f>
        <v>0</v>
      </c>
      <c r="G21" s="4">
        <f>'Base de données indicateurs1'!G29</f>
        <v>0</v>
      </c>
      <c r="H21" s="4">
        <f>'Base de données indicateurs1'!H29</f>
        <v>0</v>
      </c>
      <c r="I21" s="4">
        <f>'Base de données indicateurs1'!I29</f>
        <v>0</v>
      </c>
      <c r="J21" s="4">
        <f>'Base de données indicateurs1'!J29</f>
        <v>0</v>
      </c>
      <c r="K21" s="4">
        <f>'Base de données indicateurs1'!K29</f>
        <v>0</v>
      </c>
      <c r="L21" s="4">
        <f>'Base de données indicateurs1'!L29</f>
        <v>0</v>
      </c>
      <c r="M21" s="4">
        <f>'Base de données indicateurs1'!M29</f>
        <v>0</v>
      </c>
      <c r="N21" s="4">
        <f>'Base de données indicateurs1'!N29</f>
        <v>0</v>
      </c>
      <c r="O21" s="4">
        <f>'Base de données indicateurs1'!O29</f>
        <v>0</v>
      </c>
      <c r="P21" s="4">
        <f>'Base de données indicateurs1'!P29</f>
        <v>0</v>
      </c>
      <c r="Q21" s="4">
        <f>'Base de données indicateurs1'!Q29</f>
        <v>0</v>
      </c>
      <c r="R21" s="4">
        <f>'Base de données indicateurs1'!R29</f>
        <v>0</v>
      </c>
      <c r="S21" s="4">
        <f>'Base de données indicateurs1'!S29</f>
        <v>0</v>
      </c>
      <c r="T21" s="4">
        <f>'Base de données indicateurs1'!T29</f>
        <v>0</v>
      </c>
      <c r="U21" s="4">
        <f>'Base de données indicateurs1'!U29</f>
        <v>7400</v>
      </c>
      <c r="V21" s="4">
        <f>'Base de données indicateurs1'!V29</f>
        <v>0</v>
      </c>
      <c r="W21" s="4">
        <f>'Base de données indicateurs1'!W29</f>
        <v>0</v>
      </c>
      <c r="X21" s="4">
        <f>'Base de données indicateurs1'!X29</f>
        <v>0</v>
      </c>
      <c r="Y21" s="4">
        <f>'Base de données indicateurs1'!Y29</f>
        <v>0</v>
      </c>
      <c r="Z21" s="4">
        <f>'Base de données indicateurs1'!Z29</f>
        <v>0</v>
      </c>
      <c r="AA21" s="4">
        <f>'Base de données indicateurs1'!AA29</f>
        <v>0</v>
      </c>
      <c r="AB21" s="4">
        <f>'Base de données indicateurs1'!AB29</f>
        <v>0</v>
      </c>
      <c r="AC21" s="4">
        <f>'Base de données indicateurs1'!AC29</f>
        <v>0</v>
      </c>
      <c r="AD21" s="4">
        <f>'Base de données indicateurs1'!AD29</f>
        <v>0</v>
      </c>
      <c r="AE21" s="4">
        <f>'Base de données indicateurs1'!AE29</f>
        <v>0</v>
      </c>
      <c r="AF21" s="4">
        <f>'Base de données indicateurs1'!AF29</f>
        <v>0</v>
      </c>
      <c r="AG21" s="4">
        <f>'Base de données indicateurs1'!AG29</f>
        <v>0</v>
      </c>
      <c r="AH21" s="4">
        <f>'Base de données indicateurs1'!AH29</f>
        <v>0</v>
      </c>
      <c r="AI21" s="4">
        <f>'Base de données indicateurs1'!AI29</f>
        <v>0</v>
      </c>
      <c r="AJ21" s="4">
        <f>'Base de données indicateurs1'!AJ29</f>
        <v>0</v>
      </c>
      <c r="AK21" s="4">
        <f>'Base de données indicateurs1'!AK29</f>
        <v>0</v>
      </c>
      <c r="AL21" s="4">
        <f>'Base de données indicateurs1'!AL29</f>
        <v>0</v>
      </c>
      <c r="AM21" s="4">
        <f>'Base de données indicateurs1'!AM29</f>
        <v>0</v>
      </c>
      <c r="AN21" s="4">
        <f>'Base de données indicateurs1'!AN29</f>
        <v>0</v>
      </c>
      <c r="AO21" s="4">
        <f>'Base de données indicateurs1'!AO29</f>
        <v>0</v>
      </c>
      <c r="AP21" s="4">
        <f>'Base de données indicateurs1'!AP29</f>
        <v>0</v>
      </c>
      <c r="AQ21" s="4">
        <f>'Base de données indicateurs1'!AQ29</f>
        <v>0</v>
      </c>
      <c r="AR21" s="4">
        <f>'Base de données indicateurs1'!AR29</f>
        <v>0</v>
      </c>
      <c r="AS21" s="4">
        <f>'Base de données indicateurs1'!AS29</f>
        <v>0</v>
      </c>
      <c r="AT21" s="4">
        <f>'Base de données indicateurs1'!AT29</f>
        <v>0</v>
      </c>
      <c r="AU21" s="4">
        <f>'Base de données indicateurs1'!AU29</f>
        <v>0</v>
      </c>
      <c r="AV21" s="4">
        <f>'Base de données indicateurs1'!AV29</f>
        <v>0</v>
      </c>
      <c r="AW21" s="4">
        <f>'Base de données indicateurs1'!AW29</f>
        <v>0</v>
      </c>
      <c r="AX21" s="4">
        <f>'Base de données indicateurs1'!AX29</f>
        <v>0</v>
      </c>
      <c r="AY21" s="4">
        <f>'Base de données indicateurs1'!AY29</f>
        <v>0</v>
      </c>
      <c r="AZ21" s="4">
        <f>'Base de données indicateurs1'!AZ29</f>
        <v>13420</v>
      </c>
      <c r="BA21" s="4">
        <f>'Base de données indicateurs1'!BA29</f>
        <v>0</v>
      </c>
      <c r="BB21" s="4">
        <f>'Base de données indicateurs1'!BB29</f>
        <v>0</v>
      </c>
      <c r="BC21" s="4">
        <f>'Base de données indicateurs1'!BC29</f>
        <v>0</v>
      </c>
      <c r="BD21" s="4">
        <f>'Base de données indicateurs1'!BD29</f>
        <v>0</v>
      </c>
      <c r="BE21" s="4">
        <f>'Base de données indicateurs1'!BE29</f>
        <v>0</v>
      </c>
      <c r="BF21" s="4">
        <f t="shared" si="0"/>
        <v>7400</v>
      </c>
      <c r="BG21" s="4">
        <f t="shared" si="1"/>
        <v>0</v>
      </c>
      <c r="BH21" s="4">
        <f t="shared" si="2"/>
        <v>13420</v>
      </c>
    </row>
    <row r="22" spans="1:60" x14ac:dyDescent="0.25">
      <c r="A22" s="96" t="s">
        <v>532</v>
      </c>
      <c r="B22" s="97" t="s">
        <v>226</v>
      </c>
      <c r="C22" s="96">
        <v>366</v>
      </c>
      <c r="D22" s="98">
        <f>'Base de données indicateurs1'!BF30</f>
        <v>20250</v>
      </c>
      <c r="E22" s="4">
        <f>'Base de données indicateurs1'!E30</f>
        <v>0</v>
      </c>
      <c r="F22" s="4">
        <f>'Base de données indicateurs1'!F30</f>
        <v>0</v>
      </c>
      <c r="G22" s="4">
        <f>'Base de données indicateurs1'!G30</f>
        <v>0</v>
      </c>
      <c r="H22" s="4">
        <f>'Base de données indicateurs1'!H30</f>
        <v>0</v>
      </c>
      <c r="I22" s="4">
        <f>'Base de données indicateurs1'!I30</f>
        <v>0</v>
      </c>
      <c r="J22" s="4">
        <f>'Base de données indicateurs1'!J30</f>
        <v>0</v>
      </c>
      <c r="K22" s="4">
        <f>'Base de données indicateurs1'!K30</f>
        <v>0</v>
      </c>
      <c r="L22" s="4">
        <f>'Base de données indicateurs1'!L30</f>
        <v>0</v>
      </c>
      <c r="M22" s="4">
        <f>'Base de données indicateurs1'!M30</f>
        <v>0</v>
      </c>
      <c r="N22" s="4">
        <f>'Base de données indicateurs1'!N30</f>
        <v>0</v>
      </c>
      <c r="O22" s="4">
        <f>'Base de données indicateurs1'!O30</f>
        <v>15250</v>
      </c>
      <c r="P22" s="4">
        <f>'Base de données indicateurs1'!P30</f>
        <v>0</v>
      </c>
      <c r="Q22" s="4">
        <f>'Base de données indicateurs1'!Q30</f>
        <v>0</v>
      </c>
      <c r="R22" s="4">
        <f>'Base de données indicateurs1'!R30</f>
        <v>0</v>
      </c>
      <c r="S22" s="4">
        <f>'Base de données indicateurs1'!S30</f>
        <v>0</v>
      </c>
      <c r="T22" s="4">
        <f>'Base de données indicateurs1'!T30</f>
        <v>0</v>
      </c>
      <c r="U22" s="4">
        <f>'Base de données indicateurs1'!U30</f>
        <v>0</v>
      </c>
      <c r="V22" s="4">
        <f>'Base de données indicateurs1'!V30</f>
        <v>0</v>
      </c>
      <c r="W22" s="4">
        <f>'Base de données indicateurs1'!W30</f>
        <v>0</v>
      </c>
      <c r="X22" s="4">
        <f>'Base de données indicateurs1'!X30</f>
        <v>0</v>
      </c>
      <c r="Y22" s="4">
        <f>'Base de données indicateurs1'!Y30</f>
        <v>5000</v>
      </c>
      <c r="Z22" s="4">
        <f>'Base de données indicateurs1'!Z30</f>
        <v>0</v>
      </c>
      <c r="AA22" s="4">
        <f>'Base de données indicateurs1'!AA30</f>
        <v>0</v>
      </c>
      <c r="AB22" s="4">
        <f>'Base de données indicateurs1'!AB30</f>
        <v>0</v>
      </c>
      <c r="AC22" s="4">
        <f>'Base de données indicateurs1'!AC30</f>
        <v>0</v>
      </c>
      <c r="AD22" s="4">
        <f>'Base de données indicateurs1'!AD30</f>
        <v>0</v>
      </c>
      <c r="AE22" s="4">
        <f>'Base de données indicateurs1'!AE30</f>
        <v>0</v>
      </c>
      <c r="AF22" s="4">
        <f>'Base de données indicateurs1'!AF30</f>
        <v>0</v>
      </c>
      <c r="AG22" s="4">
        <f>'Base de données indicateurs1'!AG30</f>
        <v>0</v>
      </c>
      <c r="AH22" s="4">
        <f>'Base de données indicateurs1'!AH30</f>
        <v>0</v>
      </c>
      <c r="AI22" s="4">
        <f>'Base de données indicateurs1'!AI30</f>
        <v>0</v>
      </c>
      <c r="AJ22" s="4">
        <f>'Base de données indicateurs1'!AJ30</f>
        <v>0</v>
      </c>
      <c r="AK22" s="4">
        <f>'Base de données indicateurs1'!AK30</f>
        <v>0</v>
      </c>
      <c r="AL22" s="4">
        <f>'Base de données indicateurs1'!AL30</f>
        <v>0</v>
      </c>
      <c r="AM22" s="4">
        <f>'Base de données indicateurs1'!AM30</f>
        <v>0</v>
      </c>
      <c r="AN22" s="4">
        <f>'Base de données indicateurs1'!AN30</f>
        <v>0</v>
      </c>
      <c r="AO22" s="4">
        <f>'Base de données indicateurs1'!AO30</f>
        <v>0</v>
      </c>
      <c r="AP22" s="4">
        <f>'Base de données indicateurs1'!AP30</f>
        <v>0</v>
      </c>
      <c r="AQ22" s="4">
        <f>'Base de données indicateurs1'!AQ30</f>
        <v>0</v>
      </c>
      <c r="AR22" s="4">
        <f>'Base de données indicateurs1'!AR30</f>
        <v>0</v>
      </c>
      <c r="AS22" s="4">
        <f>'Base de données indicateurs1'!AS30</f>
        <v>0</v>
      </c>
      <c r="AT22" s="4">
        <f>'Base de données indicateurs1'!AT30</f>
        <v>0</v>
      </c>
      <c r="AU22" s="4">
        <f>'Base de données indicateurs1'!AU30</f>
        <v>0</v>
      </c>
      <c r="AV22" s="4">
        <f>'Base de données indicateurs1'!AV30</f>
        <v>0</v>
      </c>
      <c r="AW22" s="4">
        <f>'Base de données indicateurs1'!AW30</f>
        <v>0</v>
      </c>
      <c r="AX22" s="4">
        <f>'Base de données indicateurs1'!AX30</f>
        <v>0</v>
      </c>
      <c r="AY22" s="4">
        <f>'Base de données indicateurs1'!AY30</f>
        <v>0</v>
      </c>
      <c r="AZ22" s="4">
        <f>'Base de données indicateurs1'!AZ30</f>
        <v>0</v>
      </c>
      <c r="BA22" s="4">
        <f>'Base de données indicateurs1'!BA30</f>
        <v>0</v>
      </c>
      <c r="BB22" s="4">
        <f>'Base de données indicateurs1'!BB30</f>
        <v>0</v>
      </c>
      <c r="BC22" s="4">
        <f>'Base de données indicateurs1'!BC30</f>
        <v>0</v>
      </c>
      <c r="BD22" s="4">
        <f>'Base de données indicateurs1'!BD30</f>
        <v>0</v>
      </c>
      <c r="BE22" s="4">
        <f>'Base de données indicateurs1'!BE30</f>
        <v>0</v>
      </c>
      <c r="BF22" s="4">
        <f t="shared" si="0"/>
        <v>15250</v>
      </c>
      <c r="BG22" s="4">
        <f t="shared" si="1"/>
        <v>5000</v>
      </c>
      <c r="BH22" s="4">
        <f t="shared" si="2"/>
        <v>0</v>
      </c>
    </row>
    <row r="23" spans="1:60" ht="15.75" thickBot="1" x14ac:dyDescent="0.3">
      <c r="B23" s="99"/>
      <c r="D23" s="4"/>
      <c r="BF23" s="4"/>
      <c r="BG23" s="4"/>
      <c r="BH23" s="4"/>
    </row>
    <row r="24" spans="1:60" ht="15.75" thickBot="1" x14ac:dyDescent="0.3">
      <c r="A24" s="7" t="s">
        <v>533</v>
      </c>
      <c r="B24" s="52"/>
      <c r="C24" s="7"/>
      <c r="D24" s="105">
        <f>SUM(D14:D15,D17,D19)-SUM(D16,D18,D20:D22)+D12</f>
        <v>413324042.57999986</v>
      </c>
      <c r="E24" s="118">
        <f>SUM(E14:E15,E17,E19)-SUM(E16,E18,E20:E22)+E12</f>
        <v>5119286.18</v>
      </c>
      <c r="F24" s="4">
        <f t="shared" ref="F24:BE24" si="3">SUM(F14:F15,F17,F19)-SUM(F16,F18,F20:F22)+F12</f>
        <v>1336251.02</v>
      </c>
      <c r="G24" s="4">
        <f t="shared" si="3"/>
        <v>1852099.65</v>
      </c>
      <c r="H24" s="4">
        <f t="shared" si="3"/>
        <v>1857499.89</v>
      </c>
      <c r="I24" s="4">
        <f t="shared" si="3"/>
        <v>13863678.02</v>
      </c>
      <c r="J24" s="4">
        <f t="shared" si="3"/>
        <v>13874904.52</v>
      </c>
      <c r="K24" s="4">
        <f t="shared" si="3"/>
        <v>10193447.699999999</v>
      </c>
      <c r="L24" s="4">
        <f t="shared" si="3"/>
        <v>103814819.5</v>
      </c>
      <c r="M24" s="4">
        <f t="shared" si="3"/>
        <v>8010382.1099999994</v>
      </c>
      <c r="N24" s="4">
        <f t="shared" si="3"/>
        <v>516990.73</v>
      </c>
      <c r="O24" s="4">
        <f t="shared" si="3"/>
        <v>28100558.25</v>
      </c>
      <c r="P24" s="4">
        <f t="shared" si="3"/>
        <v>1776023.34</v>
      </c>
      <c r="Q24" s="4">
        <f t="shared" si="3"/>
        <v>415110.32999999996</v>
      </c>
      <c r="R24" s="4">
        <f t="shared" si="3"/>
        <v>1399376.78</v>
      </c>
      <c r="S24" s="4">
        <f t="shared" si="3"/>
        <v>1186023.8600000001</v>
      </c>
      <c r="T24" s="4">
        <f t="shared" si="3"/>
        <v>2601399.73</v>
      </c>
      <c r="U24" s="4">
        <f t="shared" si="3"/>
        <v>1379932.3299999998</v>
      </c>
      <c r="V24" s="4">
        <f t="shared" si="3"/>
        <v>2387769.4</v>
      </c>
      <c r="W24" s="4">
        <f t="shared" si="3"/>
        <v>13926732.420000002</v>
      </c>
      <c r="X24" s="4">
        <f t="shared" si="3"/>
        <v>1354743.09</v>
      </c>
      <c r="Y24" s="4">
        <f t="shared" si="3"/>
        <v>6558228.8999999994</v>
      </c>
      <c r="Z24" s="4">
        <f t="shared" si="3"/>
        <v>25193310.84</v>
      </c>
      <c r="AA24" s="4">
        <f t="shared" si="3"/>
        <v>629285.66</v>
      </c>
      <c r="AB24" s="4">
        <f t="shared" si="3"/>
        <v>1349661.0899999999</v>
      </c>
      <c r="AC24" s="4">
        <f t="shared" si="3"/>
        <v>3301056.6500000004</v>
      </c>
      <c r="AD24" s="4">
        <f t="shared" si="3"/>
        <v>3358825.7900000005</v>
      </c>
      <c r="AE24" s="4">
        <f t="shared" si="3"/>
        <v>3120813.72</v>
      </c>
      <c r="AF24" s="4">
        <f t="shared" si="3"/>
        <v>3124858.6500000004</v>
      </c>
      <c r="AG24" s="4">
        <f t="shared" si="3"/>
        <v>9060488.1799999997</v>
      </c>
      <c r="AH24" s="4">
        <f t="shared" si="3"/>
        <v>10834199.039999999</v>
      </c>
      <c r="AI24" s="4">
        <f t="shared" si="3"/>
        <v>1235254.08</v>
      </c>
      <c r="AJ24" s="4">
        <f t="shared" si="3"/>
        <v>849632.62</v>
      </c>
      <c r="AK24" s="4">
        <f t="shared" si="3"/>
        <v>9452175.1899999995</v>
      </c>
      <c r="AL24" s="4">
        <f t="shared" si="3"/>
        <v>5213090.0999999996</v>
      </c>
      <c r="AM24" s="4">
        <f t="shared" si="3"/>
        <v>5218094.4700000007</v>
      </c>
      <c r="AN24" s="4">
        <f t="shared" si="3"/>
        <v>556429.85</v>
      </c>
      <c r="AO24" s="4">
        <f t="shared" si="3"/>
        <v>9014696.7699999996</v>
      </c>
      <c r="AP24" s="4">
        <f t="shared" si="3"/>
        <v>3899856.7300000004</v>
      </c>
      <c r="AQ24" s="4">
        <f t="shared" si="3"/>
        <v>2584104</v>
      </c>
      <c r="AR24" s="4">
        <f t="shared" si="3"/>
        <v>8484473.9299999997</v>
      </c>
      <c r="AS24" s="4">
        <f t="shared" si="3"/>
        <v>3048690.5500000003</v>
      </c>
      <c r="AT24" s="4">
        <f t="shared" si="3"/>
        <v>5390791.3000000007</v>
      </c>
      <c r="AU24" s="4">
        <f t="shared" si="3"/>
        <v>1383607.9100000001</v>
      </c>
      <c r="AV24" s="4">
        <f t="shared" si="3"/>
        <v>9611454.5800000001</v>
      </c>
      <c r="AW24" s="4">
        <f t="shared" si="3"/>
        <v>3175804.42</v>
      </c>
      <c r="AX24" s="4">
        <f t="shared" si="3"/>
        <v>658442.94999999995</v>
      </c>
      <c r="AY24" s="4">
        <f t="shared" si="3"/>
        <v>1223167.1199999999</v>
      </c>
      <c r="AZ24" s="4">
        <f t="shared" si="3"/>
        <v>6361151.6200000001</v>
      </c>
      <c r="BA24" s="4">
        <f t="shared" si="3"/>
        <v>2263221.5700000003</v>
      </c>
      <c r="BB24" s="4">
        <f t="shared" si="3"/>
        <v>6126381.8899999997</v>
      </c>
      <c r="BC24" s="4">
        <f t="shared" si="3"/>
        <v>756259.62</v>
      </c>
      <c r="BD24" s="4">
        <f t="shared" si="3"/>
        <v>43072216.670000002</v>
      </c>
      <c r="BE24" s="4">
        <f t="shared" si="3"/>
        <v>2247287.27</v>
      </c>
      <c r="BF24" s="4">
        <f t="shared" si="0"/>
        <v>213612285.76000005</v>
      </c>
      <c r="BG24" s="4">
        <f t="shared" si="1"/>
        <v>69970358.309999987</v>
      </c>
      <c r="BH24" s="4">
        <f t="shared" si="2"/>
        <v>129741398.51000001</v>
      </c>
    </row>
    <row r="25" spans="1:60" ht="15.75" thickBot="1" x14ac:dyDescent="0.3">
      <c r="B25" s="99"/>
      <c r="D25" s="4"/>
      <c r="BF25" s="4"/>
      <c r="BG25" s="4"/>
      <c r="BH25" s="4"/>
    </row>
    <row r="26" spans="1:60" ht="15.75" thickBot="1" x14ac:dyDescent="0.3">
      <c r="A26" s="7" t="s">
        <v>534</v>
      </c>
      <c r="B26" s="99"/>
      <c r="D26" s="100">
        <f>IF(D24&lt;&gt;0,D12/D24,"")*100</f>
        <v>13.335641376180407</v>
      </c>
      <c r="E26" s="118">
        <f>IF(E24&lt;&gt;0,E12/E24,"")*100</f>
        <v>35.502363925276789</v>
      </c>
      <c r="F26" s="4">
        <f t="shared" ref="F26:BH26" si="4">IF(F24&lt;&gt;0,F12/F24,"")*100</f>
        <v>26.200577942309071</v>
      </c>
      <c r="G26" s="4">
        <f t="shared" si="4"/>
        <v>16.372229755564181</v>
      </c>
      <c r="H26" s="4">
        <f t="shared" si="4"/>
        <v>6.5831928528404928</v>
      </c>
      <c r="I26" s="4">
        <f t="shared" si="4"/>
        <v>4.1412099961623312</v>
      </c>
      <c r="J26" s="4">
        <f t="shared" si="4"/>
        <v>13.314910652804981</v>
      </c>
      <c r="K26" s="4">
        <f t="shared" si="4"/>
        <v>9.8713248903999382</v>
      </c>
      <c r="L26" s="4">
        <f t="shared" si="4"/>
        <v>13.199076852414121</v>
      </c>
      <c r="M26" s="4">
        <f t="shared" si="4"/>
        <v>12.063696546930395</v>
      </c>
      <c r="N26" s="4">
        <f t="shared" si="4"/>
        <v>7.9822997986830444</v>
      </c>
      <c r="O26" s="4">
        <f t="shared" si="4"/>
        <v>12.643522838198418</v>
      </c>
      <c r="P26" s="4">
        <f t="shared" si="4"/>
        <v>7.6258001203970656</v>
      </c>
      <c r="Q26" s="4">
        <f t="shared" si="4"/>
        <v>0.51480289589517092</v>
      </c>
      <c r="R26" s="4">
        <f t="shared" si="4"/>
        <v>2.5437823828976209</v>
      </c>
      <c r="S26" s="4">
        <f t="shared" si="4"/>
        <v>1.0611970319045687</v>
      </c>
      <c r="T26" s="4">
        <f t="shared" si="4"/>
        <v>9.491875744909068</v>
      </c>
      <c r="U26" s="4">
        <f t="shared" si="4"/>
        <v>34.437065475522274</v>
      </c>
      <c r="V26" s="4">
        <f t="shared" si="4"/>
        <v>2.8453074237403331</v>
      </c>
      <c r="W26" s="4">
        <f t="shared" si="4"/>
        <v>26.264154431136827</v>
      </c>
      <c r="X26" s="4">
        <f t="shared" si="4"/>
        <v>8.8903498300921378</v>
      </c>
      <c r="Y26" s="4">
        <f t="shared" si="4"/>
        <v>16.500842170970888</v>
      </c>
      <c r="Z26" s="4">
        <f t="shared" si="4"/>
        <v>1.7846432049182781</v>
      </c>
      <c r="AA26" s="4">
        <f t="shared" si="4"/>
        <v>31.08916386240233</v>
      </c>
      <c r="AB26" s="4">
        <f t="shared" si="4"/>
        <v>48.258348323578041</v>
      </c>
      <c r="AC26" s="4">
        <f t="shared" si="4"/>
        <v>22.97984646825131</v>
      </c>
      <c r="AD26" s="4">
        <f t="shared" si="4"/>
        <v>7.0334579632961542</v>
      </c>
      <c r="AE26" s="4">
        <f t="shared" si="4"/>
        <v>17.963307018529768</v>
      </c>
      <c r="AF26" s="4">
        <f t="shared" si="4"/>
        <v>18.973024587848151</v>
      </c>
      <c r="AG26" s="4">
        <f t="shared" si="4"/>
        <v>12.364190844295104</v>
      </c>
      <c r="AH26" s="4">
        <f t="shared" si="4"/>
        <v>4.4508532492310575</v>
      </c>
      <c r="AI26" s="4">
        <f t="shared" si="4"/>
        <v>16.901466133995687</v>
      </c>
      <c r="AJ26" s="4">
        <f t="shared" si="4"/>
        <v>26.864511157775461</v>
      </c>
      <c r="AK26" s="4">
        <f t="shared" si="4"/>
        <v>27.372832686568099</v>
      </c>
      <c r="AL26" s="4">
        <f t="shared" si="4"/>
        <v>11.66202939788054</v>
      </c>
      <c r="AM26" s="4">
        <f t="shared" si="4"/>
        <v>6.8958441068622491</v>
      </c>
      <c r="AN26" s="4">
        <f t="shared" si="4"/>
        <v>2.7301015572762677</v>
      </c>
      <c r="AO26" s="4">
        <f t="shared" si="4"/>
        <v>14.430008498222621</v>
      </c>
      <c r="AP26" s="4">
        <f t="shared" si="4"/>
        <v>10.44502216880157</v>
      </c>
      <c r="AQ26" s="4">
        <f t="shared" si="4"/>
        <v>20.491512725494022</v>
      </c>
      <c r="AR26" s="4">
        <f t="shared" si="4"/>
        <v>30.19594050423348</v>
      </c>
      <c r="AS26" s="4">
        <f t="shared" si="4"/>
        <v>6.2366595389617352</v>
      </c>
      <c r="AT26" s="4">
        <f t="shared" si="4"/>
        <v>25.577772784488985</v>
      </c>
      <c r="AU26" s="4">
        <f t="shared" si="4"/>
        <v>4.995129002984668</v>
      </c>
      <c r="AV26" s="4">
        <f t="shared" si="4"/>
        <v>6.3659604787936264</v>
      </c>
      <c r="AW26" s="4">
        <f t="shared" si="4"/>
        <v>10.781669924119571</v>
      </c>
      <c r="AX26" s="4">
        <f t="shared" si="4"/>
        <v>0</v>
      </c>
      <c r="AY26" s="4">
        <f t="shared" si="4"/>
        <v>2.0163475290277586</v>
      </c>
      <c r="AZ26" s="4">
        <f t="shared" si="4"/>
        <v>0.26821479850216179</v>
      </c>
      <c r="BA26" s="4">
        <f t="shared" si="4"/>
        <v>31.923343678630626</v>
      </c>
      <c r="BB26" s="4">
        <f t="shared" si="4"/>
        <v>17.257989119578053</v>
      </c>
      <c r="BC26" s="4">
        <f t="shared" si="4"/>
        <v>9.6127306122730705</v>
      </c>
      <c r="BD26" s="4">
        <f t="shared" si="4"/>
        <v>15.215112494000183</v>
      </c>
      <c r="BE26" s="4">
        <f t="shared" si="4"/>
        <v>4.6669623149691937</v>
      </c>
      <c r="BF26" s="4">
        <f t="shared" si="4"/>
        <v>13.537399039159082</v>
      </c>
      <c r="BG26" s="4">
        <f t="shared" si="4"/>
        <v>9.5568695394894299</v>
      </c>
      <c r="BH26" s="4">
        <f t="shared" si="4"/>
        <v>15.041373751259407</v>
      </c>
    </row>
    <row r="27" spans="1:60" x14ac:dyDescent="0.25">
      <c r="A27" s="102" t="s">
        <v>535</v>
      </c>
      <c r="B27" s="99"/>
      <c r="D27" s="4"/>
      <c r="BF27" s="4"/>
      <c r="BG27" s="4"/>
      <c r="BH27" s="4"/>
    </row>
    <row r="28" spans="1:60" x14ac:dyDescent="0.25">
      <c r="A28" s="102"/>
      <c r="B28" s="99"/>
      <c r="D28" s="4"/>
      <c r="BF28" s="4"/>
      <c r="BG28" s="4"/>
      <c r="BH28" s="4"/>
    </row>
    <row r="29" spans="1:60" x14ac:dyDescent="0.25">
      <c r="D29" s="4"/>
      <c r="BF29" s="4"/>
      <c r="BG29" s="4"/>
      <c r="BH29" s="4"/>
    </row>
    <row r="30" spans="1:60" x14ac:dyDescent="0.25">
      <c r="A30" s="7" t="s">
        <v>536</v>
      </c>
      <c r="B30" s="92"/>
      <c r="C30" s="53" t="s">
        <v>496</v>
      </c>
      <c r="D30" s="106" t="s">
        <v>497</v>
      </c>
      <c r="BF30" s="4"/>
      <c r="BG30" s="4"/>
      <c r="BH30" s="4"/>
    </row>
    <row r="31" spans="1:60" x14ac:dyDescent="0.25">
      <c r="B31" s="92"/>
      <c r="D31" s="4"/>
      <c r="BF31" s="4"/>
      <c r="BG31" s="4"/>
      <c r="BH31" s="4"/>
    </row>
    <row r="32" spans="1:60" x14ac:dyDescent="0.25">
      <c r="A32" s="93" t="s">
        <v>282</v>
      </c>
      <c r="B32" s="94" t="s">
        <v>225</v>
      </c>
      <c r="C32" s="93">
        <v>340</v>
      </c>
      <c r="D32" s="95">
        <f>'Base de données indicateurs1'!BF22</f>
        <v>6549525.540000001</v>
      </c>
      <c r="E32" s="4">
        <f>'Base de données indicateurs1'!E22</f>
        <v>38934.65</v>
      </c>
      <c r="F32" s="4">
        <f>'Base de données indicateurs1'!F22</f>
        <v>37718.33</v>
      </c>
      <c r="G32" s="4">
        <f>'Base de données indicateurs1'!G22</f>
        <v>63703.07</v>
      </c>
      <c r="H32" s="4">
        <f>'Base de données indicateurs1'!H22</f>
        <v>50695.97</v>
      </c>
      <c r="I32" s="4">
        <f>'Base de données indicateurs1'!I22</f>
        <v>441586</v>
      </c>
      <c r="J32" s="4">
        <f>'Base de données indicateurs1'!J22</f>
        <v>256881.91</v>
      </c>
      <c r="K32" s="4">
        <f>'Base de données indicateurs1'!K22</f>
        <v>135437.13</v>
      </c>
      <c r="L32" s="4">
        <f>'Base de données indicateurs1'!L22</f>
        <v>1605830.89</v>
      </c>
      <c r="M32" s="4">
        <f>'Base de données indicateurs1'!M22</f>
        <v>44645.69</v>
      </c>
      <c r="N32" s="4">
        <f>'Base de données indicateurs1'!N22</f>
        <v>8121.91</v>
      </c>
      <c r="O32" s="4">
        <f>'Base de données indicateurs1'!O22</f>
        <v>277293.21000000002</v>
      </c>
      <c r="P32" s="4">
        <f>'Base de données indicateurs1'!P22</f>
        <v>37908.54</v>
      </c>
      <c r="Q32" s="4">
        <f>'Base de données indicateurs1'!Q22</f>
        <v>8389.0300000000007</v>
      </c>
      <c r="R32" s="4">
        <f>'Base de données indicateurs1'!R22</f>
        <v>45100.37</v>
      </c>
      <c r="S32" s="4">
        <f>'Base de données indicateurs1'!S22</f>
        <v>64989.99</v>
      </c>
      <c r="T32" s="4">
        <f>'Base de données indicateurs1'!T22</f>
        <v>48118.02</v>
      </c>
      <c r="U32" s="4">
        <f>'Base de données indicateurs1'!U22</f>
        <v>8827.43</v>
      </c>
      <c r="V32" s="4">
        <f>'Base de données indicateurs1'!V22</f>
        <v>42480.34</v>
      </c>
      <c r="W32" s="4">
        <f>'Base de données indicateurs1'!W22</f>
        <v>185337.29</v>
      </c>
      <c r="X32" s="4">
        <f>'Base de données indicateurs1'!X22</f>
        <v>6978.81</v>
      </c>
      <c r="Y32" s="4">
        <f>'Base de données indicateurs1'!Y22</f>
        <v>158659.09</v>
      </c>
      <c r="Z32" s="4">
        <f>'Base de données indicateurs1'!Z22</f>
        <v>10036.209999999999</v>
      </c>
      <c r="AA32" s="4">
        <f>'Base de données indicateurs1'!AA22</f>
        <v>3455.77</v>
      </c>
      <c r="AB32" s="4">
        <f>'Base de données indicateurs1'!AB22</f>
        <v>3676.22</v>
      </c>
      <c r="AC32" s="4">
        <f>'Base de données indicateurs1'!AC22</f>
        <v>51756.65</v>
      </c>
      <c r="AD32" s="4">
        <f>'Base de données indicateurs1'!AD22</f>
        <v>79274.83</v>
      </c>
      <c r="AE32" s="4">
        <f>'Base de données indicateurs1'!AE22</f>
        <v>38264.15</v>
      </c>
      <c r="AF32" s="4">
        <f>'Base de données indicateurs1'!AF22</f>
        <v>8911.5</v>
      </c>
      <c r="AG32" s="4">
        <f>'Base de données indicateurs1'!AG22</f>
        <v>55215</v>
      </c>
      <c r="AH32" s="4">
        <f>'Base de données indicateurs1'!AH22</f>
        <v>172314.82</v>
      </c>
      <c r="AI32" s="4">
        <f>'Base de données indicateurs1'!AI22</f>
        <v>29078.26</v>
      </c>
      <c r="AJ32" s="4">
        <f>'Base de données indicateurs1'!AJ22</f>
        <v>4752.6000000000004</v>
      </c>
      <c r="AK32" s="4">
        <f>'Base de données indicateurs1'!AK22</f>
        <v>144522.82</v>
      </c>
      <c r="AL32" s="4">
        <f>'Base de données indicateurs1'!AL22</f>
        <v>135519</v>
      </c>
      <c r="AM32" s="4">
        <f>'Base de données indicateurs1'!AM22</f>
        <v>136276.35</v>
      </c>
      <c r="AN32" s="4">
        <f>'Base de données indicateurs1'!AN22</f>
        <v>19639.759999999998</v>
      </c>
      <c r="AO32" s="4">
        <f>'Base de données indicateurs1'!AO22</f>
        <v>67994.080000000002</v>
      </c>
      <c r="AP32" s="4">
        <f>'Base de données indicateurs1'!AP22</f>
        <v>60019.839999999997</v>
      </c>
      <c r="AQ32" s="4">
        <f>'Base de données indicateurs1'!AQ22</f>
        <v>62321</v>
      </c>
      <c r="AR32" s="4">
        <f>'Base de données indicateurs1'!AR22</f>
        <v>81690.240000000005</v>
      </c>
      <c r="AS32" s="4">
        <f>'Base de données indicateurs1'!AS22</f>
        <v>80902.12</v>
      </c>
      <c r="AT32" s="4">
        <f>'Base de données indicateurs1'!AT22</f>
        <v>131647.57999999999</v>
      </c>
      <c r="AU32" s="4">
        <f>'Base de données indicateurs1'!AU22</f>
        <v>22674.73</v>
      </c>
      <c r="AV32" s="4">
        <f>'Base de données indicateurs1'!AV22</f>
        <v>301752.61</v>
      </c>
      <c r="AW32" s="4">
        <f>'Base de données indicateurs1'!AW22</f>
        <v>56642.14</v>
      </c>
      <c r="AX32" s="4">
        <f>'Base de données indicateurs1'!AX22</f>
        <v>7339</v>
      </c>
      <c r="AY32" s="4">
        <f>'Base de données indicateurs1'!AY22</f>
        <v>15749.32</v>
      </c>
      <c r="AZ32" s="4">
        <f>'Base de données indicateurs1'!AZ22</f>
        <v>306670.73</v>
      </c>
      <c r="BA32" s="4">
        <f>'Base de données indicateurs1'!BA22</f>
        <v>11746.61</v>
      </c>
      <c r="BB32" s="4">
        <f>'Base de données indicateurs1'!BB22</f>
        <v>79671.94</v>
      </c>
      <c r="BC32" s="4">
        <f>'Base de données indicateurs1'!BC22</f>
        <v>60.65</v>
      </c>
      <c r="BD32" s="4">
        <f>'Base de données indicateurs1'!BD22</f>
        <v>763187.49</v>
      </c>
      <c r="BE32" s="4">
        <f>'Base de données indicateurs1'!BE22</f>
        <v>39123.85</v>
      </c>
      <c r="BF32" s="4">
        <f t="shared" si="0"/>
        <v>3401999.7700000005</v>
      </c>
      <c r="BG32" s="4">
        <f t="shared" si="1"/>
        <v>622373.91</v>
      </c>
      <c r="BH32" s="4">
        <f t="shared" si="2"/>
        <v>2525151.86</v>
      </c>
    </row>
    <row r="33" spans="1:60" x14ac:dyDescent="0.25">
      <c r="A33" s="96" t="s">
        <v>281</v>
      </c>
      <c r="B33" s="97" t="s">
        <v>226</v>
      </c>
      <c r="C33" s="96">
        <v>440</v>
      </c>
      <c r="D33" s="98">
        <f>'Base de données indicateurs1'!BF41</f>
        <v>2846281.7899999996</v>
      </c>
      <c r="E33" s="4">
        <f>'Base de données indicateurs1'!E41</f>
        <v>17852.91</v>
      </c>
      <c r="F33" s="4">
        <f>'Base de données indicateurs1'!F41</f>
        <v>14092.86</v>
      </c>
      <c r="G33" s="4">
        <f>'Base de données indicateurs1'!G41</f>
        <v>7262.16</v>
      </c>
      <c r="H33" s="4">
        <f>'Base de données indicateurs1'!H41</f>
        <v>7231.52</v>
      </c>
      <c r="I33" s="4">
        <f>'Base de données indicateurs1'!I41</f>
        <v>147881</v>
      </c>
      <c r="J33" s="4">
        <f>'Base de données indicateurs1'!J41</f>
        <v>110134.57</v>
      </c>
      <c r="K33" s="4">
        <f>'Base de données indicateurs1'!K41</f>
        <v>92398.8</v>
      </c>
      <c r="L33" s="4">
        <f>'Base de données indicateurs1'!L41</f>
        <v>839026.92</v>
      </c>
      <c r="M33" s="4">
        <f>'Base de données indicateurs1'!M41</f>
        <v>42133.760000000002</v>
      </c>
      <c r="N33" s="4">
        <f>'Base de données indicateurs1'!N41</f>
        <v>571.49</v>
      </c>
      <c r="O33" s="4">
        <f>'Base de données indicateurs1'!O41</f>
        <v>153813.91</v>
      </c>
      <c r="P33" s="4">
        <f>'Base de données indicateurs1'!P41</f>
        <v>6893.74</v>
      </c>
      <c r="Q33" s="4">
        <f>'Base de données indicateurs1'!Q41</f>
        <v>3224.6</v>
      </c>
      <c r="R33" s="4">
        <f>'Base de données indicateurs1'!R41</f>
        <v>25.39</v>
      </c>
      <c r="S33" s="4">
        <f>'Base de données indicateurs1'!S41</f>
        <v>0</v>
      </c>
      <c r="T33" s="4">
        <f>'Base de données indicateurs1'!T41</f>
        <v>20393.48</v>
      </c>
      <c r="U33" s="4">
        <f>'Base de données indicateurs1'!U41</f>
        <v>4934.32</v>
      </c>
      <c r="V33" s="4">
        <f>'Base de données indicateurs1'!V41</f>
        <v>18651.38</v>
      </c>
      <c r="W33" s="4">
        <f>'Base de données indicateurs1'!W41</f>
        <v>84414.84</v>
      </c>
      <c r="X33" s="4">
        <f>'Base de données indicateurs1'!X41</f>
        <v>4036.93</v>
      </c>
      <c r="Y33" s="4">
        <f>'Base de données indicateurs1'!Y41</f>
        <v>39911.230000000003</v>
      </c>
      <c r="Z33" s="4">
        <f>'Base de données indicateurs1'!Z41</f>
        <v>32275.279999999999</v>
      </c>
      <c r="AA33" s="4">
        <f>'Base de données indicateurs1'!AA41</f>
        <v>1441.7</v>
      </c>
      <c r="AB33" s="4">
        <f>'Base de données indicateurs1'!AB41</f>
        <v>3866.07</v>
      </c>
      <c r="AC33" s="4">
        <f>'Base de données indicateurs1'!AC41</f>
        <v>10163.709999999999</v>
      </c>
      <c r="AD33" s="4">
        <f>'Base de données indicateurs1'!AD41</f>
        <v>12975.76</v>
      </c>
      <c r="AE33" s="4">
        <f>'Base de données indicateurs1'!AE41</f>
        <v>8325.84</v>
      </c>
      <c r="AF33" s="4">
        <f>'Base de données indicateurs1'!AF41</f>
        <v>0.03</v>
      </c>
      <c r="AG33" s="4">
        <f>'Base de données indicateurs1'!AG41</f>
        <v>24520.51</v>
      </c>
      <c r="AH33" s="4">
        <f>'Base de données indicateurs1'!AH41</f>
        <v>56099.360000000001</v>
      </c>
      <c r="AI33" s="4">
        <f>'Base de données indicateurs1'!AI41</f>
        <v>5382</v>
      </c>
      <c r="AJ33" s="4">
        <f>'Base de données indicateurs1'!AJ41</f>
        <v>1867.57</v>
      </c>
      <c r="AK33" s="4">
        <f>'Base de données indicateurs1'!AK41</f>
        <v>189874.47</v>
      </c>
      <c r="AL33" s="4">
        <f>'Base de données indicateurs1'!AL41</f>
        <v>65144</v>
      </c>
      <c r="AM33" s="4">
        <f>'Base de données indicateurs1'!AM41</f>
        <v>36183.730000000003</v>
      </c>
      <c r="AN33" s="4">
        <f>'Base de données indicateurs1'!AN41</f>
        <v>5054.3</v>
      </c>
      <c r="AO33" s="4">
        <f>'Base de données indicateurs1'!AO41</f>
        <v>21296.17</v>
      </c>
      <c r="AP33" s="4">
        <f>'Base de données indicateurs1'!AP41</f>
        <v>26446.03</v>
      </c>
      <c r="AQ33" s="4">
        <f>'Base de données indicateurs1'!AQ41</f>
        <v>18471</v>
      </c>
      <c r="AR33" s="4">
        <f>'Base de données indicateurs1'!AR41</f>
        <v>38140.639999999999</v>
      </c>
      <c r="AS33" s="4">
        <f>'Base de données indicateurs1'!AS41</f>
        <v>38738.620000000003</v>
      </c>
      <c r="AT33" s="4">
        <f>'Base de données indicateurs1'!AT41</f>
        <v>60576.639999999999</v>
      </c>
      <c r="AU33" s="4">
        <f>'Base de données indicateurs1'!AU41</f>
        <v>6079.05</v>
      </c>
      <c r="AV33" s="4">
        <f>'Base de données indicateurs1'!AV41</f>
        <v>57507.01</v>
      </c>
      <c r="AW33" s="4">
        <f>'Base de données indicateurs1'!AW41</f>
        <v>20126.89</v>
      </c>
      <c r="AX33" s="4">
        <f>'Base de données indicateurs1'!AX41</f>
        <v>4114.5600000000004</v>
      </c>
      <c r="AY33" s="4">
        <f>'Base de données indicateurs1'!AY41</f>
        <v>11981.21</v>
      </c>
      <c r="AZ33" s="4">
        <f>'Base de données indicateurs1'!AZ41</f>
        <v>42596.1</v>
      </c>
      <c r="BA33" s="4">
        <f>'Base de données indicateurs1'!BA41</f>
        <v>10597</v>
      </c>
      <c r="BB33" s="4">
        <f>'Base de données indicateurs1'!BB41</f>
        <v>41362.76</v>
      </c>
      <c r="BC33" s="4">
        <f>'Base de données indicateurs1'!BC41</f>
        <v>8877.09</v>
      </c>
      <c r="BD33" s="4">
        <f>'Base de données indicateurs1'!BD41</f>
        <v>337144.49</v>
      </c>
      <c r="BE33" s="4">
        <f>'Base de données indicateurs1'!BE41</f>
        <v>34166.39</v>
      </c>
      <c r="BF33" s="4">
        <f t="shared" si="0"/>
        <v>1570937.65</v>
      </c>
      <c r="BG33" s="4">
        <f t="shared" si="1"/>
        <v>200865.99</v>
      </c>
      <c r="BH33" s="4">
        <f t="shared" si="2"/>
        <v>1074478.1499999999</v>
      </c>
    </row>
    <row r="34" spans="1:60" x14ac:dyDescent="0.25">
      <c r="A34" s="96" t="s">
        <v>537</v>
      </c>
      <c r="B34" s="97" t="s">
        <v>225</v>
      </c>
      <c r="C34" s="96">
        <v>33</v>
      </c>
      <c r="D34" s="98">
        <f>'Base de données indicateurs1'!BF20</f>
        <v>22383897.43</v>
      </c>
      <c r="E34" s="4">
        <f>'Base de données indicateurs1'!E20</f>
        <v>282130.74</v>
      </c>
      <c r="F34" s="4">
        <f>'Base de données indicateurs1'!F20</f>
        <v>82434</v>
      </c>
      <c r="G34" s="4">
        <f>'Base de données indicateurs1'!G20</f>
        <v>75868.399999999994</v>
      </c>
      <c r="H34" s="4">
        <f>'Base de données indicateurs1'!H20</f>
        <v>97710</v>
      </c>
      <c r="I34" s="4">
        <f>'Base de données indicateurs1'!I20</f>
        <v>967279</v>
      </c>
      <c r="J34" s="4">
        <f>'Base de données indicateurs1'!J20</f>
        <v>1031543.09</v>
      </c>
      <c r="K34" s="4">
        <f>'Base de données indicateurs1'!K20</f>
        <v>507798.55</v>
      </c>
      <c r="L34" s="4">
        <f>'Base de données indicateurs1'!L20</f>
        <v>5626924.5</v>
      </c>
      <c r="M34" s="4">
        <f>'Base de données indicateurs1'!M20</f>
        <v>236080</v>
      </c>
      <c r="N34" s="4">
        <f>'Base de données indicateurs1'!N20</f>
        <v>50797.67</v>
      </c>
      <c r="O34" s="4">
        <f>'Base de données indicateurs1'!O20</f>
        <v>1215448.1000000001</v>
      </c>
      <c r="P34" s="4">
        <f>'Base de données indicateurs1'!P20</f>
        <v>117103</v>
      </c>
      <c r="Q34" s="4">
        <f>'Base de données indicateurs1'!Q20</f>
        <v>12561</v>
      </c>
      <c r="R34" s="4">
        <f>'Base de données indicateurs1'!R20</f>
        <v>94900</v>
      </c>
      <c r="S34" s="4">
        <f>'Base de données indicateurs1'!S20</f>
        <v>107211</v>
      </c>
      <c r="T34" s="4">
        <f>'Base de données indicateurs1'!T20</f>
        <v>116736.9</v>
      </c>
      <c r="U34" s="4">
        <f>'Base de données indicateurs1'!U20</f>
        <v>33089.699999999997</v>
      </c>
      <c r="V34" s="4">
        <f>'Base de données indicateurs1'!V20</f>
        <v>155684.85</v>
      </c>
      <c r="W34" s="4">
        <f>'Base de données indicateurs1'!W20</f>
        <v>940048.97</v>
      </c>
      <c r="X34" s="4">
        <f>'Base de données indicateurs1'!X20</f>
        <v>40515</v>
      </c>
      <c r="Y34" s="4">
        <f>'Base de données indicateurs1'!Y20</f>
        <v>269737.3</v>
      </c>
      <c r="Z34" s="4">
        <f>'Base de données indicateurs1'!Z20</f>
        <v>354358.34</v>
      </c>
      <c r="AA34" s="4">
        <f>'Base de données indicateurs1'!AA20</f>
        <v>48600</v>
      </c>
      <c r="AB34" s="4">
        <f>'Base de données indicateurs1'!AB20</f>
        <v>700</v>
      </c>
      <c r="AC34" s="4">
        <f>'Base de données indicateurs1'!AC20</f>
        <v>88682.95</v>
      </c>
      <c r="AD34" s="4">
        <f>'Base de données indicateurs1'!AD20</f>
        <v>189752.77</v>
      </c>
      <c r="AE34" s="4">
        <f>'Base de données indicateurs1'!AE20</f>
        <v>146039.14000000001</v>
      </c>
      <c r="AF34" s="4">
        <f>'Base de données indicateurs1'!AF20</f>
        <v>86837.65</v>
      </c>
      <c r="AG34" s="4">
        <f>'Base de données indicateurs1'!AG20</f>
        <v>616217.30000000005</v>
      </c>
      <c r="AH34" s="4">
        <f>'Base de données indicateurs1'!AH20</f>
        <v>768732</v>
      </c>
      <c r="AI34" s="4">
        <f>'Base de données indicateurs1'!AI20</f>
        <v>53527</v>
      </c>
      <c r="AJ34" s="4">
        <f>'Base de données indicateurs1'!AJ20</f>
        <v>54670.8</v>
      </c>
      <c r="AK34" s="4">
        <f>'Base de données indicateurs1'!AK20</f>
        <v>702484</v>
      </c>
      <c r="AL34" s="4">
        <f>'Base de données indicateurs1'!AL20</f>
        <v>408999</v>
      </c>
      <c r="AM34" s="4">
        <f>'Base de données indicateurs1'!AM20</f>
        <v>262400</v>
      </c>
      <c r="AN34" s="4">
        <f>'Base de données indicateurs1'!AN20</f>
        <v>34064</v>
      </c>
      <c r="AO34" s="4">
        <f>'Base de données indicateurs1'!AO20</f>
        <v>599305.21</v>
      </c>
      <c r="AP34" s="4">
        <f>'Base de données indicateurs1'!AP20</f>
        <v>85150</v>
      </c>
      <c r="AQ34" s="4">
        <f>'Base de données indicateurs1'!AQ20</f>
        <v>220973</v>
      </c>
      <c r="AR34" s="4">
        <f>'Base de données indicateurs1'!AR20</f>
        <v>180610</v>
      </c>
      <c r="AS34" s="4">
        <f>'Base de données indicateurs1'!AS20</f>
        <v>178081.75</v>
      </c>
      <c r="AT34" s="4">
        <f>'Base de données indicateurs1'!AT20</f>
        <v>248187</v>
      </c>
      <c r="AU34" s="4">
        <f>'Base de données indicateurs1'!AU20</f>
        <v>76788.100000000006</v>
      </c>
      <c r="AV34" s="4">
        <f>'Base de données indicateurs1'!AV20</f>
        <v>465912.53</v>
      </c>
      <c r="AW34" s="4">
        <f>'Base de données indicateurs1'!AW20</f>
        <v>132346.01999999999</v>
      </c>
      <c r="AX34" s="4">
        <f>'Base de données indicateurs1'!AX20</f>
        <v>33410</v>
      </c>
      <c r="AY34" s="4">
        <f>'Base de données indicateurs1'!AY20</f>
        <v>185465</v>
      </c>
      <c r="AZ34" s="4">
        <f>'Base de données indicateurs1'!AZ20</f>
        <v>583142</v>
      </c>
      <c r="BA34" s="4">
        <f>'Base de données indicateurs1'!BA20</f>
        <v>31888.18</v>
      </c>
      <c r="BB34" s="4">
        <f>'Base de données indicateurs1'!BB20</f>
        <v>381525.81</v>
      </c>
      <c r="BC34" s="4">
        <f>'Base de données indicateurs1'!BC20</f>
        <v>13961</v>
      </c>
      <c r="BD34" s="4">
        <f>'Base de données indicateurs1'!BD20</f>
        <v>2988366.11</v>
      </c>
      <c r="BE34" s="4">
        <f>'Base de données indicateurs1'!BE20</f>
        <v>101119</v>
      </c>
      <c r="BF34" s="4">
        <f t="shared" si="0"/>
        <v>11751349.469999999</v>
      </c>
      <c r="BG34" s="4">
        <f t="shared" si="1"/>
        <v>2718370.25</v>
      </c>
      <c r="BH34" s="4">
        <f t="shared" si="2"/>
        <v>7914177.709999999</v>
      </c>
    </row>
    <row r="35" spans="1:60" x14ac:dyDescent="0.25">
      <c r="A35" s="96" t="s">
        <v>531</v>
      </c>
      <c r="B35" s="97" t="s">
        <v>225</v>
      </c>
      <c r="C35" s="96">
        <v>364</v>
      </c>
      <c r="D35" s="98">
        <f>'Base de données indicateurs1'!BF28</f>
        <v>0</v>
      </c>
      <c r="E35" s="4">
        <f>'Base de données indicateurs1'!E28</f>
        <v>0</v>
      </c>
      <c r="F35" s="4">
        <f>'Base de données indicateurs1'!F28</f>
        <v>0</v>
      </c>
      <c r="G35" s="4">
        <f>'Base de données indicateurs1'!G28</f>
        <v>0</v>
      </c>
      <c r="H35" s="4">
        <f>'Base de données indicateurs1'!H28</f>
        <v>0</v>
      </c>
      <c r="I35" s="4">
        <f>'Base de données indicateurs1'!I28</f>
        <v>0</v>
      </c>
      <c r="J35" s="4">
        <f>'Base de données indicateurs1'!J28</f>
        <v>0</v>
      </c>
      <c r="K35" s="4">
        <f>'Base de données indicateurs1'!K28</f>
        <v>0</v>
      </c>
      <c r="L35" s="4">
        <f>'Base de données indicateurs1'!L28</f>
        <v>0</v>
      </c>
      <c r="M35" s="4">
        <f>'Base de données indicateurs1'!M28</f>
        <v>0</v>
      </c>
      <c r="N35" s="4">
        <f>'Base de données indicateurs1'!N28</f>
        <v>0</v>
      </c>
      <c r="O35" s="4">
        <f>'Base de données indicateurs1'!O28</f>
        <v>0</v>
      </c>
      <c r="P35" s="4">
        <f>'Base de données indicateurs1'!P28</f>
        <v>0</v>
      </c>
      <c r="Q35" s="4">
        <f>'Base de données indicateurs1'!Q28</f>
        <v>0</v>
      </c>
      <c r="R35" s="4">
        <f>'Base de données indicateurs1'!R28</f>
        <v>0</v>
      </c>
      <c r="S35" s="4">
        <f>'Base de données indicateurs1'!S28</f>
        <v>0</v>
      </c>
      <c r="T35" s="4">
        <f>'Base de données indicateurs1'!T28</f>
        <v>0</v>
      </c>
      <c r="U35" s="4">
        <f>'Base de données indicateurs1'!U28</f>
        <v>0</v>
      </c>
      <c r="V35" s="4">
        <f>'Base de données indicateurs1'!V28</f>
        <v>0</v>
      </c>
      <c r="W35" s="4">
        <f>'Base de données indicateurs1'!W28</f>
        <v>0</v>
      </c>
      <c r="X35" s="4">
        <f>'Base de données indicateurs1'!X28</f>
        <v>0</v>
      </c>
      <c r="Y35" s="4">
        <f>'Base de données indicateurs1'!Y28</f>
        <v>0</v>
      </c>
      <c r="Z35" s="4">
        <f>'Base de données indicateurs1'!Z28</f>
        <v>0</v>
      </c>
      <c r="AA35" s="4">
        <f>'Base de données indicateurs1'!AA28</f>
        <v>0</v>
      </c>
      <c r="AB35" s="4">
        <f>'Base de données indicateurs1'!AB28</f>
        <v>0</v>
      </c>
      <c r="AC35" s="4">
        <f>'Base de données indicateurs1'!AC28</f>
        <v>0</v>
      </c>
      <c r="AD35" s="4">
        <f>'Base de données indicateurs1'!AD28</f>
        <v>0</v>
      </c>
      <c r="AE35" s="4">
        <f>'Base de données indicateurs1'!AE28</f>
        <v>0</v>
      </c>
      <c r="AF35" s="4">
        <f>'Base de données indicateurs1'!AF28</f>
        <v>0</v>
      </c>
      <c r="AG35" s="4">
        <f>'Base de données indicateurs1'!AG28</f>
        <v>0</v>
      </c>
      <c r="AH35" s="4">
        <f>'Base de données indicateurs1'!AH28</f>
        <v>0</v>
      </c>
      <c r="AI35" s="4">
        <f>'Base de données indicateurs1'!AI28</f>
        <v>0</v>
      </c>
      <c r="AJ35" s="4">
        <f>'Base de données indicateurs1'!AJ28</f>
        <v>0</v>
      </c>
      <c r="AK35" s="4">
        <f>'Base de données indicateurs1'!AK28</f>
        <v>0</v>
      </c>
      <c r="AL35" s="4">
        <f>'Base de données indicateurs1'!AL28</f>
        <v>0</v>
      </c>
      <c r="AM35" s="4">
        <f>'Base de données indicateurs1'!AM28</f>
        <v>0</v>
      </c>
      <c r="AN35" s="4">
        <f>'Base de données indicateurs1'!AN28</f>
        <v>0</v>
      </c>
      <c r="AO35" s="4">
        <f>'Base de données indicateurs1'!AO28</f>
        <v>0</v>
      </c>
      <c r="AP35" s="4">
        <f>'Base de données indicateurs1'!AP28</f>
        <v>0</v>
      </c>
      <c r="AQ35" s="4">
        <f>'Base de données indicateurs1'!AQ28</f>
        <v>0</v>
      </c>
      <c r="AR35" s="4">
        <f>'Base de données indicateurs1'!AR28</f>
        <v>0</v>
      </c>
      <c r="AS35" s="4">
        <f>'Base de données indicateurs1'!AS28</f>
        <v>0</v>
      </c>
      <c r="AT35" s="4">
        <f>'Base de données indicateurs1'!AT28</f>
        <v>0</v>
      </c>
      <c r="AU35" s="4">
        <f>'Base de données indicateurs1'!AU28</f>
        <v>0</v>
      </c>
      <c r="AV35" s="4">
        <f>'Base de données indicateurs1'!AV28</f>
        <v>0</v>
      </c>
      <c r="AW35" s="4">
        <f>'Base de données indicateurs1'!AW28</f>
        <v>0</v>
      </c>
      <c r="AX35" s="4">
        <f>'Base de données indicateurs1'!AX28</f>
        <v>0</v>
      </c>
      <c r="AY35" s="4">
        <f>'Base de données indicateurs1'!AY28</f>
        <v>0</v>
      </c>
      <c r="AZ35" s="4">
        <f>'Base de données indicateurs1'!AZ28</f>
        <v>0</v>
      </c>
      <c r="BA35" s="4">
        <f>'Base de données indicateurs1'!BA28</f>
        <v>0</v>
      </c>
      <c r="BB35" s="4">
        <f>'Base de données indicateurs1'!BB28</f>
        <v>0</v>
      </c>
      <c r="BC35" s="4">
        <f>'Base de données indicateurs1'!BC28</f>
        <v>0</v>
      </c>
      <c r="BD35" s="4">
        <f>'Base de données indicateurs1'!BD28</f>
        <v>0</v>
      </c>
      <c r="BE35" s="4">
        <f>'Base de données indicateurs1'!BE28</f>
        <v>0</v>
      </c>
      <c r="BF35" s="4">
        <f t="shared" si="0"/>
        <v>0</v>
      </c>
      <c r="BG35" s="4">
        <f t="shared" si="1"/>
        <v>0</v>
      </c>
      <c r="BH35" s="4">
        <f t="shared" si="2"/>
        <v>0</v>
      </c>
    </row>
    <row r="36" spans="1:60" x14ac:dyDescent="0.25">
      <c r="A36" s="96" t="s">
        <v>116</v>
      </c>
      <c r="B36" s="97" t="s">
        <v>225</v>
      </c>
      <c r="C36" s="96">
        <v>365</v>
      </c>
      <c r="D36" s="98">
        <f>'Base de données indicateurs1'!BF29</f>
        <v>20820</v>
      </c>
      <c r="E36" s="4">
        <f>'Base de données indicateurs1'!E29</f>
        <v>0</v>
      </c>
      <c r="F36" s="4">
        <f>'Base de données indicateurs1'!F29</f>
        <v>0</v>
      </c>
      <c r="G36" s="4">
        <f>'Base de données indicateurs1'!G29</f>
        <v>0</v>
      </c>
      <c r="H36" s="4">
        <f>'Base de données indicateurs1'!H29</f>
        <v>0</v>
      </c>
      <c r="I36" s="4">
        <f>'Base de données indicateurs1'!I29</f>
        <v>0</v>
      </c>
      <c r="J36" s="4">
        <f>'Base de données indicateurs1'!J29</f>
        <v>0</v>
      </c>
      <c r="K36" s="4">
        <f>'Base de données indicateurs1'!K29</f>
        <v>0</v>
      </c>
      <c r="L36" s="4">
        <f>'Base de données indicateurs1'!L29</f>
        <v>0</v>
      </c>
      <c r="M36" s="4">
        <f>'Base de données indicateurs1'!M29</f>
        <v>0</v>
      </c>
      <c r="N36" s="4">
        <f>'Base de données indicateurs1'!N29</f>
        <v>0</v>
      </c>
      <c r="O36" s="4">
        <f>'Base de données indicateurs1'!O29</f>
        <v>0</v>
      </c>
      <c r="P36" s="4">
        <f>'Base de données indicateurs1'!P29</f>
        <v>0</v>
      </c>
      <c r="Q36" s="4">
        <f>'Base de données indicateurs1'!Q29</f>
        <v>0</v>
      </c>
      <c r="R36" s="4">
        <f>'Base de données indicateurs1'!R29</f>
        <v>0</v>
      </c>
      <c r="S36" s="4">
        <f>'Base de données indicateurs1'!S29</f>
        <v>0</v>
      </c>
      <c r="T36" s="4">
        <f>'Base de données indicateurs1'!T29</f>
        <v>0</v>
      </c>
      <c r="U36" s="4">
        <f>'Base de données indicateurs1'!U29</f>
        <v>7400</v>
      </c>
      <c r="V36" s="4">
        <f>'Base de données indicateurs1'!V29</f>
        <v>0</v>
      </c>
      <c r="W36" s="4">
        <f>'Base de données indicateurs1'!W29</f>
        <v>0</v>
      </c>
      <c r="X36" s="4">
        <f>'Base de données indicateurs1'!X29</f>
        <v>0</v>
      </c>
      <c r="Y36" s="4">
        <f>'Base de données indicateurs1'!Y29</f>
        <v>0</v>
      </c>
      <c r="Z36" s="4">
        <f>'Base de données indicateurs1'!Z29</f>
        <v>0</v>
      </c>
      <c r="AA36" s="4">
        <f>'Base de données indicateurs1'!AA29</f>
        <v>0</v>
      </c>
      <c r="AB36" s="4">
        <f>'Base de données indicateurs1'!AB29</f>
        <v>0</v>
      </c>
      <c r="AC36" s="4">
        <f>'Base de données indicateurs1'!AC29</f>
        <v>0</v>
      </c>
      <c r="AD36" s="4">
        <f>'Base de données indicateurs1'!AD29</f>
        <v>0</v>
      </c>
      <c r="AE36" s="4">
        <f>'Base de données indicateurs1'!AE29</f>
        <v>0</v>
      </c>
      <c r="AF36" s="4">
        <f>'Base de données indicateurs1'!AF29</f>
        <v>0</v>
      </c>
      <c r="AG36" s="4">
        <f>'Base de données indicateurs1'!AG29</f>
        <v>0</v>
      </c>
      <c r="AH36" s="4">
        <f>'Base de données indicateurs1'!AH29</f>
        <v>0</v>
      </c>
      <c r="AI36" s="4">
        <f>'Base de données indicateurs1'!AI29</f>
        <v>0</v>
      </c>
      <c r="AJ36" s="4">
        <f>'Base de données indicateurs1'!AJ29</f>
        <v>0</v>
      </c>
      <c r="AK36" s="4">
        <f>'Base de données indicateurs1'!AK29</f>
        <v>0</v>
      </c>
      <c r="AL36" s="4">
        <f>'Base de données indicateurs1'!AL29</f>
        <v>0</v>
      </c>
      <c r="AM36" s="4">
        <f>'Base de données indicateurs1'!AM29</f>
        <v>0</v>
      </c>
      <c r="AN36" s="4">
        <f>'Base de données indicateurs1'!AN29</f>
        <v>0</v>
      </c>
      <c r="AO36" s="4">
        <f>'Base de données indicateurs1'!AO29</f>
        <v>0</v>
      </c>
      <c r="AP36" s="4">
        <f>'Base de données indicateurs1'!AP29</f>
        <v>0</v>
      </c>
      <c r="AQ36" s="4">
        <f>'Base de données indicateurs1'!AQ29</f>
        <v>0</v>
      </c>
      <c r="AR36" s="4">
        <f>'Base de données indicateurs1'!AR29</f>
        <v>0</v>
      </c>
      <c r="AS36" s="4">
        <f>'Base de données indicateurs1'!AS29</f>
        <v>0</v>
      </c>
      <c r="AT36" s="4">
        <f>'Base de données indicateurs1'!AT29</f>
        <v>0</v>
      </c>
      <c r="AU36" s="4">
        <f>'Base de données indicateurs1'!AU29</f>
        <v>0</v>
      </c>
      <c r="AV36" s="4">
        <f>'Base de données indicateurs1'!AV29</f>
        <v>0</v>
      </c>
      <c r="AW36" s="4">
        <f>'Base de données indicateurs1'!AW29</f>
        <v>0</v>
      </c>
      <c r="AX36" s="4">
        <f>'Base de données indicateurs1'!AX29</f>
        <v>0</v>
      </c>
      <c r="AY36" s="4">
        <f>'Base de données indicateurs1'!AY29</f>
        <v>0</v>
      </c>
      <c r="AZ36" s="4">
        <f>'Base de données indicateurs1'!AZ29</f>
        <v>13420</v>
      </c>
      <c r="BA36" s="4">
        <f>'Base de données indicateurs1'!BA29</f>
        <v>0</v>
      </c>
      <c r="BB36" s="4">
        <f>'Base de données indicateurs1'!BB29</f>
        <v>0</v>
      </c>
      <c r="BC36" s="4">
        <f>'Base de données indicateurs1'!BC29</f>
        <v>0</v>
      </c>
      <c r="BD36" s="4">
        <f>'Base de données indicateurs1'!BD29</f>
        <v>0</v>
      </c>
      <c r="BE36" s="4">
        <f>'Base de données indicateurs1'!BE29</f>
        <v>0</v>
      </c>
      <c r="BF36" s="4">
        <f t="shared" si="0"/>
        <v>7400</v>
      </c>
      <c r="BG36" s="4">
        <f t="shared" si="1"/>
        <v>0</v>
      </c>
      <c r="BH36" s="4">
        <f t="shared" si="2"/>
        <v>13420</v>
      </c>
    </row>
    <row r="37" spans="1:60" x14ac:dyDescent="0.25">
      <c r="A37" s="96" t="s">
        <v>538</v>
      </c>
      <c r="B37" s="97" t="s">
        <v>225</v>
      </c>
      <c r="C37" s="96">
        <v>366</v>
      </c>
      <c r="D37" s="98">
        <f>'Base de données indicateurs1'!BF30</f>
        <v>20250</v>
      </c>
      <c r="E37" s="4">
        <f>'Base de données indicateurs1'!E30</f>
        <v>0</v>
      </c>
      <c r="F37" s="4">
        <f>'Base de données indicateurs1'!F30</f>
        <v>0</v>
      </c>
      <c r="G37" s="4">
        <f>'Base de données indicateurs1'!G30</f>
        <v>0</v>
      </c>
      <c r="H37" s="4">
        <f>'Base de données indicateurs1'!H30</f>
        <v>0</v>
      </c>
      <c r="I37" s="4">
        <f>'Base de données indicateurs1'!I30</f>
        <v>0</v>
      </c>
      <c r="J37" s="4">
        <f>'Base de données indicateurs1'!J30</f>
        <v>0</v>
      </c>
      <c r="K37" s="4">
        <f>'Base de données indicateurs1'!K30</f>
        <v>0</v>
      </c>
      <c r="L37" s="4">
        <f>'Base de données indicateurs1'!L30</f>
        <v>0</v>
      </c>
      <c r="M37" s="4">
        <f>'Base de données indicateurs1'!M30</f>
        <v>0</v>
      </c>
      <c r="N37" s="4">
        <f>'Base de données indicateurs1'!N30</f>
        <v>0</v>
      </c>
      <c r="O37" s="4">
        <f>'Base de données indicateurs1'!O30</f>
        <v>15250</v>
      </c>
      <c r="P37" s="4">
        <f>'Base de données indicateurs1'!P30</f>
        <v>0</v>
      </c>
      <c r="Q37" s="4">
        <f>'Base de données indicateurs1'!Q30</f>
        <v>0</v>
      </c>
      <c r="R37" s="4">
        <f>'Base de données indicateurs1'!R30</f>
        <v>0</v>
      </c>
      <c r="S37" s="4">
        <f>'Base de données indicateurs1'!S30</f>
        <v>0</v>
      </c>
      <c r="T37" s="4">
        <f>'Base de données indicateurs1'!T30</f>
        <v>0</v>
      </c>
      <c r="U37" s="4">
        <f>'Base de données indicateurs1'!U30</f>
        <v>0</v>
      </c>
      <c r="V37" s="4">
        <f>'Base de données indicateurs1'!V30</f>
        <v>0</v>
      </c>
      <c r="W37" s="4">
        <f>'Base de données indicateurs1'!W30</f>
        <v>0</v>
      </c>
      <c r="X37" s="4">
        <f>'Base de données indicateurs1'!X30</f>
        <v>0</v>
      </c>
      <c r="Y37" s="4">
        <f>'Base de données indicateurs1'!Y30</f>
        <v>5000</v>
      </c>
      <c r="Z37" s="4">
        <f>'Base de données indicateurs1'!Z30</f>
        <v>0</v>
      </c>
      <c r="AA37" s="4">
        <f>'Base de données indicateurs1'!AA30</f>
        <v>0</v>
      </c>
      <c r="AB37" s="4">
        <f>'Base de données indicateurs1'!AB30</f>
        <v>0</v>
      </c>
      <c r="AC37" s="4">
        <f>'Base de données indicateurs1'!AC30</f>
        <v>0</v>
      </c>
      <c r="AD37" s="4">
        <f>'Base de données indicateurs1'!AD30</f>
        <v>0</v>
      </c>
      <c r="AE37" s="4">
        <f>'Base de données indicateurs1'!AE30</f>
        <v>0</v>
      </c>
      <c r="AF37" s="4">
        <f>'Base de données indicateurs1'!AF30</f>
        <v>0</v>
      </c>
      <c r="AG37" s="4">
        <f>'Base de données indicateurs1'!AG30</f>
        <v>0</v>
      </c>
      <c r="AH37" s="4">
        <f>'Base de données indicateurs1'!AH30</f>
        <v>0</v>
      </c>
      <c r="AI37" s="4">
        <f>'Base de données indicateurs1'!AI30</f>
        <v>0</v>
      </c>
      <c r="AJ37" s="4">
        <f>'Base de données indicateurs1'!AJ30</f>
        <v>0</v>
      </c>
      <c r="AK37" s="4">
        <f>'Base de données indicateurs1'!AK30</f>
        <v>0</v>
      </c>
      <c r="AL37" s="4">
        <f>'Base de données indicateurs1'!AL30</f>
        <v>0</v>
      </c>
      <c r="AM37" s="4">
        <f>'Base de données indicateurs1'!AM30</f>
        <v>0</v>
      </c>
      <c r="AN37" s="4">
        <f>'Base de données indicateurs1'!AN30</f>
        <v>0</v>
      </c>
      <c r="AO37" s="4">
        <f>'Base de données indicateurs1'!AO30</f>
        <v>0</v>
      </c>
      <c r="AP37" s="4">
        <f>'Base de données indicateurs1'!AP30</f>
        <v>0</v>
      </c>
      <c r="AQ37" s="4">
        <f>'Base de données indicateurs1'!AQ30</f>
        <v>0</v>
      </c>
      <c r="AR37" s="4">
        <f>'Base de données indicateurs1'!AR30</f>
        <v>0</v>
      </c>
      <c r="AS37" s="4">
        <f>'Base de données indicateurs1'!AS30</f>
        <v>0</v>
      </c>
      <c r="AT37" s="4">
        <f>'Base de données indicateurs1'!AT30</f>
        <v>0</v>
      </c>
      <c r="AU37" s="4">
        <f>'Base de données indicateurs1'!AU30</f>
        <v>0</v>
      </c>
      <c r="AV37" s="4">
        <f>'Base de données indicateurs1'!AV30</f>
        <v>0</v>
      </c>
      <c r="AW37" s="4">
        <f>'Base de données indicateurs1'!AW30</f>
        <v>0</v>
      </c>
      <c r="AX37" s="4">
        <f>'Base de données indicateurs1'!AX30</f>
        <v>0</v>
      </c>
      <c r="AY37" s="4">
        <f>'Base de données indicateurs1'!AY30</f>
        <v>0</v>
      </c>
      <c r="AZ37" s="4">
        <f>'Base de données indicateurs1'!AZ30</f>
        <v>0</v>
      </c>
      <c r="BA37" s="4">
        <f>'Base de données indicateurs1'!BA30</f>
        <v>0</v>
      </c>
      <c r="BB37" s="4">
        <f>'Base de données indicateurs1'!BB30</f>
        <v>0</v>
      </c>
      <c r="BC37" s="4">
        <f>'Base de données indicateurs1'!BC30</f>
        <v>0</v>
      </c>
      <c r="BD37" s="4">
        <f>'Base de données indicateurs1'!BD30</f>
        <v>0</v>
      </c>
      <c r="BE37" s="4">
        <f>'Base de données indicateurs1'!BE30</f>
        <v>0</v>
      </c>
      <c r="BF37" s="4">
        <f t="shared" si="0"/>
        <v>15250</v>
      </c>
      <c r="BG37" s="4">
        <f t="shared" si="1"/>
        <v>5000</v>
      </c>
      <c r="BH37" s="4">
        <f t="shared" si="2"/>
        <v>0</v>
      </c>
    </row>
    <row r="38" spans="1:60" ht="15.75" thickBot="1" x14ac:dyDescent="0.3">
      <c r="B38" s="99"/>
      <c r="D38" s="4"/>
      <c r="BF38" s="4"/>
      <c r="BG38" s="4"/>
      <c r="BH38" s="4"/>
    </row>
    <row r="39" spans="1:60" ht="15.75" thickBot="1" x14ac:dyDescent="0.3">
      <c r="A39" s="7" t="s">
        <v>539</v>
      </c>
      <c r="B39" s="52"/>
      <c r="C39" s="7"/>
      <c r="D39" s="100">
        <f>SUM(D32,D34:D37)-D33</f>
        <v>26128211.18</v>
      </c>
      <c r="E39" s="118">
        <f>SUM(E32,E34:E37)-E33</f>
        <v>303212.48000000004</v>
      </c>
      <c r="F39" s="4">
        <f t="shared" ref="F39:BE39" si="5">SUM(F32,F34:F37)-F33</f>
        <v>106059.47</v>
      </c>
      <c r="G39" s="4">
        <f t="shared" si="5"/>
        <v>132309.31</v>
      </c>
      <c r="H39" s="4">
        <f t="shared" si="5"/>
        <v>141174.45000000001</v>
      </c>
      <c r="I39" s="4">
        <f t="shared" si="5"/>
        <v>1260984</v>
      </c>
      <c r="J39" s="4">
        <f t="shared" si="5"/>
        <v>1178290.43</v>
      </c>
      <c r="K39" s="4">
        <f t="shared" si="5"/>
        <v>550836.87999999989</v>
      </c>
      <c r="L39" s="4">
        <f t="shared" si="5"/>
        <v>6393728.4699999997</v>
      </c>
      <c r="M39" s="4">
        <f t="shared" si="5"/>
        <v>238591.93</v>
      </c>
      <c r="N39" s="4">
        <f t="shared" si="5"/>
        <v>58348.090000000004</v>
      </c>
      <c r="O39" s="4">
        <f t="shared" si="5"/>
        <v>1354177.4000000001</v>
      </c>
      <c r="P39" s="4">
        <f t="shared" si="5"/>
        <v>148117.80000000002</v>
      </c>
      <c r="Q39" s="4">
        <f t="shared" si="5"/>
        <v>17725.43</v>
      </c>
      <c r="R39" s="4">
        <f t="shared" si="5"/>
        <v>139974.97999999998</v>
      </c>
      <c r="S39" s="4">
        <f t="shared" si="5"/>
        <v>172200.99</v>
      </c>
      <c r="T39" s="4">
        <f t="shared" si="5"/>
        <v>144461.43999999997</v>
      </c>
      <c r="U39" s="4">
        <f t="shared" si="5"/>
        <v>44382.81</v>
      </c>
      <c r="V39" s="4">
        <f t="shared" si="5"/>
        <v>179513.81</v>
      </c>
      <c r="W39" s="4">
        <f t="shared" si="5"/>
        <v>1040971.42</v>
      </c>
      <c r="X39" s="4">
        <f t="shared" si="5"/>
        <v>43456.88</v>
      </c>
      <c r="Y39" s="4">
        <f t="shared" si="5"/>
        <v>393485.16000000003</v>
      </c>
      <c r="Z39" s="4">
        <f t="shared" si="5"/>
        <v>332119.27</v>
      </c>
      <c r="AA39" s="4">
        <f t="shared" si="5"/>
        <v>50614.07</v>
      </c>
      <c r="AB39" s="4">
        <f t="shared" si="5"/>
        <v>510.14999999999918</v>
      </c>
      <c r="AC39" s="4">
        <f t="shared" si="5"/>
        <v>130275.89000000001</v>
      </c>
      <c r="AD39" s="4">
        <f t="shared" si="5"/>
        <v>256051.83999999997</v>
      </c>
      <c r="AE39" s="4">
        <f t="shared" si="5"/>
        <v>175977.45</v>
      </c>
      <c r="AF39" s="4">
        <f t="shared" si="5"/>
        <v>95749.119999999995</v>
      </c>
      <c r="AG39" s="4">
        <f t="shared" si="5"/>
        <v>646911.79</v>
      </c>
      <c r="AH39" s="4">
        <f t="shared" si="5"/>
        <v>884947.46000000008</v>
      </c>
      <c r="AI39" s="4">
        <f t="shared" si="5"/>
        <v>77223.259999999995</v>
      </c>
      <c r="AJ39" s="4">
        <f t="shared" si="5"/>
        <v>57555.83</v>
      </c>
      <c r="AK39" s="4">
        <f t="shared" si="5"/>
        <v>657132.35000000009</v>
      </c>
      <c r="AL39" s="4">
        <f t="shared" si="5"/>
        <v>479374</v>
      </c>
      <c r="AM39" s="4">
        <f t="shared" si="5"/>
        <v>362492.62</v>
      </c>
      <c r="AN39" s="4">
        <f t="shared" si="5"/>
        <v>48649.459999999992</v>
      </c>
      <c r="AO39" s="4">
        <f t="shared" si="5"/>
        <v>646003.11999999988</v>
      </c>
      <c r="AP39" s="4">
        <f t="shared" si="5"/>
        <v>118723.81</v>
      </c>
      <c r="AQ39" s="4">
        <f t="shared" si="5"/>
        <v>264823</v>
      </c>
      <c r="AR39" s="4">
        <f t="shared" si="5"/>
        <v>224159.59999999998</v>
      </c>
      <c r="AS39" s="4">
        <f t="shared" si="5"/>
        <v>220245.25</v>
      </c>
      <c r="AT39" s="4">
        <f t="shared" si="5"/>
        <v>319257.93999999994</v>
      </c>
      <c r="AU39" s="4">
        <f t="shared" si="5"/>
        <v>93383.78</v>
      </c>
      <c r="AV39" s="4">
        <f t="shared" si="5"/>
        <v>710158.13</v>
      </c>
      <c r="AW39" s="4">
        <f t="shared" si="5"/>
        <v>168861.26999999996</v>
      </c>
      <c r="AX39" s="4">
        <f t="shared" si="5"/>
        <v>36634.44</v>
      </c>
      <c r="AY39" s="4">
        <f t="shared" si="5"/>
        <v>189233.11000000002</v>
      </c>
      <c r="AZ39" s="4">
        <f t="shared" si="5"/>
        <v>860636.63</v>
      </c>
      <c r="BA39" s="4">
        <f t="shared" si="5"/>
        <v>33037.79</v>
      </c>
      <c r="BB39" s="4">
        <f t="shared" si="5"/>
        <v>419834.99</v>
      </c>
      <c r="BC39" s="4">
        <f t="shared" si="5"/>
        <v>5144.5599999999995</v>
      </c>
      <c r="BD39" s="4">
        <f t="shared" si="5"/>
        <v>3414409.1099999994</v>
      </c>
      <c r="BE39" s="4">
        <f t="shared" si="5"/>
        <v>106076.46</v>
      </c>
      <c r="BF39" s="4">
        <f t="shared" si="0"/>
        <v>13605061.59</v>
      </c>
      <c r="BG39" s="4">
        <f t="shared" si="1"/>
        <v>3144878.17</v>
      </c>
      <c r="BH39" s="4">
        <f t="shared" si="2"/>
        <v>9378271.4199999999</v>
      </c>
    </row>
    <row r="40" spans="1:60" ht="15.75" thickBot="1" x14ac:dyDescent="0.3">
      <c r="A40" s="7"/>
      <c r="B40" s="52"/>
      <c r="C40" s="7"/>
      <c r="D40" s="4"/>
      <c r="BF40" s="4"/>
      <c r="BG40" s="4"/>
      <c r="BH40" s="4"/>
    </row>
    <row r="41" spans="1:60" ht="15.75" thickBot="1" x14ac:dyDescent="0.3">
      <c r="A41" s="7" t="s">
        <v>521</v>
      </c>
      <c r="B41" s="52"/>
      <c r="C41" s="7"/>
      <c r="D41" s="100">
        <f>'Quotité d''intéret + revenus det'!D23</f>
        <v>361695240.11000001</v>
      </c>
      <c r="E41" s="4">
        <f>'Quotité d''intéret + revenus det'!E23</f>
        <v>2484648.4500000002</v>
      </c>
      <c r="F41" s="4">
        <f>'Quotité d''intéret + revenus det'!F23</f>
        <v>1031897.62</v>
      </c>
      <c r="G41" s="4">
        <f>'Quotité d''intéret + revenus det'!G23</f>
        <v>1534752.3800000001</v>
      </c>
      <c r="H41" s="4">
        <f>'Quotité d''intéret + revenus det'!H23</f>
        <v>1939379.38</v>
      </c>
      <c r="I41" s="4">
        <f>'Quotité d''intéret + revenus det'!I23</f>
        <v>15556852</v>
      </c>
      <c r="J41" s="4">
        <f>'Quotité d''intéret + revenus det'!J23</f>
        <v>13453531.07</v>
      </c>
      <c r="K41" s="4">
        <f>'Quotité d''intéret + revenus det'!K23</f>
        <v>10342400.26</v>
      </c>
      <c r="L41" s="4">
        <f>'Quotité d''intéret + revenus det'!L23</f>
        <v>97878972.689999998</v>
      </c>
      <c r="M41" s="4">
        <f>'Quotité d''intéret + revenus det'!M23</f>
        <v>7676331.6400000006</v>
      </c>
      <c r="N41" s="4">
        <f>'Quotité d''intéret + revenus det'!N23</f>
        <v>517820.83</v>
      </c>
      <c r="O41" s="4">
        <f>'Quotité d''intéret + revenus det'!O23</f>
        <v>27275736.82</v>
      </c>
      <c r="P41" s="4">
        <f>'Quotité d''intéret + revenus det'!P23</f>
        <v>1856052.54</v>
      </c>
      <c r="Q41" s="4">
        <f>'Quotité d''intéret + revenus det'!Q23</f>
        <v>420828.52</v>
      </c>
      <c r="R41" s="4">
        <f>'Quotité d''intéret + revenus det'!R23</f>
        <v>963082.93</v>
      </c>
      <c r="S41" s="4">
        <f>'Quotité d''intéret + revenus det'!S23</f>
        <v>837138.83</v>
      </c>
      <c r="T41" s="4">
        <f>'Quotité d''intéret + revenus det'!T23</f>
        <v>3018687.98</v>
      </c>
      <c r="U41" s="4">
        <f>'Quotité d''intéret + revenus det'!U23</f>
        <v>946108.07</v>
      </c>
      <c r="V41" s="4">
        <f>'Quotité d''intéret + revenus det'!V23</f>
        <v>2158247.85</v>
      </c>
      <c r="W41" s="4">
        <f>'Quotité d''intéret + revenus det'!W23</f>
        <v>12534708.129999999</v>
      </c>
      <c r="X41" s="4">
        <f>'Quotité d''intéret + revenus det'!X23</f>
        <v>822382.96</v>
      </c>
      <c r="Y41" s="4">
        <f>'Quotité d''intéret + revenus det'!Y23</f>
        <v>7518799.2599999998</v>
      </c>
      <c r="Z41" s="4">
        <f>'Quotité d''intéret + revenus det'!Z23</f>
        <v>11021467.16</v>
      </c>
      <c r="AA41" s="4">
        <f>'Quotité d''intéret + revenus det'!AA23</f>
        <v>481766.12</v>
      </c>
      <c r="AB41" s="4">
        <f>'Quotité d''intéret + revenus det'!AB23</f>
        <v>681991.03</v>
      </c>
      <c r="AC41" s="4">
        <f>'Quotité d''intéret + revenus det'!AC23</f>
        <v>1098216.46</v>
      </c>
      <c r="AD41" s="4">
        <f>'Quotité d''intéret + revenus det'!AD23</f>
        <v>3352314.97</v>
      </c>
      <c r="AE41" s="4">
        <f>'Quotité d''intéret + revenus det'!AE23</f>
        <v>2462246.58</v>
      </c>
      <c r="AF41" s="4">
        <f>'Quotité d''intéret + revenus det'!AF23</f>
        <v>2701303.44</v>
      </c>
      <c r="AG41" s="4">
        <f>'Quotité d''intéret + revenus det'!AG23</f>
        <v>9732038.0800000001</v>
      </c>
      <c r="AH41" s="4">
        <f>'Quotité d''intéret + revenus det'!AH23</f>
        <v>12676611.98</v>
      </c>
      <c r="AI41" s="4">
        <f>'Quotité d''intéret + revenus det'!AI23</f>
        <v>1090545.5299999998</v>
      </c>
      <c r="AJ41" s="4">
        <f>'Quotité d''intéret + revenus det'!AJ23</f>
        <v>716212.09</v>
      </c>
      <c r="AK41" s="4">
        <f>'Quotité d''intéret + revenus det'!AK23</f>
        <v>5792786.6500000004</v>
      </c>
      <c r="AL41" s="4">
        <f>'Quotité d''intéret + revenus det'!AL23</f>
        <v>5584298</v>
      </c>
      <c r="AM41" s="4">
        <f>'Quotité d''intéret + revenus det'!AM23</f>
        <v>5411830.3200000003</v>
      </c>
      <c r="AN41" s="4">
        <f>'Quotité d''intéret + revenus det'!AN23</f>
        <v>336522.26</v>
      </c>
      <c r="AO41" s="4">
        <f>'Quotité d''intéret + revenus det'!AO23</f>
        <v>9404092.9000000004</v>
      </c>
      <c r="AP41" s="4">
        <f>'Quotité d''intéret + revenus det'!AP23</f>
        <v>3880880.65</v>
      </c>
      <c r="AQ41" s="4">
        <f>'Quotité d''intéret + revenus det'!AQ23</f>
        <v>1738358</v>
      </c>
      <c r="AR41" s="4">
        <f>'Quotité d''intéret + revenus det'!AR23</f>
        <v>3202894.41</v>
      </c>
      <c r="AS41" s="4">
        <f>'Quotité d''intéret + revenus det'!AS23</f>
        <v>1620047.26</v>
      </c>
      <c r="AT41" s="4">
        <f>'Quotité d''intéret + revenus det'!AT23</f>
        <v>2436343.5</v>
      </c>
      <c r="AU41" s="4">
        <f>'Quotité d''intéret + revenus det'!AU23</f>
        <v>-491864.57</v>
      </c>
      <c r="AV41" s="4">
        <f>'Quotité d''intéret + revenus det'!AV23</f>
        <v>8506625.0599999987</v>
      </c>
      <c r="AW41" s="4">
        <f>'Quotité d''intéret + revenus det'!AW23</f>
        <v>3321892.18</v>
      </c>
      <c r="AX41" s="4">
        <f>'Quotité d''intéret + revenus det'!AX23</f>
        <v>646701.05000000005</v>
      </c>
      <c r="AY41" s="4">
        <f>'Quotité d''intéret + revenus det'!AY23</f>
        <v>906867.19999999995</v>
      </c>
      <c r="AZ41" s="4">
        <f>'Quotité d''intéret + revenus det'!AZ23</f>
        <v>5064301.16</v>
      </c>
      <c r="BA41" s="4">
        <f>'Quotité d''intéret + revenus det'!BA23</f>
        <v>1735107.11</v>
      </c>
      <c r="BB41" s="4">
        <f>'Quotité d''intéret + revenus det'!BB23</f>
        <v>3370355.2600000002</v>
      </c>
      <c r="BC41" s="4">
        <f>'Quotité d''intéret + revenus det'!BC23</f>
        <v>754241</v>
      </c>
      <c r="BD41" s="4">
        <f>'Quotité d''intéret + revenus det'!BD23</f>
        <v>39168822.840000004</v>
      </c>
      <c r="BE41" s="4">
        <f>'Quotité d''intéret + revenus det'!BE23</f>
        <v>2521064.2200000002</v>
      </c>
      <c r="BF41" s="4">
        <f t="shared" si="0"/>
        <v>202427177.99000001</v>
      </c>
      <c r="BG41" s="4">
        <f t="shared" si="1"/>
        <v>54355895.660000011</v>
      </c>
      <c r="BH41" s="4">
        <f t="shared" si="2"/>
        <v>104912166.46000001</v>
      </c>
    </row>
    <row r="42" spans="1:60" ht="15.75" thickBot="1" x14ac:dyDescent="0.3">
      <c r="B42" s="99"/>
      <c r="D42" s="4"/>
      <c r="BF42" s="4"/>
      <c r="BG42" s="4"/>
      <c r="BH42" s="4"/>
    </row>
    <row r="43" spans="1:60" ht="15.75" thickBot="1" x14ac:dyDescent="0.3">
      <c r="A43" s="7" t="s">
        <v>540</v>
      </c>
      <c r="B43" s="99"/>
      <c r="D43" s="100">
        <f>IF(D41&lt;&gt;0,D39/D41,"")*100</f>
        <v>7.2238194707936438</v>
      </c>
      <c r="E43" s="118">
        <f>IF(E41&lt;&gt;0,E39/E41,"")*100</f>
        <v>12.203435862324911</v>
      </c>
      <c r="F43" s="4">
        <f t="shared" ref="F43:BH43" si="6">IF(F41&lt;&gt;0,F39/F41,"")*100</f>
        <v>10.278100069656135</v>
      </c>
      <c r="G43" s="4">
        <f t="shared" si="6"/>
        <v>8.6208897099087736</v>
      </c>
      <c r="H43" s="4">
        <f t="shared" si="6"/>
        <v>7.2793622256621102</v>
      </c>
      <c r="I43" s="4">
        <f t="shared" si="6"/>
        <v>8.1056501662418601</v>
      </c>
      <c r="J43" s="4">
        <f t="shared" si="6"/>
        <v>8.7582243194685692</v>
      </c>
      <c r="K43" s="4">
        <f t="shared" si="6"/>
        <v>5.3260062089300719</v>
      </c>
      <c r="L43" s="4">
        <f t="shared" si="6"/>
        <v>6.5322799108753093</v>
      </c>
      <c r="M43" s="4">
        <f t="shared" si="6"/>
        <v>3.1081503664685335</v>
      </c>
      <c r="N43" s="4">
        <f t="shared" si="6"/>
        <v>11.268007507538853</v>
      </c>
      <c r="O43" s="4">
        <f t="shared" si="6"/>
        <v>4.964769270713326</v>
      </c>
      <c r="P43" s="4">
        <f t="shared" si="6"/>
        <v>7.9802590071076329</v>
      </c>
      <c r="Q43" s="4">
        <f t="shared" si="6"/>
        <v>4.2120315419686865</v>
      </c>
      <c r="R43" s="4">
        <f t="shared" si="6"/>
        <v>14.534052638644521</v>
      </c>
      <c r="S43" s="4">
        <f t="shared" si="6"/>
        <v>20.570183084208384</v>
      </c>
      <c r="T43" s="4">
        <f t="shared" si="6"/>
        <v>4.7855704517033253</v>
      </c>
      <c r="U43" s="4">
        <f t="shared" si="6"/>
        <v>4.691093058745393</v>
      </c>
      <c r="V43" s="4">
        <f t="shared" si="6"/>
        <v>8.3175715893797832</v>
      </c>
      <c r="W43" s="4">
        <f t="shared" si="6"/>
        <v>8.3047120778870518</v>
      </c>
      <c r="X43" s="4">
        <f t="shared" si="6"/>
        <v>5.2842631856088067</v>
      </c>
      <c r="Y43" s="4">
        <f t="shared" si="6"/>
        <v>5.2333510497259912</v>
      </c>
      <c r="Z43" s="4">
        <f t="shared" si="6"/>
        <v>3.0133852887150465</v>
      </c>
      <c r="AA43" s="4">
        <f t="shared" si="6"/>
        <v>10.505942177918199</v>
      </c>
      <c r="AB43" s="4">
        <f t="shared" si="6"/>
        <v>7.4803036632314537E-2</v>
      </c>
      <c r="AC43" s="4">
        <f t="shared" si="6"/>
        <v>11.862496579226287</v>
      </c>
      <c r="AD43" s="4">
        <f t="shared" si="6"/>
        <v>7.6380603341696123</v>
      </c>
      <c r="AE43" s="4">
        <f t="shared" si="6"/>
        <v>7.1470278984000064</v>
      </c>
      <c r="AF43" s="4">
        <f t="shared" si="6"/>
        <v>3.5445525512676204</v>
      </c>
      <c r="AG43" s="4">
        <f t="shared" si="6"/>
        <v>6.6472385812941663</v>
      </c>
      <c r="AH43" s="4">
        <f t="shared" si="6"/>
        <v>6.9809461818046437</v>
      </c>
      <c r="AI43" s="4">
        <f t="shared" si="6"/>
        <v>7.0811587297964538</v>
      </c>
      <c r="AJ43" s="4">
        <f t="shared" si="6"/>
        <v>8.0361433161509463</v>
      </c>
      <c r="AK43" s="4">
        <f t="shared" si="6"/>
        <v>11.343976391742308</v>
      </c>
      <c r="AL43" s="4">
        <f t="shared" si="6"/>
        <v>8.5843198196084813</v>
      </c>
      <c r="AM43" s="4">
        <f t="shared" si="6"/>
        <v>6.6981519849277165</v>
      </c>
      <c r="AN43" s="4">
        <f t="shared" si="6"/>
        <v>14.456535505258996</v>
      </c>
      <c r="AO43" s="4">
        <f t="shared" si="6"/>
        <v>6.8693825855335806</v>
      </c>
      <c r="AP43" s="4">
        <f t="shared" si="6"/>
        <v>3.059197659170477</v>
      </c>
      <c r="AQ43" s="4">
        <f t="shared" si="6"/>
        <v>15.234088720505213</v>
      </c>
      <c r="AR43" s="4">
        <f t="shared" si="6"/>
        <v>6.9986571926984</v>
      </c>
      <c r="AS43" s="4">
        <f t="shared" si="6"/>
        <v>13.594989198031174</v>
      </c>
      <c r="AT43" s="4">
        <f t="shared" si="6"/>
        <v>13.10397897505011</v>
      </c>
      <c r="AU43" s="4">
        <f t="shared" si="6"/>
        <v>-18.985669164989865</v>
      </c>
      <c r="AV43" s="4">
        <f t="shared" si="6"/>
        <v>8.3482947113693537</v>
      </c>
      <c r="AW43" s="4">
        <f t="shared" si="6"/>
        <v>5.0832856953231982</v>
      </c>
      <c r="AX43" s="4">
        <f t="shared" si="6"/>
        <v>5.6648183886511401</v>
      </c>
      <c r="AY43" s="4">
        <f t="shared" si="6"/>
        <v>20.866683677610133</v>
      </c>
      <c r="AZ43" s="4">
        <f t="shared" si="6"/>
        <v>16.994183458078545</v>
      </c>
      <c r="BA43" s="4">
        <f t="shared" si="6"/>
        <v>1.9040778410504007</v>
      </c>
      <c r="BB43" s="4">
        <f t="shared" si="6"/>
        <v>12.456698407514462</v>
      </c>
      <c r="BC43" s="4">
        <f t="shared" si="6"/>
        <v>0.68208437356229634</v>
      </c>
      <c r="BD43" s="4">
        <f t="shared" si="6"/>
        <v>8.7171603904142216</v>
      </c>
      <c r="BE43" s="4">
        <f t="shared" si="6"/>
        <v>4.2076064210692738</v>
      </c>
      <c r="BF43" s="4">
        <f t="shared" si="6"/>
        <v>6.7209658925700664</v>
      </c>
      <c r="BG43" s="4">
        <f t="shared" si="6"/>
        <v>5.7857167687410334</v>
      </c>
      <c r="BH43" s="4">
        <f t="shared" si="6"/>
        <v>8.9391647665341711</v>
      </c>
    </row>
    <row r="44" spans="1:60" x14ac:dyDescent="0.25">
      <c r="A44" s="102" t="s">
        <v>541</v>
      </c>
      <c r="B44" s="99"/>
      <c r="D44" s="4"/>
    </row>
    <row r="45" spans="1:60" x14ac:dyDescent="0.25">
      <c r="D45" s="4"/>
    </row>
    <row r="46" spans="1:60" x14ac:dyDescent="0.25">
      <c r="D46" s="4"/>
    </row>
  </sheetData>
  <mergeCells count="1">
    <mergeCell ref="A8:D8"/>
  </mergeCell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5" tint="0.59999389629810485"/>
  </sheetPr>
  <dimension ref="A8:BH49"/>
  <sheetViews>
    <sheetView workbookViewId="0">
      <pane xSplit="4" ySplit="11" topLeftCell="E34" activePane="bottomRight" state="frozen"/>
      <selection pane="topRight" activeCell="E1" sqref="E1"/>
      <selection pane="bottomLeft" activeCell="A12" sqref="A12"/>
      <selection pane="bottomRight" activeCell="C48" sqref="C48"/>
    </sheetView>
  </sheetViews>
  <sheetFormatPr baseColWidth="10" defaultColWidth="11.42578125" defaultRowHeight="15" x14ac:dyDescent="0.25"/>
  <cols>
    <col min="1" max="1" width="51.85546875" customWidth="1"/>
    <col min="2" max="2" width="7.42578125" customWidth="1"/>
    <col min="4" max="4" width="22.85546875" customWidth="1"/>
    <col min="5" max="60" width="15.7109375" customWidth="1"/>
  </cols>
  <sheetData>
    <row r="8" spans="1:60" ht="18.75" x14ac:dyDescent="0.3">
      <c r="A8" s="181" t="s">
        <v>494</v>
      </c>
      <c r="B8" s="181"/>
      <c r="C8" s="181"/>
      <c r="D8" s="181"/>
    </row>
    <row r="10" spans="1:60" x14ac:dyDescent="0.25">
      <c r="A10" s="7" t="s">
        <v>542</v>
      </c>
      <c r="B10" s="92"/>
      <c r="C10" s="53" t="s">
        <v>496</v>
      </c>
      <c r="D10" s="53" t="s">
        <v>497</v>
      </c>
      <c r="E10" s="119">
        <f>'4.1 Comptes 2021 natures'!E2</f>
        <v>947</v>
      </c>
      <c r="F10" s="119">
        <f>'4.1 Comptes 2021 natures'!F2</f>
        <v>265</v>
      </c>
      <c r="G10" s="119">
        <f>'4.1 Comptes 2021 natures'!G2</f>
        <v>469</v>
      </c>
      <c r="H10" s="119">
        <f>'4.1 Comptes 2021 natures'!H2</f>
        <v>439</v>
      </c>
      <c r="I10" s="119">
        <f>'4.1 Comptes 2021 natures'!I2</f>
        <v>3728</v>
      </c>
      <c r="J10" s="119">
        <f>'4.1 Comptes 2021 natures'!J2</f>
        <v>3345</v>
      </c>
      <c r="K10" s="119">
        <f>'4.1 Comptes 2021 natures'!K2</f>
        <v>2652</v>
      </c>
      <c r="L10" s="119">
        <f>'4.1 Comptes 2021 natures'!L2</f>
        <v>12479</v>
      </c>
      <c r="M10" s="119">
        <f>'4.1 Comptes 2021 natures'!M2</f>
        <v>1359</v>
      </c>
      <c r="N10" s="119">
        <f>'4.1 Comptes 2021 natures'!N2</f>
        <v>117</v>
      </c>
      <c r="O10" s="119">
        <f>'4.1 Comptes 2021 natures'!O2</f>
        <v>7261</v>
      </c>
      <c r="P10" s="119">
        <f>'4.1 Comptes 2021 natures'!P2</f>
        <v>538</v>
      </c>
      <c r="Q10" s="119">
        <f>'4.1 Comptes 2021 natures'!Q2</f>
        <v>111</v>
      </c>
      <c r="R10" s="119">
        <f>'4.1 Comptes 2021 natures'!R2</f>
        <v>421</v>
      </c>
      <c r="S10" s="119">
        <f>'4.1 Comptes 2021 natures'!S2</f>
        <v>346</v>
      </c>
      <c r="T10" s="119">
        <f>'4.1 Comptes 2021 natures'!T2</f>
        <v>710</v>
      </c>
      <c r="U10" s="119">
        <f>'4.1 Comptes 2021 natures'!U2</f>
        <v>269</v>
      </c>
      <c r="V10" s="119">
        <f>'4.1 Comptes 2021 natures'!V2</f>
        <v>440</v>
      </c>
      <c r="W10" s="119">
        <f>'4.1 Comptes 2021 natures'!W2</f>
        <v>3229</v>
      </c>
      <c r="X10" s="120">
        <f>'4.1 Comptes 2021 natures'!X2</f>
        <v>310</v>
      </c>
      <c r="Y10" s="120">
        <f>'4.1 Comptes 2021 natures'!Y2</f>
        <v>1270</v>
      </c>
      <c r="Z10" s="120">
        <f>'4.1 Comptes 2021 natures'!Z2</f>
        <v>1506</v>
      </c>
      <c r="AA10" s="120">
        <f>'4.1 Comptes 2021 natures'!AA2</f>
        <v>96</v>
      </c>
      <c r="AB10" s="120">
        <f>'4.1 Comptes 2021 natures'!AB2</f>
        <v>148</v>
      </c>
      <c r="AC10" s="120">
        <f>'4.1 Comptes 2021 natures'!AC2</f>
        <v>518</v>
      </c>
      <c r="AD10" s="120">
        <f>'4.1 Comptes 2021 natures'!AD2</f>
        <v>701</v>
      </c>
      <c r="AE10" s="120">
        <f>'4.1 Comptes 2021 natures'!AE2</f>
        <v>564</v>
      </c>
      <c r="AF10" s="120">
        <f>'4.1 Comptes 2021 natures'!AF2</f>
        <v>525</v>
      </c>
      <c r="AG10" s="120">
        <f>'4.1 Comptes 2021 natures'!AG2</f>
        <v>1909</v>
      </c>
      <c r="AH10" s="120">
        <f>'4.1 Comptes 2021 natures'!AH2</f>
        <v>2580</v>
      </c>
      <c r="AI10" s="120">
        <f>'4.1 Comptes 2021 natures'!AI2</f>
        <v>222</v>
      </c>
      <c r="AJ10" s="120">
        <f>'4.1 Comptes 2021 natures'!AJ2</f>
        <v>129</v>
      </c>
      <c r="AK10" s="121">
        <f>'4.1 Comptes 2021 natures'!AK2</f>
        <v>1891</v>
      </c>
      <c r="AL10" s="121">
        <f>'4.1 Comptes 2021 natures'!AL2</f>
        <v>1126</v>
      </c>
      <c r="AM10" s="121">
        <f>'4.1 Comptes 2021 natures'!AM2</f>
        <v>1225</v>
      </c>
      <c r="AN10" s="121">
        <f>'4.1 Comptes 2021 natures'!AN2</f>
        <v>117</v>
      </c>
      <c r="AO10" s="121">
        <f>'4.1 Comptes 2021 natures'!AO2</f>
        <v>1185</v>
      </c>
      <c r="AP10" s="121">
        <f>'4.1 Comptes 2021 natures'!AP2</f>
        <v>642</v>
      </c>
      <c r="AQ10" s="121">
        <f>'4.1 Comptes 2021 natures'!AQ2</f>
        <v>633</v>
      </c>
      <c r="AR10" s="121">
        <f>'4.1 Comptes 2021 natures'!AR2</f>
        <v>1284</v>
      </c>
      <c r="AS10" s="121">
        <f>'4.1 Comptes 2021 natures'!AS2</f>
        <v>731</v>
      </c>
      <c r="AT10" s="121">
        <f>'4.1 Comptes 2021 natures'!AT2</f>
        <v>1016</v>
      </c>
      <c r="AU10" s="121">
        <f>'4.1 Comptes 2021 natures'!AU2</f>
        <v>304</v>
      </c>
      <c r="AV10" s="121">
        <f>'4.1 Comptes 2021 natures'!AV2</f>
        <v>2412</v>
      </c>
      <c r="AW10" s="121">
        <f>'4.1 Comptes 2021 natures'!AW2</f>
        <v>735</v>
      </c>
      <c r="AX10" s="121">
        <f>'4.1 Comptes 2021 natures'!AX2</f>
        <v>185</v>
      </c>
      <c r="AY10" s="121">
        <f>'4.1 Comptes 2021 natures'!AY2</f>
        <v>340</v>
      </c>
      <c r="AZ10" s="121">
        <f>'4.1 Comptes 2021 natures'!AZ2</f>
        <v>1697</v>
      </c>
      <c r="BA10" s="121">
        <f>'4.1 Comptes 2021 natures'!BA2</f>
        <v>390</v>
      </c>
      <c r="BB10" s="121">
        <f>'4.1 Comptes 2021 natures'!BB2</f>
        <v>1073</v>
      </c>
      <c r="BC10" s="121">
        <f>'4.1 Comptes 2021 natures'!BC2</f>
        <v>184</v>
      </c>
      <c r="BD10" s="121">
        <f>'4.1 Comptes 2021 natures'!BD2</f>
        <v>6466</v>
      </c>
      <c r="BE10" s="121">
        <f>'4.1 Comptes 2021 natures'!BE2</f>
        <v>559</v>
      </c>
      <c r="BF10" s="1" t="str">
        <f>'4.1 Comptes 2021 natures'!BG2</f>
        <v>ct</v>
      </c>
      <c r="BG10" s="1">
        <f>'4.1 Comptes 2021 natures'!BH2</f>
        <v>10478</v>
      </c>
      <c r="BH10" s="1">
        <f>'4.1 Comptes 2021 natures'!BI2</f>
        <v>24195</v>
      </c>
    </row>
    <row r="11" spans="1:60" x14ac:dyDescent="0.25">
      <c r="B11" s="92"/>
      <c r="E11" s="33" t="s">
        <v>56</v>
      </c>
      <c r="F11" s="33" t="s">
        <v>18</v>
      </c>
      <c r="G11" s="33" t="s">
        <v>57</v>
      </c>
      <c r="H11" s="33" t="s">
        <v>53</v>
      </c>
      <c r="I11" s="33" t="s">
        <v>33</v>
      </c>
      <c r="J11" s="33" t="s">
        <v>10</v>
      </c>
      <c r="K11" s="33" t="s">
        <v>15</v>
      </c>
      <c r="L11" s="33" t="s">
        <v>28</v>
      </c>
      <c r="M11" s="33" t="s">
        <v>42</v>
      </c>
      <c r="N11" s="33" t="s">
        <v>23</v>
      </c>
      <c r="O11" s="33" t="s">
        <v>22</v>
      </c>
      <c r="P11" s="33" t="s">
        <v>13</v>
      </c>
      <c r="Q11" s="33" t="s">
        <v>17</v>
      </c>
      <c r="R11" s="33" t="s">
        <v>43</v>
      </c>
      <c r="S11" s="33" t="s">
        <v>40</v>
      </c>
      <c r="T11" s="33" t="s">
        <v>31</v>
      </c>
      <c r="U11" s="33" t="s">
        <v>12</v>
      </c>
      <c r="V11" s="33" t="s">
        <v>59</v>
      </c>
      <c r="W11" s="33" t="s">
        <v>27</v>
      </c>
      <c r="X11" s="34" t="s">
        <v>30</v>
      </c>
      <c r="Y11" s="34" t="s">
        <v>20</v>
      </c>
      <c r="Z11" s="34" t="s">
        <v>45</v>
      </c>
      <c r="AA11" s="34" t="s">
        <v>71</v>
      </c>
      <c r="AB11" s="34" t="s">
        <v>39</v>
      </c>
      <c r="AC11" s="34" t="s">
        <v>19</v>
      </c>
      <c r="AD11" s="34" t="s">
        <v>41</v>
      </c>
      <c r="AE11" s="34" t="s">
        <v>36</v>
      </c>
      <c r="AF11" s="34" t="s">
        <v>7</v>
      </c>
      <c r="AG11" s="34" t="s">
        <v>55</v>
      </c>
      <c r="AH11" s="34" t="s">
        <v>21</v>
      </c>
      <c r="AI11" s="34" t="s">
        <v>6</v>
      </c>
      <c r="AJ11" s="34" t="s">
        <v>34</v>
      </c>
      <c r="AK11" s="35" t="s">
        <v>52</v>
      </c>
      <c r="AL11" s="35" t="s">
        <v>14</v>
      </c>
      <c r="AM11" s="35" t="s">
        <v>32</v>
      </c>
      <c r="AN11" s="35" t="s">
        <v>29</v>
      </c>
      <c r="AO11" s="35" t="s">
        <v>26</v>
      </c>
      <c r="AP11" s="35" t="s">
        <v>48</v>
      </c>
      <c r="AQ11" s="35" t="s">
        <v>44</v>
      </c>
      <c r="AR11" s="35" t="s">
        <v>37</v>
      </c>
      <c r="AS11" s="35" t="s">
        <v>51</v>
      </c>
      <c r="AT11" s="35" t="s">
        <v>8</v>
      </c>
      <c r="AU11" s="35" t="s">
        <v>24</v>
      </c>
      <c r="AV11" s="35" t="s">
        <v>9</v>
      </c>
      <c r="AW11" s="35" t="s">
        <v>62</v>
      </c>
      <c r="AX11" s="35" t="s">
        <v>46</v>
      </c>
      <c r="AY11" s="35" t="s">
        <v>35</v>
      </c>
      <c r="AZ11" s="35" t="s">
        <v>49</v>
      </c>
      <c r="BA11" s="35" t="s">
        <v>47</v>
      </c>
      <c r="BB11" s="35" t="s">
        <v>58</v>
      </c>
      <c r="BC11" s="35" t="s">
        <v>50</v>
      </c>
      <c r="BD11" s="35" t="s">
        <v>16</v>
      </c>
      <c r="BE11" s="35" t="s">
        <v>25</v>
      </c>
      <c r="BF11" s="37" t="s">
        <v>28</v>
      </c>
      <c r="BG11" s="34" t="s">
        <v>64</v>
      </c>
      <c r="BH11" s="35" t="s">
        <v>16</v>
      </c>
    </row>
    <row r="12" spans="1:60" x14ac:dyDescent="0.25">
      <c r="A12" s="93" t="s">
        <v>252</v>
      </c>
      <c r="B12" s="94" t="s">
        <v>225</v>
      </c>
      <c r="C12" s="107">
        <v>20</v>
      </c>
      <c r="D12" s="95">
        <f>'Base de données indicateurs1'!BF8</f>
        <v>616976138.49999988</v>
      </c>
      <c r="E12" s="4">
        <f>'Base de données indicateurs1'!E8</f>
        <v>10597593.460000001</v>
      </c>
      <c r="F12" s="4">
        <f>'Base de données indicateurs1'!F8</f>
        <v>2476025.2000000002</v>
      </c>
      <c r="G12" s="4">
        <f>'Base de données indicateurs1'!G8</f>
        <v>6054411.8899999997</v>
      </c>
      <c r="H12" s="4">
        <f>'Base de données indicateurs1'!H8</f>
        <v>4819394.95</v>
      </c>
      <c r="I12" s="4">
        <f>'Base de données indicateurs1'!I8</f>
        <v>24955383</v>
      </c>
      <c r="J12" s="4">
        <f>'Base de données indicateurs1'!J8</f>
        <v>24713296.989999998</v>
      </c>
      <c r="K12" s="4">
        <f>'Base de données indicateurs1'!K8</f>
        <v>11514993.67</v>
      </c>
      <c r="L12" s="4">
        <f>'Base de données indicateurs1'!L8</f>
        <v>146151956.09999999</v>
      </c>
      <c r="M12" s="4">
        <f>'Base de données indicateurs1'!M8</f>
        <v>6829297.8200000003</v>
      </c>
      <c r="N12" s="4">
        <f>'Base de données indicateurs1'!N8</f>
        <v>1044108.48</v>
      </c>
      <c r="O12" s="4">
        <f>'Base de données indicateurs1'!O8</f>
        <v>45801119</v>
      </c>
      <c r="P12" s="4">
        <f>'Base de données indicateurs1'!P8</f>
        <v>3495201.54</v>
      </c>
      <c r="Q12" s="4">
        <f>'Base de données indicateurs1'!Q8</f>
        <v>574956.75</v>
      </c>
      <c r="R12" s="4">
        <f>'Base de données indicateurs1'!R8</f>
        <v>3100133.92</v>
      </c>
      <c r="S12" s="4">
        <f>'Base de données indicateurs1'!S8</f>
        <v>4169598.16</v>
      </c>
      <c r="T12" s="4">
        <f>'Base de données indicateurs1'!T8</f>
        <v>5269530.68</v>
      </c>
      <c r="U12" s="4">
        <f>'Base de données indicateurs1'!U8</f>
        <v>1053712.07</v>
      </c>
      <c r="V12" s="4">
        <f>'Base de données indicateurs1'!V8</f>
        <v>4133437.39</v>
      </c>
      <c r="W12" s="4">
        <f>'Base de données indicateurs1'!W8</f>
        <v>17259552.27</v>
      </c>
      <c r="X12" s="4">
        <f>'Base de données indicateurs1'!X8</f>
        <v>665836</v>
      </c>
      <c r="Y12" s="4">
        <f>'Base de données indicateurs1'!Y8</f>
        <v>10920765.789999999</v>
      </c>
      <c r="Z12" s="4">
        <f>'Base de données indicateurs1'!Z8</f>
        <v>13660696.18</v>
      </c>
      <c r="AA12" s="4">
        <f>'Base de données indicateurs1'!AA8</f>
        <v>841503</v>
      </c>
      <c r="AB12" s="4">
        <f>'Base de données indicateurs1'!AB8</f>
        <v>1355565.94</v>
      </c>
      <c r="AC12" s="4">
        <f>'Base de données indicateurs1'!AC8</f>
        <v>4501281.16</v>
      </c>
      <c r="AD12" s="4">
        <f>'Base de données indicateurs1'!AD8</f>
        <v>7319398.3799999999</v>
      </c>
      <c r="AE12" s="4">
        <f>'Base de données indicateurs1'!AE8</f>
        <v>4025148.31</v>
      </c>
      <c r="AF12" s="4">
        <f>'Base de données indicateurs1'!AF8</f>
        <v>2045263.37</v>
      </c>
      <c r="AG12" s="4">
        <f>'Base de données indicateurs1'!AG8</f>
        <v>7020295.6699999999</v>
      </c>
      <c r="AH12" s="4">
        <f>'Base de données indicateurs1'!AH8</f>
        <v>18244470.899999999</v>
      </c>
      <c r="AI12" s="4">
        <f>'Base de données indicateurs1'!AI8</f>
        <v>1796313.43</v>
      </c>
      <c r="AJ12" s="4">
        <f>'Base de données indicateurs1'!AJ8</f>
        <v>1072034.6499999999</v>
      </c>
      <c r="AK12" s="4">
        <f>'Base de données indicateurs1'!AK8</f>
        <v>18843045</v>
      </c>
      <c r="AL12" s="4">
        <f>'Base de données indicateurs1'!AL8</f>
        <v>10070987.34</v>
      </c>
      <c r="AM12" s="4">
        <f>'Base de données indicateurs1'!AM8</f>
        <v>11888425.890000001</v>
      </c>
      <c r="AN12" s="4">
        <f>'Base de données indicateurs1'!AN8</f>
        <v>1619181.74</v>
      </c>
      <c r="AO12" s="4">
        <f>'Base de données indicateurs1'!AO8</f>
        <v>9669024.3300000001</v>
      </c>
      <c r="AP12" s="4">
        <f>'Base de données indicateurs1'!AP8</f>
        <v>5070636.54</v>
      </c>
      <c r="AQ12" s="4">
        <f>'Base de données indicateurs1'!AQ8</f>
        <v>4144008</v>
      </c>
      <c r="AR12" s="4">
        <f>'Base de données indicateurs1'!AR8</f>
        <v>11559620.699999999</v>
      </c>
      <c r="AS12" s="4">
        <f>'Base de données indicateurs1'!AS8</f>
        <v>5697376.5700000003</v>
      </c>
      <c r="AT12" s="4">
        <f>'Base de données indicateurs1'!AT8</f>
        <v>9161039.7400000002</v>
      </c>
      <c r="AU12" s="4">
        <f>'Base de données indicateurs1'!AU8</f>
        <v>2148930.5699999998</v>
      </c>
      <c r="AV12" s="4">
        <f>'Base de données indicateurs1'!AV8</f>
        <v>13712349.01</v>
      </c>
      <c r="AW12" s="4">
        <f>'Base de données indicateurs1'!AW8</f>
        <v>6198010.5700000003</v>
      </c>
      <c r="AX12" s="4">
        <f>'Base de données indicateurs1'!AX8</f>
        <v>913998</v>
      </c>
      <c r="AY12" s="4">
        <f>'Base de données indicateurs1'!AY8</f>
        <v>2071378.69</v>
      </c>
      <c r="AZ12" s="4">
        <f>'Base de données indicateurs1'!AZ8</f>
        <v>20057446.789999999</v>
      </c>
      <c r="BA12" s="4">
        <f>'Base de données indicateurs1'!BA8</f>
        <v>2088786.85</v>
      </c>
      <c r="BB12" s="4">
        <f>'Base de données indicateurs1'!BB8</f>
        <v>10822262.43</v>
      </c>
      <c r="BC12" s="4">
        <f>'Base de données indicateurs1'!BC8</f>
        <v>305132.06</v>
      </c>
      <c r="BD12" s="4">
        <f>'Base de données indicateurs1'!BD8</f>
        <v>69166529.180000007</v>
      </c>
      <c r="BE12" s="4">
        <f>'Base de données indicateurs1'!BE8</f>
        <v>4285692.38</v>
      </c>
      <c r="BF12" s="4">
        <f>SUM(E12:W12)</f>
        <v>324013703.33999997</v>
      </c>
      <c r="BG12" s="4">
        <f>SUM(X12:AJ12)</f>
        <v>73468572.780000016</v>
      </c>
      <c r="BH12" s="4">
        <f>SUM(AK12:BE12)</f>
        <v>219493862.38</v>
      </c>
    </row>
    <row r="13" spans="1:60" x14ac:dyDescent="0.25">
      <c r="A13" s="96" t="s">
        <v>240</v>
      </c>
      <c r="B13" s="97" t="s">
        <v>226</v>
      </c>
      <c r="C13" s="96">
        <v>10</v>
      </c>
      <c r="D13" s="98">
        <f>'Base de données indicateurs1'!BF5</f>
        <v>330827080.74999988</v>
      </c>
      <c r="E13" s="4">
        <f>'Base de données indicateurs1'!E5</f>
        <v>6215834.75</v>
      </c>
      <c r="F13" s="4">
        <f>'Base de données indicateurs1'!F5</f>
        <v>1141851.18</v>
      </c>
      <c r="G13" s="4">
        <f>'Base de données indicateurs1'!G5</f>
        <v>3560116.59</v>
      </c>
      <c r="H13" s="4">
        <f>'Base de données indicateurs1'!H5</f>
        <v>4665729.1100000003</v>
      </c>
      <c r="I13" s="4">
        <f>'Base de données indicateurs1'!I5</f>
        <v>15358859</v>
      </c>
      <c r="J13" s="4">
        <f>'Base de données indicateurs1'!J5</f>
        <v>8576665.4700000007</v>
      </c>
      <c r="K13" s="4">
        <f>'Base de données indicateurs1'!K5</f>
        <v>10901550.18</v>
      </c>
      <c r="L13" s="4">
        <f>'Base de données indicateurs1'!L5</f>
        <v>50722063</v>
      </c>
      <c r="M13" s="4">
        <f>'Base de données indicateurs1'!M5</f>
        <v>3552476.33</v>
      </c>
      <c r="N13" s="4">
        <f>'Base de données indicateurs1'!N5</f>
        <v>387086.74</v>
      </c>
      <c r="O13" s="4">
        <f>'Base de données indicateurs1'!O5</f>
        <v>18670168.030000001</v>
      </c>
      <c r="P13" s="4">
        <f>'Base de données indicateurs1'!P5</f>
        <v>2335602.86</v>
      </c>
      <c r="Q13" s="4">
        <f>'Base de données indicateurs1'!Q5</f>
        <v>533749.43999999994</v>
      </c>
      <c r="R13" s="4">
        <f>'Base de données indicateurs1'!R5</f>
        <v>1346191.77</v>
      </c>
      <c r="S13" s="4">
        <f>'Base de données indicateurs1'!S5</f>
        <v>2420446.7000000002</v>
      </c>
      <c r="T13" s="4">
        <f>'Base de données indicateurs1'!T5</f>
        <v>5477916.4500000002</v>
      </c>
      <c r="U13" s="4">
        <f>'Base de données indicateurs1'!U5</f>
        <v>758188.35</v>
      </c>
      <c r="V13" s="4">
        <f>'Base de données indicateurs1'!V5</f>
        <v>2180801.88</v>
      </c>
      <c r="W13" s="4">
        <f>'Base de données indicateurs1'!W5</f>
        <v>6432633.5</v>
      </c>
      <c r="X13" s="4">
        <f>'Base de données indicateurs1'!X5</f>
        <v>1924600</v>
      </c>
      <c r="Y13" s="4">
        <f>'Base de données indicateurs1'!Y5</f>
        <v>4480522.83</v>
      </c>
      <c r="Z13" s="4">
        <f>'Base de données indicateurs1'!Z5</f>
        <v>24040991.960000001</v>
      </c>
      <c r="AA13" s="4">
        <f>'Base de données indicateurs1'!AA5</f>
        <v>767484.1</v>
      </c>
      <c r="AB13" s="4">
        <f>'Base de données indicateurs1'!AB5</f>
        <v>1679089.31</v>
      </c>
      <c r="AC13" s="4">
        <f>'Base de données indicateurs1'!AC5</f>
        <v>3151827.65</v>
      </c>
      <c r="AD13" s="4">
        <f>'Base de données indicateurs1'!AD5</f>
        <v>2703468.09</v>
      </c>
      <c r="AE13" s="4">
        <f>'Base de données indicateurs1'!AE5</f>
        <v>2598603.84</v>
      </c>
      <c r="AF13" s="4">
        <f>'Base de données indicateurs1'!AF5</f>
        <v>4859272.7300000004</v>
      </c>
      <c r="AG13" s="4">
        <f>'Base de données indicateurs1'!AG5</f>
        <v>8453727.2599999998</v>
      </c>
      <c r="AH13" s="4">
        <f>'Base de données indicateurs1'!AH5</f>
        <v>9931261.6699999999</v>
      </c>
      <c r="AI13" s="4">
        <f>'Base de données indicateurs1'!AI5</f>
        <v>1884581.56</v>
      </c>
      <c r="AJ13" s="4">
        <f>'Base de données indicateurs1'!AJ5</f>
        <v>2077662.84</v>
      </c>
      <c r="AK13" s="4">
        <f>'Base de données indicateurs1'!AK5</f>
        <v>6066530.1399999997</v>
      </c>
      <c r="AL13" s="4">
        <f>'Base de données indicateurs1'!AL5</f>
        <v>5775298.5199999996</v>
      </c>
      <c r="AM13" s="4">
        <f>'Base de données indicateurs1'!AM5</f>
        <v>5469328.1600000001</v>
      </c>
      <c r="AN13" s="4">
        <f>'Base de données indicateurs1'!AN5</f>
        <v>1688154.88</v>
      </c>
      <c r="AO13" s="4">
        <f>'Base de données indicateurs1'!AO5</f>
        <v>13922324.970000001</v>
      </c>
      <c r="AP13" s="4">
        <f>'Base de données indicateurs1'!AP5</f>
        <v>3675736.55</v>
      </c>
      <c r="AQ13" s="4">
        <f>'Base de données indicateurs1'!AQ5</f>
        <v>2883653</v>
      </c>
      <c r="AR13" s="4">
        <f>'Base de données indicateurs1'!AR5</f>
        <v>11869488.51</v>
      </c>
      <c r="AS13" s="4">
        <f>'Base de données indicateurs1'!AS5</f>
        <v>2610512.23</v>
      </c>
      <c r="AT13" s="4">
        <f>'Base de données indicateurs1'!AT5</f>
        <v>4064289.31</v>
      </c>
      <c r="AU13" s="4">
        <f>'Base de données indicateurs1'!AU5</f>
        <v>3238914.92</v>
      </c>
      <c r="AV13" s="4">
        <f>'Base de données indicateurs1'!AV5</f>
        <v>5993608.2599999998</v>
      </c>
      <c r="AW13" s="4">
        <f>'Base de données indicateurs1'!AW5</f>
        <v>3392744.83</v>
      </c>
      <c r="AX13" s="4">
        <f>'Base de données indicateurs1'!AX5</f>
        <v>734999</v>
      </c>
      <c r="AY13" s="4">
        <f>'Base de données indicateurs1'!AY5</f>
        <v>2708714.28</v>
      </c>
      <c r="AZ13" s="4">
        <f>'Base de données indicateurs1'!AZ5</f>
        <v>4744472.3600000003</v>
      </c>
      <c r="BA13" s="4">
        <f>'Base de données indicateurs1'!BA5</f>
        <v>2973001.33</v>
      </c>
      <c r="BB13" s="4">
        <f>'Base de données indicateurs1'!BB5</f>
        <v>4994920.1399999997</v>
      </c>
      <c r="BC13" s="4">
        <f>'Base de données indicateurs1'!BC5</f>
        <v>881392.45</v>
      </c>
      <c r="BD13" s="4">
        <f>'Base de données indicateurs1'!BD5</f>
        <v>27043126.07</v>
      </c>
      <c r="BE13" s="4">
        <f>'Base de données indicateurs1'!BE5</f>
        <v>2304845.67</v>
      </c>
      <c r="BF13" s="4">
        <f t="shared" ref="BF13:BF46" si="0">SUM(E13:W13)</f>
        <v>145237931.32999998</v>
      </c>
      <c r="BG13" s="4">
        <f t="shared" ref="BG13:BG46" si="1">SUM(X13:AJ13)</f>
        <v>68553093.840000004</v>
      </c>
      <c r="BH13" s="4">
        <f t="shared" ref="BH13:BH46" si="2">SUM(AK13:BE13)</f>
        <v>117036055.58</v>
      </c>
    </row>
    <row r="14" spans="1:60" ht="15.75" thickBot="1" x14ac:dyDescent="0.3">
      <c r="B14" s="99"/>
      <c r="D14" s="4"/>
      <c r="BF14" s="4"/>
      <c r="BG14" s="4"/>
      <c r="BH14" s="4"/>
    </row>
    <row r="15" spans="1:60" ht="15.75" thickBot="1" x14ac:dyDescent="0.3">
      <c r="A15" s="7" t="s">
        <v>498</v>
      </c>
      <c r="B15" s="52"/>
      <c r="C15" s="7"/>
      <c r="D15" s="100">
        <f>D12-D13</f>
        <v>286149057.75</v>
      </c>
      <c r="E15" s="4">
        <f>E12-E13</f>
        <v>4381758.7100000009</v>
      </c>
      <c r="F15" s="4">
        <f t="shared" ref="F15:BE15" si="3">F12-F13</f>
        <v>1334174.0200000003</v>
      </c>
      <c r="G15" s="4">
        <f t="shared" si="3"/>
        <v>2494295.2999999998</v>
      </c>
      <c r="H15" s="4">
        <f t="shared" si="3"/>
        <v>153665.83999999985</v>
      </c>
      <c r="I15" s="4">
        <f t="shared" si="3"/>
        <v>9596524</v>
      </c>
      <c r="J15" s="4">
        <f t="shared" si="3"/>
        <v>16136631.519999998</v>
      </c>
      <c r="K15" s="4">
        <f t="shared" si="3"/>
        <v>613443.49000000022</v>
      </c>
      <c r="L15" s="4">
        <f t="shared" si="3"/>
        <v>95429893.099999994</v>
      </c>
      <c r="M15" s="4">
        <f t="shared" si="3"/>
        <v>3276821.49</v>
      </c>
      <c r="N15" s="4">
        <f t="shared" si="3"/>
        <v>657021.74</v>
      </c>
      <c r="O15" s="4">
        <f t="shared" si="3"/>
        <v>27130950.969999999</v>
      </c>
      <c r="P15" s="4">
        <f t="shared" si="3"/>
        <v>1159598.6800000002</v>
      </c>
      <c r="Q15" s="4">
        <f t="shared" si="3"/>
        <v>41207.310000000056</v>
      </c>
      <c r="R15" s="4">
        <f t="shared" si="3"/>
        <v>1753942.15</v>
      </c>
      <c r="S15" s="4">
        <f t="shared" si="3"/>
        <v>1749151.46</v>
      </c>
      <c r="T15" s="4">
        <f t="shared" si="3"/>
        <v>-208385.77000000048</v>
      </c>
      <c r="U15" s="4">
        <f t="shared" si="3"/>
        <v>295523.72000000009</v>
      </c>
      <c r="V15" s="4">
        <f t="shared" si="3"/>
        <v>1952635.5100000002</v>
      </c>
      <c r="W15" s="4">
        <f t="shared" si="3"/>
        <v>10826918.77</v>
      </c>
      <c r="X15" s="4">
        <f t="shared" si="3"/>
        <v>-1258764</v>
      </c>
      <c r="Y15" s="4">
        <f t="shared" si="3"/>
        <v>6440242.959999999</v>
      </c>
      <c r="Z15" s="4">
        <f t="shared" si="3"/>
        <v>-10380295.780000001</v>
      </c>
      <c r="AA15" s="4">
        <f t="shared" si="3"/>
        <v>74018.900000000023</v>
      </c>
      <c r="AB15" s="4">
        <f t="shared" si="3"/>
        <v>-323523.37000000011</v>
      </c>
      <c r="AC15" s="4">
        <f t="shared" si="3"/>
        <v>1349453.5100000002</v>
      </c>
      <c r="AD15" s="4">
        <f t="shared" si="3"/>
        <v>4615930.29</v>
      </c>
      <c r="AE15" s="4">
        <f t="shared" si="3"/>
        <v>1426544.4700000002</v>
      </c>
      <c r="AF15" s="4">
        <f t="shared" si="3"/>
        <v>-2814009.3600000003</v>
      </c>
      <c r="AG15" s="4">
        <f t="shared" si="3"/>
        <v>-1433431.5899999999</v>
      </c>
      <c r="AH15" s="4">
        <f t="shared" si="3"/>
        <v>8313209.2299999986</v>
      </c>
      <c r="AI15" s="4">
        <f t="shared" si="3"/>
        <v>-88268.130000000121</v>
      </c>
      <c r="AJ15" s="4">
        <f t="shared" si="3"/>
        <v>-1005628.1900000002</v>
      </c>
      <c r="AK15" s="4">
        <f t="shared" si="3"/>
        <v>12776514.859999999</v>
      </c>
      <c r="AL15" s="4">
        <f t="shared" si="3"/>
        <v>4295688.82</v>
      </c>
      <c r="AM15" s="4">
        <f t="shared" si="3"/>
        <v>6419097.7300000004</v>
      </c>
      <c r="AN15" s="4">
        <f t="shared" si="3"/>
        <v>-68973.139999999898</v>
      </c>
      <c r="AO15" s="4">
        <f t="shared" si="3"/>
        <v>-4253300.6400000006</v>
      </c>
      <c r="AP15" s="4">
        <f t="shared" si="3"/>
        <v>1394899.9900000002</v>
      </c>
      <c r="AQ15" s="4">
        <f t="shared" si="3"/>
        <v>1260355</v>
      </c>
      <c r="AR15" s="4">
        <f t="shared" si="3"/>
        <v>-309867.81000000052</v>
      </c>
      <c r="AS15" s="4">
        <f t="shared" si="3"/>
        <v>3086864.3400000003</v>
      </c>
      <c r="AT15" s="4">
        <f t="shared" si="3"/>
        <v>5096750.43</v>
      </c>
      <c r="AU15" s="4">
        <f t="shared" si="3"/>
        <v>-1089984.3500000001</v>
      </c>
      <c r="AV15" s="4">
        <f t="shared" si="3"/>
        <v>7718740.75</v>
      </c>
      <c r="AW15" s="4">
        <f t="shared" si="3"/>
        <v>2805265.74</v>
      </c>
      <c r="AX15" s="4">
        <f t="shared" si="3"/>
        <v>178999</v>
      </c>
      <c r="AY15" s="4">
        <f t="shared" si="3"/>
        <v>-637335.58999999985</v>
      </c>
      <c r="AZ15" s="4">
        <f t="shared" si="3"/>
        <v>15312974.43</v>
      </c>
      <c r="BA15" s="4">
        <f t="shared" si="3"/>
        <v>-884214.48</v>
      </c>
      <c r="BB15" s="4">
        <f t="shared" si="3"/>
        <v>5827342.29</v>
      </c>
      <c r="BC15" s="4">
        <f t="shared" si="3"/>
        <v>-576260.3899999999</v>
      </c>
      <c r="BD15" s="4">
        <f t="shared" si="3"/>
        <v>42123403.110000007</v>
      </c>
      <c r="BE15" s="4">
        <f t="shared" si="3"/>
        <v>1980846.71</v>
      </c>
      <c r="BF15" s="4">
        <f t="shared" si="0"/>
        <v>178775772.00999999</v>
      </c>
      <c r="BG15" s="4">
        <f t="shared" si="1"/>
        <v>4915478.9399999967</v>
      </c>
      <c r="BH15" s="4">
        <f t="shared" si="2"/>
        <v>102457806.8</v>
      </c>
    </row>
    <row r="16" spans="1:60" ht="15.75" thickBot="1" x14ac:dyDescent="0.3">
      <c r="B16" s="99"/>
      <c r="D16" s="4"/>
      <c r="BF16" s="4"/>
      <c r="BG16" s="4"/>
      <c r="BH16" s="4"/>
    </row>
    <row r="17" spans="1:60" ht="15.75" thickBot="1" x14ac:dyDescent="0.3">
      <c r="A17" s="7" t="s">
        <v>543</v>
      </c>
      <c r="B17" s="99"/>
      <c r="D17" s="116">
        <f>'Base de données indicateurs1'!BF2</f>
        <v>73798</v>
      </c>
      <c r="E17" s="1">
        <f>E10</f>
        <v>947</v>
      </c>
      <c r="F17" s="1">
        <f t="shared" ref="F17:BE17" si="4">F10</f>
        <v>265</v>
      </c>
      <c r="G17" s="1">
        <f t="shared" si="4"/>
        <v>469</v>
      </c>
      <c r="H17" s="1">
        <f t="shared" si="4"/>
        <v>439</v>
      </c>
      <c r="I17" s="1">
        <f t="shared" si="4"/>
        <v>3728</v>
      </c>
      <c r="J17" s="1">
        <f t="shared" si="4"/>
        <v>3345</v>
      </c>
      <c r="K17" s="1">
        <f t="shared" si="4"/>
        <v>2652</v>
      </c>
      <c r="L17" s="1">
        <f t="shared" si="4"/>
        <v>12479</v>
      </c>
      <c r="M17" s="1">
        <f t="shared" si="4"/>
        <v>1359</v>
      </c>
      <c r="N17" s="1">
        <f t="shared" si="4"/>
        <v>117</v>
      </c>
      <c r="O17" s="1">
        <f t="shared" si="4"/>
        <v>7261</v>
      </c>
      <c r="P17" s="1">
        <f t="shared" si="4"/>
        <v>538</v>
      </c>
      <c r="Q17" s="1">
        <f t="shared" si="4"/>
        <v>111</v>
      </c>
      <c r="R17" s="1">
        <f t="shared" si="4"/>
        <v>421</v>
      </c>
      <c r="S17" s="1">
        <f t="shared" si="4"/>
        <v>346</v>
      </c>
      <c r="T17" s="1">
        <f t="shared" si="4"/>
        <v>710</v>
      </c>
      <c r="U17" s="1">
        <f t="shared" si="4"/>
        <v>269</v>
      </c>
      <c r="V17" s="1">
        <f t="shared" si="4"/>
        <v>440</v>
      </c>
      <c r="W17" s="1">
        <f t="shared" si="4"/>
        <v>3229</v>
      </c>
      <c r="X17" s="1">
        <f t="shared" si="4"/>
        <v>310</v>
      </c>
      <c r="Y17" s="1">
        <f t="shared" si="4"/>
        <v>1270</v>
      </c>
      <c r="Z17" s="1">
        <f t="shared" si="4"/>
        <v>1506</v>
      </c>
      <c r="AA17" s="1">
        <f t="shared" si="4"/>
        <v>96</v>
      </c>
      <c r="AB17" s="1">
        <f t="shared" si="4"/>
        <v>148</v>
      </c>
      <c r="AC17" s="1">
        <f t="shared" si="4"/>
        <v>518</v>
      </c>
      <c r="AD17" s="1">
        <f t="shared" si="4"/>
        <v>701</v>
      </c>
      <c r="AE17" s="1">
        <f t="shared" si="4"/>
        <v>564</v>
      </c>
      <c r="AF17" s="1">
        <f t="shared" si="4"/>
        <v>525</v>
      </c>
      <c r="AG17" s="1">
        <f t="shared" si="4"/>
        <v>1909</v>
      </c>
      <c r="AH17" s="1">
        <f t="shared" si="4"/>
        <v>2580</v>
      </c>
      <c r="AI17" s="1">
        <f t="shared" si="4"/>
        <v>222</v>
      </c>
      <c r="AJ17" s="1">
        <f t="shared" si="4"/>
        <v>129</v>
      </c>
      <c r="AK17" s="1">
        <f t="shared" si="4"/>
        <v>1891</v>
      </c>
      <c r="AL17" s="1">
        <f t="shared" si="4"/>
        <v>1126</v>
      </c>
      <c r="AM17" s="1">
        <f t="shared" si="4"/>
        <v>1225</v>
      </c>
      <c r="AN17" s="1">
        <f t="shared" si="4"/>
        <v>117</v>
      </c>
      <c r="AO17" s="1">
        <f t="shared" si="4"/>
        <v>1185</v>
      </c>
      <c r="AP17" s="1">
        <f t="shared" si="4"/>
        <v>642</v>
      </c>
      <c r="AQ17" s="1">
        <f t="shared" si="4"/>
        <v>633</v>
      </c>
      <c r="AR17" s="1">
        <f t="shared" si="4"/>
        <v>1284</v>
      </c>
      <c r="AS17" s="1">
        <f t="shared" si="4"/>
        <v>731</v>
      </c>
      <c r="AT17" s="1">
        <f t="shared" si="4"/>
        <v>1016</v>
      </c>
      <c r="AU17" s="1">
        <f t="shared" si="4"/>
        <v>304</v>
      </c>
      <c r="AV17" s="1">
        <f t="shared" si="4"/>
        <v>2412</v>
      </c>
      <c r="AW17" s="1">
        <f t="shared" si="4"/>
        <v>735</v>
      </c>
      <c r="AX17" s="1">
        <f t="shared" si="4"/>
        <v>185</v>
      </c>
      <c r="AY17" s="1">
        <f t="shared" si="4"/>
        <v>340</v>
      </c>
      <c r="AZ17" s="1">
        <f t="shared" si="4"/>
        <v>1697</v>
      </c>
      <c r="BA17" s="1">
        <f t="shared" si="4"/>
        <v>390</v>
      </c>
      <c r="BB17" s="1">
        <f t="shared" si="4"/>
        <v>1073</v>
      </c>
      <c r="BC17" s="1">
        <f t="shared" si="4"/>
        <v>184</v>
      </c>
      <c r="BD17" s="1">
        <f t="shared" si="4"/>
        <v>6466</v>
      </c>
      <c r="BE17" s="1">
        <f t="shared" si="4"/>
        <v>559</v>
      </c>
      <c r="BF17" s="4">
        <f t="shared" si="0"/>
        <v>39125</v>
      </c>
      <c r="BG17" s="4">
        <f t="shared" si="1"/>
        <v>10478</v>
      </c>
      <c r="BH17" s="4">
        <f t="shared" si="2"/>
        <v>24195</v>
      </c>
    </row>
    <row r="18" spans="1:60" ht="15.75" thickBot="1" x14ac:dyDescent="0.3">
      <c r="A18" s="102"/>
      <c r="B18" s="99"/>
      <c r="D18" s="4"/>
      <c r="BF18" s="4"/>
      <c r="BG18" s="4"/>
      <c r="BH18" s="4"/>
    </row>
    <row r="19" spans="1:60" ht="15.75" thickBot="1" x14ac:dyDescent="0.3">
      <c r="A19" s="7" t="s">
        <v>544</v>
      </c>
      <c r="B19" s="99"/>
      <c r="D19" s="100">
        <f>IF(D17="","",D15/D17)</f>
        <v>3877.4635864115558</v>
      </c>
      <c r="E19" s="118">
        <f>IF(E17="","",E15/E17)</f>
        <v>4626.9891341077091</v>
      </c>
      <c r="F19" s="4">
        <f t="shared" ref="F19:BH19" si="5">IF(F17="","",F15/F17)</f>
        <v>5034.6189433962272</v>
      </c>
      <c r="G19" s="4">
        <f t="shared" si="5"/>
        <v>5318.3268656716418</v>
      </c>
      <c r="H19" s="4">
        <f t="shared" si="5"/>
        <v>350.03608200455545</v>
      </c>
      <c r="I19" s="4">
        <f t="shared" si="5"/>
        <v>2574.1748927038625</v>
      </c>
      <c r="J19" s="4">
        <f t="shared" si="5"/>
        <v>4824.1050881913297</v>
      </c>
      <c r="K19" s="4">
        <f t="shared" si="5"/>
        <v>231.31353318250385</v>
      </c>
      <c r="L19" s="4">
        <f t="shared" si="5"/>
        <v>7647.2388091994544</v>
      </c>
      <c r="M19" s="4">
        <f t="shared" si="5"/>
        <v>2411.2005077262693</v>
      </c>
      <c r="N19" s="4">
        <f t="shared" si="5"/>
        <v>5615.5704273504271</v>
      </c>
      <c r="O19" s="4">
        <f t="shared" si="5"/>
        <v>3736.5309144745902</v>
      </c>
      <c r="P19" s="4">
        <f t="shared" si="5"/>
        <v>2155.3878810408924</v>
      </c>
      <c r="Q19" s="4">
        <f t="shared" si="5"/>
        <v>371.23702702702752</v>
      </c>
      <c r="R19" s="4">
        <f t="shared" si="5"/>
        <v>4166.1333729216149</v>
      </c>
      <c r="S19" s="4">
        <f t="shared" si="5"/>
        <v>5055.3510404624276</v>
      </c>
      <c r="T19" s="4">
        <f t="shared" si="5"/>
        <v>-293.50108450704295</v>
      </c>
      <c r="U19" s="4">
        <f t="shared" si="5"/>
        <v>1098.6011895910783</v>
      </c>
      <c r="V19" s="4">
        <f t="shared" si="5"/>
        <v>4437.8079772727278</v>
      </c>
      <c r="W19" s="4">
        <f t="shared" si="5"/>
        <v>3353.0253236296066</v>
      </c>
      <c r="X19" s="4">
        <f t="shared" si="5"/>
        <v>-4060.5290322580645</v>
      </c>
      <c r="Y19" s="4">
        <f t="shared" si="5"/>
        <v>5071.0574488188968</v>
      </c>
      <c r="Z19" s="4">
        <f t="shared" si="5"/>
        <v>-6892.6266799468804</v>
      </c>
      <c r="AA19" s="4">
        <f t="shared" si="5"/>
        <v>771.03020833333358</v>
      </c>
      <c r="AB19" s="4">
        <f t="shared" si="5"/>
        <v>-2185.9687162162168</v>
      </c>
      <c r="AC19" s="4">
        <f t="shared" si="5"/>
        <v>2605.1226061776065</v>
      </c>
      <c r="AD19" s="4">
        <f t="shared" si="5"/>
        <v>6584.7793009985735</v>
      </c>
      <c r="AE19" s="4">
        <f t="shared" si="5"/>
        <v>2529.334166666667</v>
      </c>
      <c r="AF19" s="4">
        <f t="shared" si="5"/>
        <v>-5360.0178285714292</v>
      </c>
      <c r="AG19" s="4">
        <f t="shared" si="5"/>
        <v>-750.88087480356205</v>
      </c>
      <c r="AH19" s="4">
        <f t="shared" si="5"/>
        <v>3222.1741201550381</v>
      </c>
      <c r="AI19" s="4">
        <f t="shared" si="5"/>
        <v>-397.60418918918975</v>
      </c>
      <c r="AJ19" s="4">
        <f t="shared" si="5"/>
        <v>-7795.5673643410864</v>
      </c>
      <c r="AK19" s="4">
        <f t="shared" si="5"/>
        <v>6756.4859122157586</v>
      </c>
      <c r="AL19" s="4">
        <f t="shared" si="5"/>
        <v>3814.9989520426288</v>
      </c>
      <c r="AM19" s="4">
        <f t="shared" si="5"/>
        <v>5240.079779591837</v>
      </c>
      <c r="AN19" s="4">
        <f t="shared" si="5"/>
        <v>-589.51401709401625</v>
      </c>
      <c r="AO19" s="4">
        <f t="shared" si="5"/>
        <v>-3589.2832405063295</v>
      </c>
      <c r="AP19" s="4">
        <f t="shared" si="5"/>
        <v>2172.7414174454834</v>
      </c>
      <c r="AQ19" s="4">
        <f t="shared" si="5"/>
        <v>1991.08214849921</v>
      </c>
      <c r="AR19" s="4">
        <f t="shared" si="5"/>
        <v>-241.33007009345835</v>
      </c>
      <c r="AS19" s="4">
        <f t="shared" si="5"/>
        <v>4222.7966347469228</v>
      </c>
      <c r="AT19" s="4">
        <f t="shared" si="5"/>
        <v>5016.4866437007868</v>
      </c>
      <c r="AU19" s="4">
        <f t="shared" si="5"/>
        <v>-3585.4748355263159</v>
      </c>
      <c r="AV19" s="4">
        <f t="shared" si="5"/>
        <v>3200.1412728026535</v>
      </c>
      <c r="AW19" s="4">
        <f t="shared" si="5"/>
        <v>3816.6880816326534</v>
      </c>
      <c r="AX19" s="4">
        <f t="shared" si="5"/>
        <v>967.56216216216217</v>
      </c>
      <c r="AY19" s="4">
        <f t="shared" si="5"/>
        <v>-1874.5164411764702</v>
      </c>
      <c r="AZ19" s="4">
        <f t="shared" si="5"/>
        <v>9023.5559398939295</v>
      </c>
      <c r="BA19" s="4">
        <f t="shared" si="5"/>
        <v>-2267.2166153846151</v>
      </c>
      <c r="BB19" s="4">
        <f t="shared" si="5"/>
        <v>5430.8875023299161</v>
      </c>
      <c r="BC19" s="4">
        <f t="shared" si="5"/>
        <v>-3131.8499456521736</v>
      </c>
      <c r="BD19" s="4">
        <f t="shared" si="5"/>
        <v>6514.5999242189928</v>
      </c>
      <c r="BE19" s="4">
        <f t="shared" si="5"/>
        <v>3543.5540429338103</v>
      </c>
      <c r="BF19" s="4">
        <f t="shared" si="5"/>
        <v>4569.3488053674118</v>
      </c>
      <c r="BG19" s="4">
        <f t="shared" si="5"/>
        <v>469.12377743844212</v>
      </c>
      <c r="BH19" s="4">
        <f t="shared" si="5"/>
        <v>4234.6686009506093</v>
      </c>
    </row>
    <row r="20" spans="1:60" x14ac:dyDescent="0.25">
      <c r="A20" s="102" t="s">
        <v>545</v>
      </c>
      <c r="B20" s="99"/>
      <c r="D20" s="4"/>
      <c r="BF20" s="4"/>
      <c r="BG20" s="4"/>
      <c r="BH20" s="4"/>
    </row>
    <row r="21" spans="1:60" x14ac:dyDescent="0.25">
      <c r="A21" s="102"/>
      <c r="B21" s="99"/>
      <c r="D21" s="4"/>
      <c r="BF21" s="4"/>
      <c r="BG21" s="4"/>
      <c r="BH21" s="4"/>
    </row>
    <row r="22" spans="1:60" x14ac:dyDescent="0.25">
      <c r="A22" s="7" t="s">
        <v>546</v>
      </c>
      <c r="B22" s="92"/>
      <c r="C22" s="53" t="s">
        <v>496</v>
      </c>
      <c r="D22" s="106" t="s">
        <v>497</v>
      </c>
      <c r="BF22" s="4"/>
      <c r="BG22" s="4"/>
      <c r="BH22" s="4"/>
    </row>
    <row r="23" spans="1:60" ht="15.75" thickBot="1" x14ac:dyDescent="0.3">
      <c r="B23" s="92"/>
      <c r="D23" s="4"/>
      <c r="BF23" s="4"/>
      <c r="BG23" s="4"/>
      <c r="BH23" s="4"/>
    </row>
    <row r="24" spans="1:60" ht="15.75" thickBot="1" x14ac:dyDescent="0.3">
      <c r="A24" s="7" t="s">
        <v>547</v>
      </c>
      <c r="D24" s="100">
        <f>'Endett. net + degré d''auto.'!D41</f>
        <v>26807544.799999997</v>
      </c>
      <c r="E24" s="4">
        <f>'Endett. net + degré d''auto.'!E41</f>
        <v>94706.91</v>
      </c>
      <c r="F24" s="4">
        <f>'Endett. net + degré d''auto.'!F41</f>
        <v>48899.03</v>
      </c>
      <c r="G24" s="4">
        <f>'Endett. net + degré d''auto.'!G41</f>
        <v>-36646.30000000001</v>
      </c>
      <c r="H24" s="4">
        <f>'Endett. net + degré d''auto.'!H41</f>
        <v>83101.33</v>
      </c>
      <c r="I24" s="4">
        <f>'Endett. net + degré d''auto.'!I41</f>
        <v>1519690</v>
      </c>
      <c r="J24" s="4">
        <f>'Endett. net + degré d''auto.'!J41</f>
        <v>1383163.64</v>
      </c>
      <c r="K24" s="4">
        <f>'Endett. net + degré d''auto.'!K41</f>
        <v>612446.94000000006</v>
      </c>
      <c r="L24" s="4">
        <f>'Endett. net + degré d''auto.'!L41</f>
        <v>730866.04999999958</v>
      </c>
      <c r="M24" s="4">
        <f>'Endett. net + degré d''auto.'!M41</f>
        <v>577330.07000000007</v>
      </c>
      <c r="N24" s="4">
        <f>'Endett. net + degré d''auto.'!N41</f>
        <v>47174.29</v>
      </c>
      <c r="O24" s="4">
        <f>'Endett. net + degré d''auto.'!O41</f>
        <v>2657075.1500000004</v>
      </c>
      <c r="P24" s="4">
        <f>'Endett. net + degré d''auto.'!P41</f>
        <v>111432.7</v>
      </c>
      <c r="Q24" s="4">
        <f>'Endett. net + degré d''auto.'!Q41</f>
        <v>-13517.060000000001</v>
      </c>
      <c r="R24" s="4">
        <f>'Endett. net + degré d''auto.'!R41</f>
        <v>128421.27</v>
      </c>
      <c r="S24" s="4">
        <f>'Endett. net + degré d''auto.'!S41</f>
        <v>23997.229999999989</v>
      </c>
      <c r="T24" s="4">
        <f>'Endett. net + degré d''auto.'!T41</f>
        <v>428659.8</v>
      </c>
      <c r="U24" s="4">
        <f>'Endett. net + degré d''auto.'!U41</f>
        <v>39591.539999999994</v>
      </c>
      <c r="V24" s="4">
        <f>'Endett. net + degré d''auto.'!V41</f>
        <v>-176839.61999999997</v>
      </c>
      <c r="W24" s="4">
        <f>'Endett. net + degré d''auto.'!W41</f>
        <v>1790710.52</v>
      </c>
      <c r="X24" s="4">
        <f>'Endett. net + degré d''auto.'!X41</f>
        <v>242105.08</v>
      </c>
      <c r="Y24" s="4">
        <f>'Endett. net + degré d''auto.'!Y41</f>
        <v>1907089.9100000001</v>
      </c>
      <c r="Z24" s="4">
        <f>'Endett. net + degré d''auto.'!Z41</f>
        <v>1391229.3599999999</v>
      </c>
      <c r="AA24" s="4">
        <f>'Endett. net + degré d''auto.'!AA41</f>
        <v>62173.11</v>
      </c>
      <c r="AB24" s="4">
        <f>'Endett. net + degré d''auto.'!AB41</f>
        <v>-25602.739999999998</v>
      </c>
      <c r="AC24" s="4">
        <f>'Endett. net + degré d''auto.'!AC41</f>
        <v>-237001.88</v>
      </c>
      <c r="AD24" s="4">
        <f>'Endett. net + degré d''auto.'!AD41</f>
        <v>193252.77</v>
      </c>
      <c r="AE24" s="4">
        <f>'Endett. net + degré d''auto.'!AE41</f>
        <v>1259.4700000000071</v>
      </c>
      <c r="AF24" s="4">
        <f>'Endett. net + degré d''auto.'!AF41</f>
        <v>-68961.530000000028</v>
      </c>
      <c r="AG24" s="4">
        <f>'Endett. net + degré d''auto.'!AG41</f>
        <v>1583096.49</v>
      </c>
      <c r="AH24" s="4">
        <f>'Endett. net + degré d''auto.'!AH41</f>
        <v>1454373.33</v>
      </c>
      <c r="AI24" s="4">
        <f>'Endett. net + degré d''auto.'!AI41</f>
        <v>105011.49999999999</v>
      </c>
      <c r="AJ24" s="4">
        <f>'Endett. net + degré d''auto.'!AJ41</f>
        <v>48031.8</v>
      </c>
      <c r="AK24" s="4">
        <f>'Endett. net + degré d''auto.'!AK41</f>
        <v>1587700.44</v>
      </c>
      <c r="AL24" s="4">
        <f>'Endett. net + degré d''auto.'!AL41</f>
        <v>409090</v>
      </c>
      <c r="AM24" s="4">
        <f>'Endett. net + degré d''auto.'!AM41</f>
        <v>357901.44999999995</v>
      </c>
      <c r="AN24" s="4">
        <f>'Endett. net + degré d''auto.'!AN41</f>
        <v>36118.969999999994</v>
      </c>
      <c r="AO24" s="4">
        <f>'Endett. net + degré d''auto.'!AO41</f>
        <v>1582605.26</v>
      </c>
      <c r="AP24" s="4">
        <f>'Endett. net + degré d''auto.'!AP41</f>
        <v>294500.44000000006</v>
      </c>
      <c r="AQ24" s="4">
        <f>'Endett. net + degré d''auto.'!AQ41</f>
        <v>267147</v>
      </c>
      <c r="AR24" s="4">
        <f>'Endett. net + degré d''auto.'!AR41</f>
        <v>559842.39</v>
      </c>
      <c r="AS24" s="4">
        <f>'Endett. net + degré d''auto.'!AS41</f>
        <v>501228.54000000004</v>
      </c>
      <c r="AT24" s="4">
        <f>'Endett. net + degré d''auto.'!AT41</f>
        <v>262573.99</v>
      </c>
      <c r="AU24" s="4">
        <f>'Endett. net + degré d''auto.'!AU41</f>
        <v>-652677.78</v>
      </c>
      <c r="AV24" s="4">
        <f>'Endett. net + degré d''auto.'!AV41</f>
        <v>842520.29000000015</v>
      </c>
      <c r="AW24" s="4">
        <f>'Endett. net + degré d''auto.'!AW41</f>
        <v>451120.22000000003</v>
      </c>
      <c r="AX24" s="4">
        <f>'Endett. net + degré d''auto.'!AX41</f>
        <v>-17550.759999999998</v>
      </c>
      <c r="AY24" s="4">
        <f>'Endett. net + degré d''auto.'!AY41</f>
        <v>88780.56</v>
      </c>
      <c r="AZ24" s="4">
        <f>'Endett. net + degré d''auto.'!AZ41</f>
        <v>844453.94000000006</v>
      </c>
      <c r="BA24" s="4">
        <f>'Endett. net + degré d''auto.'!BA41</f>
        <v>14489.59</v>
      </c>
      <c r="BB24" s="4">
        <f>'Endett. net + degré d''auto.'!BB41</f>
        <v>487593.17</v>
      </c>
      <c r="BC24" s="4">
        <f>'Endett. net + degré d''auto.'!BC41</f>
        <v>65621.279999999999</v>
      </c>
      <c r="BD24" s="4">
        <f>'Endett. net + degré d''auto.'!BD41</f>
        <v>1880440.14</v>
      </c>
      <c r="BE24" s="4">
        <f>'Endett. net + degré d''auto.'!BE41</f>
        <v>237725.51</v>
      </c>
      <c r="BF24" s="4">
        <f t="shared" si="0"/>
        <v>10050263.49</v>
      </c>
      <c r="BG24" s="4">
        <f t="shared" si="1"/>
        <v>6656056.6699999999</v>
      </c>
      <c r="BH24" s="4">
        <f t="shared" si="2"/>
        <v>10101224.640000001</v>
      </c>
    </row>
    <row r="25" spans="1:60" ht="15.75" thickBot="1" x14ac:dyDescent="0.3">
      <c r="A25" s="7"/>
      <c r="D25" s="4"/>
      <c r="BF25" s="4"/>
      <c r="BG25" s="4"/>
      <c r="BH25" s="4"/>
    </row>
    <row r="26" spans="1:60" ht="15.75" thickBot="1" x14ac:dyDescent="0.3">
      <c r="A26" s="7" t="s">
        <v>521</v>
      </c>
      <c r="D26" s="100">
        <f>'Quotité d''intéret + revenus det'!D23</f>
        <v>361695240.11000001</v>
      </c>
      <c r="E26" s="4">
        <f>'Quotité d''intéret + revenus det'!E23</f>
        <v>2484648.4500000002</v>
      </c>
      <c r="F26" s="4">
        <f>'Quotité d''intéret + revenus det'!F23</f>
        <v>1031897.62</v>
      </c>
      <c r="G26" s="4">
        <f>'Quotité d''intéret + revenus det'!G23</f>
        <v>1534752.3800000001</v>
      </c>
      <c r="H26" s="4">
        <f>'Quotité d''intéret + revenus det'!H23</f>
        <v>1939379.38</v>
      </c>
      <c r="I26" s="4">
        <f>'Quotité d''intéret + revenus det'!I23</f>
        <v>15556852</v>
      </c>
      <c r="J26" s="4">
        <f>'Quotité d''intéret + revenus det'!J23</f>
        <v>13453531.07</v>
      </c>
      <c r="K26" s="4">
        <f>'Quotité d''intéret + revenus det'!K23</f>
        <v>10342400.26</v>
      </c>
      <c r="L26" s="4">
        <f>'Quotité d''intéret + revenus det'!L23</f>
        <v>97878972.689999998</v>
      </c>
      <c r="M26" s="4">
        <f>'Quotité d''intéret + revenus det'!M23</f>
        <v>7676331.6400000006</v>
      </c>
      <c r="N26" s="4">
        <f>'Quotité d''intéret + revenus det'!N23</f>
        <v>517820.83</v>
      </c>
      <c r="O26" s="4">
        <f>'Quotité d''intéret + revenus det'!O23</f>
        <v>27275736.82</v>
      </c>
      <c r="P26" s="4">
        <f>'Quotité d''intéret + revenus det'!P23</f>
        <v>1856052.54</v>
      </c>
      <c r="Q26" s="4">
        <f>'Quotité d''intéret + revenus det'!Q23</f>
        <v>420828.52</v>
      </c>
      <c r="R26" s="4">
        <f>'Quotité d''intéret + revenus det'!R23</f>
        <v>963082.93</v>
      </c>
      <c r="S26" s="4">
        <f>'Quotité d''intéret + revenus det'!S23</f>
        <v>837138.83</v>
      </c>
      <c r="T26" s="4">
        <f>'Quotité d''intéret + revenus det'!T23</f>
        <v>3018687.98</v>
      </c>
      <c r="U26" s="4">
        <f>'Quotité d''intéret + revenus det'!U23</f>
        <v>946108.07</v>
      </c>
      <c r="V26" s="4">
        <f>'Quotité d''intéret + revenus det'!V23</f>
        <v>2158247.85</v>
      </c>
      <c r="W26" s="4">
        <f>'Quotité d''intéret + revenus det'!W23</f>
        <v>12534708.129999999</v>
      </c>
      <c r="X26" s="4">
        <f>'Quotité d''intéret + revenus det'!X23</f>
        <v>822382.96</v>
      </c>
      <c r="Y26" s="4">
        <f>'Quotité d''intéret + revenus det'!Y23</f>
        <v>7518799.2599999998</v>
      </c>
      <c r="Z26" s="4">
        <f>'Quotité d''intéret + revenus det'!Z23</f>
        <v>11021467.16</v>
      </c>
      <c r="AA26" s="4">
        <f>'Quotité d''intéret + revenus det'!AA23</f>
        <v>481766.12</v>
      </c>
      <c r="AB26" s="4">
        <f>'Quotité d''intéret + revenus det'!AB23</f>
        <v>681991.03</v>
      </c>
      <c r="AC26" s="4">
        <f>'Quotité d''intéret + revenus det'!AC23</f>
        <v>1098216.46</v>
      </c>
      <c r="AD26" s="4">
        <f>'Quotité d''intéret + revenus det'!AD23</f>
        <v>3352314.97</v>
      </c>
      <c r="AE26" s="4">
        <f>'Quotité d''intéret + revenus det'!AE23</f>
        <v>2462246.58</v>
      </c>
      <c r="AF26" s="4">
        <f>'Quotité d''intéret + revenus det'!AF23</f>
        <v>2701303.44</v>
      </c>
      <c r="AG26" s="4">
        <f>'Quotité d''intéret + revenus det'!AG23</f>
        <v>9732038.0800000001</v>
      </c>
      <c r="AH26" s="4">
        <f>'Quotité d''intéret + revenus det'!AH23</f>
        <v>12676611.98</v>
      </c>
      <c r="AI26" s="4">
        <f>'Quotité d''intéret + revenus det'!AI23</f>
        <v>1090545.5299999998</v>
      </c>
      <c r="AJ26" s="4">
        <f>'Quotité d''intéret + revenus det'!AJ23</f>
        <v>716212.09</v>
      </c>
      <c r="AK26" s="4">
        <f>'Quotité d''intéret + revenus det'!AK23</f>
        <v>5792786.6500000004</v>
      </c>
      <c r="AL26" s="4">
        <f>'Quotité d''intéret + revenus det'!AL23</f>
        <v>5584298</v>
      </c>
      <c r="AM26" s="4">
        <f>'Quotité d''intéret + revenus det'!AM23</f>
        <v>5411830.3200000003</v>
      </c>
      <c r="AN26" s="4">
        <f>'Quotité d''intéret + revenus det'!AN23</f>
        <v>336522.26</v>
      </c>
      <c r="AO26" s="4">
        <f>'Quotité d''intéret + revenus det'!AO23</f>
        <v>9404092.9000000004</v>
      </c>
      <c r="AP26" s="4">
        <f>'Quotité d''intéret + revenus det'!AP23</f>
        <v>3880880.65</v>
      </c>
      <c r="AQ26" s="4">
        <f>'Quotité d''intéret + revenus det'!AQ23</f>
        <v>1738358</v>
      </c>
      <c r="AR26" s="4">
        <f>'Quotité d''intéret + revenus det'!AR23</f>
        <v>3202894.41</v>
      </c>
      <c r="AS26" s="4">
        <f>'Quotité d''intéret + revenus det'!AS23</f>
        <v>1620047.26</v>
      </c>
      <c r="AT26" s="4">
        <f>'Quotité d''intéret + revenus det'!AT23</f>
        <v>2436343.5</v>
      </c>
      <c r="AU26" s="4">
        <f>'Quotité d''intéret + revenus det'!AU23</f>
        <v>-491864.57</v>
      </c>
      <c r="AV26" s="4">
        <f>'Quotité d''intéret + revenus det'!AV23</f>
        <v>8506625.0599999987</v>
      </c>
      <c r="AW26" s="4">
        <f>'Quotité d''intéret + revenus det'!AW23</f>
        <v>3321892.18</v>
      </c>
      <c r="AX26" s="4">
        <f>'Quotité d''intéret + revenus det'!AX23</f>
        <v>646701.05000000005</v>
      </c>
      <c r="AY26" s="4">
        <f>'Quotité d''intéret + revenus det'!AY23</f>
        <v>906867.19999999995</v>
      </c>
      <c r="AZ26" s="4">
        <f>'Quotité d''intéret + revenus det'!AZ23</f>
        <v>5064301.16</v>
      </c>
      <c r="BA26" s="4">
        <f>'Quotité d''intéret + revenus det'!BA23</f>
        <v>1735107.11</v>
      </c>
      <c r="BB26" s="4">
        <f>'Quotité d''intéret + revenus det'!BB23</f>
        <v>3370355.2600000002</v>
      </c>
      <c r="BC26" s="4">
        <f>'Quotité d''intéret + revenus det'!BC23</f>
        <v>754241</v>
      </c>
      <c r="BD26" s="4">
        <f>'Quotité d''intéret + revenus det'!BD23</f>
        <v>39168822.840000004</v>
      </c>
      <c r="BE26" s="4">
        <f>'Quotité d''intéret + revenus det'!BE23</f>
        <v>2521064.2200000002</v>
      </c>
      <c r="BF26" s="4">
        <f t="shared" si="0"/>
        <v>202427177.99000001</v>
      </c>
      <c r="BG26" s="4">
        <f t="shared" si="1"/>
        <v>54355895.660000011</v>
      </c>
      <c r="BH26" s="4">
        <f t="shared" si="2"/>
        <v>104912166.46000001</v>
      </c>
    </row>
    <row r="27" spans="1:60" ht="15.75" thickBot="1" x14ac:dyDescent="0.3">
      <c r="A27" s="7"/>
      <c r="D27" s="4"/>
      <c r="BF27" s="4"/>
      <c r="BG27" s="4"/>
      <c r="BH27" s="4"/>
    </row>
    <row r="28" spans="1:60" ht="15.75" thickBot="1" x14ac:dyDescent="0.3">
      <c r="A28" s="7" t="s">
        <v>548</v>
      </c>
      <c r="D28" s="100">
        <f>IF(D26&lt;&gt;0,D24/D26,"")*100</f>
        <v>7.4116388127881354</v>
      </c>
      <c r="E28" s="118">
        <f>IF(E26&lt;&gt;0,E24/E26,"")*100</f>
        <v>3.8116824937548004</v>
      </c>
      <c r="F28" s="4">
        <f t="shared" ref="F28:BH28" si="6">IF(F26&lt;&gt;0,F24/F26,"")*100</f>
        <v>4.7387482103117939</v>
      </c>
      <c r="G28" s="4">
        <f t="shared" si="6"/>
        <v>-2.3877662923057339</v>
      </c>
      <c r="H28" s="4">
        <f t="shared" si="6"/>
        <v>4.2849444960067586</v>
      </c>
      <c r="I28" s="4">
        <f t="shared" si="6"/>
        <v>9.768621569453769</v>
      </c>
      <c r="J28" s="4">
        <f t="shared" si="6"/>
        <v>10.281045420739494</v>
      </c>
      <c r="K28" s="4">
        <f t="shared" si="6"/>
        <v>5.9217098990906782</v>
      </c>
      <c r="L28" s="4">
        <f t="shared" si="6"/>
        <v>0.74670384242260235</v>
      </c>
      <c r="M28" s="4">
        <f t="shared" si="6"/>
        <v>7.5209109907606857</v>
      </c>
      <c r="N28" s="4">
        <f t="shared" si="6"/>
        <v>9.1101568857320778</v>
      </c>
      <c r="O28" s="4">
        <f t="shared" si="6"/>
        <v>9.7415339044175457</v>
      </c>
      <c r="P28" s="4">
        <f t="shared" si="6"/>
        <v>6.0037470706513512</v>
      </c>
      <c r="Q28" s="4">
        <f t="shared" si="6"/>
        <v>-3.21201139124316</v>
      </c>
      <c r="R28" s="4">
        <f t="shared" si="6"/>
        <v>13.334393747379576</v>
      </c>
      <c r="S28" s="4">
        <f t="shared" si="6"/>
        <v>2.8665771004792586</v>
      </c>
      <c r="T28" s="4">
        <f t="shared" si="6"/>
        <v>14.200202301133489</v>
      </c>
      <c r="U28" s="4">
        <f t="shared" si="6"/>
        <v>4.1846741672967651</v>
      </c>
      <c r="V28" s="4">
        <f t="shared" si="6"/>
        <v>-8.1936659869717907</v>
      </c>
      <c r="W28" s="4">
        <f t="shared" si="6"/>
        <v>14.286016885500469</v>
      </c>
      <c r="X28" s="4">
        <f t="shared" si="6"/>
        <v>29.439457257236946</v>
      </c>
      <c r="Y28" s="4">
        <f t="shared" si="6"/>
        <v>25.364288153637983</v>
      </c>
      <c r="Z28" s="4">
        <f t="shared" si="6"/>
        <v>12.622905279336694</v>
      </c>
      <c r="AA28" s="4">
        <f t="shared" si="6"/>
        <v>12.905247467381061</v>
      </c>
      <c r="AB28" s="4">
        <f t="shared" si="6"/>
        <v>-3.7541168246743655</v>
      </c>
      <c r="AC28" s="4">
        <f t="shared" si="6"/>
        <v>-21.580616265758756</v>
      </c>
      <c r="AD28" s="4">
        <f t="shared" si="6"/>
        <v>5.7647557502629283</v>
      </c>
      <c r="AE28" s="4">
        <f t="shared" si="6"/>
        <v>5.1151253908940639E-2</v>
      </c>
      <c r="AF28" s="4">
        <f t="shared" si="6"/>
        <v>-2.5528983148964572</v>
      </c>
      <c r="AG28" s="4">
        <f t="shared" si="6"/>
        <v>16.266854660724878</v>
      </c>
      <c r="AH28" s="4">
        <f t="shared" si="6"/>
        <v>11.472886701072632</v>
      </c>
      <c r="AI28" s="4">
        <f t="shared" si="6"/>
        <v>9.6292632550609785</v>
      </c>
      <c r="AJ28" s="4">
        <f t="shared" si="6"/>
        <v>6.7063654287098124</v>
      </c>
      <c r="AK28" s="4">
        <f t="shared" si="6"/>
        <v>27.408232616335006</v>
      </c>
      <c r="AL28" s="4">
        <f t="shared" si="6"/>
        <v>7.3257193652631001</v>
      </c>
      <c r="AM28" s="4">
        <f t="shared" si="6"/>
        <v>6.6133161765500423</v>
      </c>
      <c r="AN28" s="4">
        <f t="shared" si="6"/>
        <v>10.7330106483892</v>
      </c>
      <c r="AO28" s="4">
        <f t="shared" si="6"/>
        <v>16.828898617111705</v>
      </c>
      <c r="AP28" s="4">
        <f t="shared" si="6"/>
        <v>7.5884951525113262</v>
      </c>
      <c r="AQ28" s="4">
        <f t="shared" si="6"/>
        <v>15.367778098642512</v>
      </c>
      <c r="AR28" s="4">
        <f t="shared" si="6"/>
        <v>17.479264638012214</v>
      </c>
      <c r="AS28" s="4">
        <f t="shared" si="6"/>
        <v>30.939130751037474</v>
      </c>
      <c r="AT28" s="4">
        <f t="shared" si="6"/>
        <v>10.777379708567366</v>
      </c>
      <c r="AU28" s="4">
        <f t="shared" si="6"/>
        <v>132.69461144558551</v>
      </c>
      <c r="AV28" s="4">
        <f t="shared" si="6"/>
        <v>9.9042838265167443</v>
      </c>
      <c r="AW28" s="4">
        <f t="shared" si="6"/>
        <v>13.580218609021802</v>
      </c>
      <c r="AX28" s="4">
        <f t="shared" si="6"/>
        <v>-2.7138907536952348</v>
      </c>
      <c r="AY28" s="4">
        <f t="shared" si="6"/>
        <v>9.7898082541743712</v>
      </c>
      <c r="AZ28" s="4">
        <f t="shared" si="6"/>
        <v>16.674639073004894</v>
      </c>
      <c r="BA28" s="4">
        <f t="shared" si="6"/>
        <v>0.83508331655675128</v>
      </c>
      <c r="BB28" s="4">
        <f t="shared" si="6"/>
        <v>14.4671149592699</v>
      </c>
      <c r="BC28" s="4">
        <f t="shared" si="6"/>
        <v>8.7003066659065205</v>
      </c>
      <c r="BD28" s="4">
        <f t="shared" si="6"/>
        <v>4.8008594684639228</v>
      </c>
      <c r="BE28" s="4">
        <f t="shared" si="6"/>
        <v>9.4295697870005064</v>
      </c>
      <c r="BF28" s="4">
        <f t="shared" si="6"/>
        <v>4.9648785255982215</v>
      </c>
      <c r="BG28" s="4">
        <f t="shared" si="6"/>
        <v>12.245326085019567</v>
      </c>
      <c r="BH28" s="4">
        <f t="shared" si="6"/>
        <v>9.6282680844755095</v>
      </c>
    </row>
    <row r="29" spans="1:60" x14ac:dyDescent="0.25">
      <c r="A29" s="102" t="s">
        <v>549</v>
      </c>
      <c r="D29" s="31"/>
      <c r="BF29" s="4"/>
      <c r="BG29" s="4"/>
      <c r="BH29" s="4"/>
    </row>
    <row r="30" spans="1:60" x14ac:dyDescent="0.25">
      <c r="D30" s="4"/>
      <c r="BF30" s="4"/>
      <c r="BG30" s="4"/>
      <c r="BH30" s="4"/>
    </row>
    <row r="31" spans="1:60" x14ac:dyDescent="0.25">
      <c r="A31" s="7" t="s">
        <v>550</v>
      </c>
      <c r="C31" s="53" t="s">
        <v>496</v>
      </c>
      <c r="D31" s="106" t="s">
        <v>497</v>
      </c>
      <c r="BF31" s="4"/>
      <c r="BG31" s="4"/>
      <c r="BH31" s="4"/>
    </row>
    <row r="32" spans="1:60" x14ac:dyDescent="0.25">
      <c r="D32" s="4"/>
      <c r="BF32" s="4"/>
      <c r="BG32" s="4"/>
      <c r="BH32" s="4"/>
    </row>
    <row r="33" spans="1:60" x14ac:dyDescent="0.25">
      <c r="A33" s="93" t="s">
        <v>101</v>
      </c>
      <c r="B33" s="94" t="s">
        <v>225</v>
      </c>
      <c r="C33" s="93">
        <v>34</v>
      </c>
      <c r="D33" s="95">
        <f>'Base de données indicateurs1'!BF21</f>
        <v>8250347.9199999999</v>
      </c>
      <c r="E33" s="4">
        <f>'Base de données indicateurs1'!E21</f>
        <v>38934.65</v>
      </c>
      <c r="F33" s="4">
        <f>'Base de données indicateurs1'!F21</f>
        <v>47203.63</v>
      </c>
      <c r="G33" s="4">
        <f>'Base de données indicateurs1'!G21</f>
        <v>100058.82</v>
      </c>
      <c r="H33" s="4">
        <f>'Base de données indicateurs1'!H21</f>
        <v>72918.87</v>
      </c>
      <c r="I33" s="4">
        <f>'Base de données indicateurs1'!I21</f>
        <v>575915</v>
      </c>
      <c r="J33" s="4">
        <f>'Base de données indicateurs1'!J21</f>
        <v>311634.11</v>
      </c>
      <c r="K33" s="4">
        <f>'Base de données indicateurs1'!K21</f>
        <v>212656.85</v>
      </c>
      <c r="L33" s="4">
        <f>'Base de données indicateurs1'!L21</f>
        <v>1762202.09</v>
      </c>
      <c r="M33" s="4">
        <f>'Base de données indicateurs1'!M21</f>
        <v>67667.070000000007</v>
      </c>
      <c r="N33" s="4">
        <f>'Base de données indicateurs1'!N21</f>
        <v>8121.91</v>
      </c>
      <c r="O33" s="4">
        <f>'Base de données indicateurs1'!O21</f>
        <v>363958.46</v>
      </c>
      <c r="P33" s="4">
        <f>'Base de données indicateurs1'!P21</f>
        <v>47542.29</v>
      </c>
      <c r="Q33" s="4">
        <f>'Base de données indicateurs1'!Q21</f>
        <v>8946.48</v>
      </c>
      <c r="R33" s="4">
        <f>'Base de données indicateurs1'!R21</f>
        <v>53453.82</v>
      </c>
      <c r="S33" s="4">
        <f>'Base de données indicateurs1'!S21</f>
        <v>69384.44</v>
      </c>
      <c r="T33" s="4">
        <f>'Base de données indicateurs1'!T21</f>
        <v>66325.72</v>
      </c>
      <c r="U33" s="4">
        <f>'Base de données indicateurs1'!U21</f>
        <v>14511.68</v>
      </c>
      <c r="V33" s="4">
        <f>'Base de données indicateurs1'!V21</f>
        <v>52127.99</v>
      </c>
      <c r="W33" s="4">
        <f>'Base de données indicateurs1'!W21</f>
        <v>202554.03</v>
      </c>
      <c r="X33" s="4">
        <f>'Base de données indicateurs1'!X21</f>
        <v>14076.05</v>
      </c>
      <c r="Y33" s="4">
        <f>'Base de données indicateurs1'!Y21</f>
        <v>158659.09</v>
      </c>
      <c r="Z33" s="4">
        <f>'Base de données indicateurs1'!Z21</f>
        <v>18628.560000000001</v>
      </c>
      <c r="AA33" s="4">
        <f>'Base de données indicateurs1'!AA21</f>
        <v>3560.17</v>
      </c>
      <c r="AB33" s="4">
        <f>'Base de données indicateurs1'!AB21</f>
        <v>15806.06</v>
      </c>
      <c r="AC33" s="4">
        <f>'Base de données indicateurs1'!AC21</f>
        <v>76538.850000000006</v>
      </c>
      <c r="AD33" s="4">
        <f>'Base de données indicateurs1'!AD21</f>
        <v>116578.73</v>
      </c>
      <c r="AE33" s="4">
        <f>'Base de données indicateurs1'!AE21</f>
        <v>38264.15</v>
      </c>
      <c r="AF33" s="4">
        <f>'Base de données indicateurs1'!AF21</f>
        <v>76299.45</v>
      </c>
      <c r="AG33" s="4">
        <f>'Base de données indicateurs1'!AG21</f>
        <v>106342.45</v>
      </c>
      <c r="AH33" s="4">
        <f>'Base de données indicateurs1'!AH21</f>
        <v>192435.77</v>
      </c>
      <c r="AI33" s="4">
        <f>'Base de données indicateurs1'!AI21</f>
        <v>17489.71</v>
      </c>
      <c r="AJ33" s="4">
        <f>'Base de données indicateurs1'!AJ21</f>
        <v>24620.6</v>
      </c>
      <c r="AK33" s="4">
        <f>'Base de données indicateurs1'!AK21</f>
        <v>163387.26999999999</v>
      </c>
      <c r="AL33" s="4">
        <f>'Base de données indicateurs1'!AL21</f>
        <v>199635</v>
      </c>
      <c r="AM33" s="4">
        <f>'Base de données indicateurs1'!AM21</f>
        <v>172278.25</v>
      </c>
      <c r="AN33" s="4">
        <f>'Base de données indicateurs1'!AN21</f>
        <v>20793.810000000001</v>
      </c>
      <c r="AO33" s="4">
        <f>'Base de données indicateurs1'!AO21</f>
        <v>302592</v>
      </c>
      <c r="AP33" s="4">
        <f>'Base de données indicateurs1'!AP21</f>
        <v>72703.8</v>
      </c>
      <c r="AQ33" s="4">
        <f>'Base de données indicateurs1'!AQ21</f>
        <v>62321</v>
      </c>
      <c r="AR33" s="4">
        <f>'Base de données indicateurs1'!AR21</f>
        <v>244846.24</v>
      </c>
      <c r="AS33" s="4">
        <f>'Base de données indicateurs1'!AS21</f>
        <v>85953.99</v>
      </c>
      <c r="AT33" s="4">
        <f>'Base de données indicateurs1'!AT21</f>
        <v>155846.23000000001</v>
      </c>
      <c r="AU33" s="4">
        <f>'Base de données indicateurs1'!AU21</f>
        <v>22674.73</v>
      </c>
      <c r="AV33" s="4">
        <f>'Base de données indicateurs1'!AV21</f>
        <v>301937.46000000002</v>
      </c>
      <c r="AW33" s="4">
        <f>'Base de données indicateurs1'!AW21</f>
        <v>74054.740000000005</v>
      </c>
      <c r="AX33" s="4">
        <f>'Base de données indicateurs1'!AX21</f>
        <v>8054</v>
      </c>
      <c r="AY33" s="4">
        <f>'Base de données indicateurs1'!AY21</f>
        <v>15749.32</v>
      </c>
      <c r="AZ33" s="4">
        <f>'Base de données indicateurs1'!AZ21</f>
        <v>324265.33</v>
      </c>
      <c r="BA33" s="4">
        <f>'Base de données indicateurs1'!BA21</f>
        <v>26202.06</v>
      </c>
      <c r="BB33" s="4">
        <f>'Base de données indicateurs1'!BB21</f>
        <v>129553.11</v>
      </c>
      <c r="BC33" s="4">
        <f>'Base de données indicateurs1'!BC21</f>
        <v>371.1</v>
      </c>
      <c r="BD33" s="4">
        <f>'Base de données indicateurs1'!BD21</f>
        <v>874506.93</v>
      </c>
      <c r="BE33" s="4">
        <f>'Base de données indicateurs1'!BE21</f>
        <v>57204</v>
      </c>
      <c r="BF33" s="4">
        <f t="shared" si="0"/>
        <v>4076117.9100000006</v>
      </c>
      <c r="BG33" s="4">
        <f t="shared" si="1"/>
        <v>859299.64</v>
      </c>
      <c r="BH33" s="4">
        <f t="shared" si="2"/>
        <v>3314930.37</v>
      </c>
    </row>
    <row r="34" spans="1:60" x14ac:dyDescent="0.25">
      <c r="A34" s="96" t="s">
        <v>281</v>
      </c>
      <c r="B34" s="97" t="s">
        <v>226</v>
      </c>
      <c r="C34" s="96">
        <v>440</v>
      </c>
      <c r="D34" s="98">
        <f>'Base de données indicateurs1'!BF41</f>
        <v>2846281.7899999996</v>
      </c>
      <c r="E34" s="4">
        <f>'Base de données indicateurs1'!E41</f>
        <v>17852.91</v>
      </c>
      <c r="F34" s="4">
        <f>'Base de données indicateurs1'!F41</f>
        <v>14092.86</v>
      </c>
      <c r="G34" s="4">
        <f>'Base de données indicateurs1'!G41</f>
        <v>7262.16</v>
      </c>
      <c r="H34" s="4">
        <f>'Base de données indicateurs1'!H41</f>
        <v>7231.52</v>
      </c>
      <c r="I34" s="4">
        <f>'Base de données indicateurs1'!I41</f>
        <v>147881</v>
      </c>
      <c r="J34" s="4">
        <f>'Base de données indicateurs1'!J41</f>
        <v>110134.57</v>
      </c>
      <c r="K34" s="4">
        <f>'Base de données indicateurs1'!K41</f>
        <v>92398.8</v>
      </c>
      <c r="L34" s="4">
        <f>'Base de données indicateurs1'!L41</f>
        <v>839026.92</v>
      </c>
      <c r="M34" s="4">
        <f>'Base de données indicateurs1'!M41</f>
        <v>42133.760000000002</v>
      </c>
      <c r="N34" s="4">
        <f>'Base de données indicateurs1'!N41</f>
        <v>571.49</v>
      </c>
      <c r="O34" s="4">
        <f>'Base de données indicateurs1'!O41</f>
        <v>153813.91</v>
      </c>
      <c r="P34" s="4">
        <f>'Base de données indicateurs1'!P41</f>
        <v>6893.74</v>
      </c>
      <c r="Q34" s="4">
        <f>'Base de données indicateurs1'!Q41</f>
        <v>3224.6</v>
      </c>
      <c r="R34" s="4">
        <f>'Base de données indicateurs1'!R41</f>
        <v>25.39</v>
      </c>
      <c r="S34" s="4">
        <f>'Base de données indicateurs1'!S41</f>
        <v>0</v>
      </c>
      <c r="T34" s="4">
        <f>'Base de données indicateurs1'!T41</f>
        <v>20393.48</v>
      </c>
      <c r="U34" s="4">
        <f>'Base de données indicateurs1'!U41</f>
        <v>4934.32</v>
      </c>
      <c r="V34" s="4">
        <f>'Base de données indicateurs1'!V41</f>
        <v>18651.38</v>
      </c>
      <c r="W34" s="4">
        <f>'Base de données indicateurs1'!W41</f>
        <v>84414.84</v>
      </c>
      <c r="X34" s="4">
        <f>'Base de données indicateurs1'!X41</f>
        <v>4036.93</v>
      </c>
      <c r="Y34" s="4">
        <f>'Base de données indicateurs1'!Y41</f>
        <v>39911.230000000003</v>
      </c>
      <c r="Z34" s="4">
        <f>'Base de données indicateurs1'!Z41</f>
        <v>32275.279999999999</v>
      </c>
      <c r="AA34" s="4">
        <f>'Base de données indicateurs1'!AA41</f>
        <v>1441.7</v>
      </c>
      <c r="AB34" s="4">
        <f>'Base de données indicateurs1'!AB41</f>
        <v>3866.07</v>
      </c>
      <c r="AC34" s="4">
        <f>'Base de données indicateurs1'!AC41</f>
        <v>10163.709999999999</v>
      </c>
      <c r="AD34" s="4">
        <f>'Base de données indicateurs1'!AD41</f>
        <v>12975.76</v>
      </c>
      <c r="AE34" s="4">
        <f>'Base de données indicateurs1'!AE41</f>
        <v>8325.84</v>
      </c>
      <c r="AF34" s="4">
        <f>'Base de données indicateurs1'!AF41</f>
        <v>0.03</v>
      </c>
      <c r="AG34" s="4">
        <f>'Base de données indicateurs1'!AG41</f>
        <v>24520.51</v>
      </c>
      <c r="AH34" s="4">
        <f>'Base de données indicateurs1'!AH41</f>
        <v>56099.360000000001</v>
      </c>
      <c r="AI34" s="4">
        <f>'Base de données indicateurs1'!AI41</f>
        <v>5382</v>
      </c>
      <c r="AJ34" s="4">
        <f>'Base de données indicateurs1'!AJ41</f>
        <v>1867.57</v>
      </c>
      <c r="AK34" s="4">
        <f>'Base de données indicateurs1'!AK41</f>
        <v>189874.47</v>
      </c>
      <c r="AL34" s="4">
        <f>'Base de données indicateurs1'!AL41</f>
        <v>65144</v>
      </c>
      <c r="AM34" s="4">
        <f>'Base de données indicateurs1'!AM41</f>
        <v>36183.730000000003</v>
      </c>
      <c r="AN34" s="4">
        <f>'Base de données indicateurs1'!AN41</f>
        <v>5054.3</v>
      </c>
      <c r="AO34" s="4">
        <f>'Base de données indicateurs1'!AO41</f>
        <v>21296.17</v>
      </c>
      <c r="AP34" s="4">
        <f>'Base de données indicateurs1'!AP41</f>
        <v>26446.03</v>
      </c>
      <c r="AQ34" s="4">
        <f>'Base de données indicateurs1'!AQ41</f>
        <v>18471</v>
      </c>
      <c r="AR34" s="4">
        <f>'Base de données indicateurs1'!AR41</f>
        <v>38140.639999999999</v>
      </c>
      <c r="AS34" s="4">
        <f>'Base de données indicateurs1'!AS41</f>
        <v>38738.620000000003</v>
      </c>
      <c r="AT34" s="4">
        <f>'Base de données indicateurs1'!AT41</f>
        <v>60576.639999999999</v>
      </c>
      <c r="AU34" s="4">
        <f>'Base de données indicateurs1'!AU41</f>
        <v>6079.05</v>
      </c>
      <c r="AV34" s="4">
        <f>'Base de données indicateurs1'!AV41</f>
        <v>57507.01</v>
      </c>
      <c r="AW34" s="4">
        <f>'Base de données indicateurs1'!AW41</f>
        <v>20126.89</v>
      </c>
      <c r="AX34" s="4">
        <f>'Base de données indicateurs1'!AX41</f>
        <v>4114.5600000000004</v>
      </c>
      <c r="AY34" s="4">
        <f>'Base de données indicateurs1'!AY41</f>
        <v>11981.21</v>
      </c>
      <c r="AZ34" s="4">
        <f>'Base de données indicateurs1'!AZ41</f>
        <v>42596.1</v>
      </c>
      <c r="BA34" s="4">
        <f>'Base de données indicateurs1'!BA41</f>
        <v>10597</v>
      </c>
      <c r="BB34" s="4">
        <f>'Base de données indicateurs1'!BB41</f>
        <v>41362.76</v>
      </c>
      <c r="BC34" s="4">
        <f>'Base de données indicateurs1'!BC41</f>
        <v>8877.09</v>
      </c>
      <c r="BD34" s="4">
        <f>'Base de données indicateurs1'!BD41</f>
        <v>337144.49</v>
      </c>
      <c r="BE34" s="4">
        <f>'Base de données indicateurs1'!BE41</f>
        <v>34166.39</v>
      </c>
      <c r="BF34" s="4">
        <f t="shared" si="0"/>
        <v>1570937.65</v>
      </c>
      <c r="BG34" s="4">
        <f t="shared" si="1"/>
        <v>200865.99</v>
      </c>
      <c r="BH34" s="4">
        <f t="shared" si="2"/>
        <v>1074478.1499999999</v>
      </c>
    </row>
    <row r="35" spans="1:60" x14ac:dyDescent="0.25">
      <c r="A35" s="96" t="s">
        <v>551</v>
      </c>
      <c r="B35" s="97" t="s">
        <v>226</v>
      </c>
      <c r="C35" s="96">
        <v>441</v>
      </c>
      <c r="D35" s="98">
        <f>'Base de données indicateurs1'!BF42</f>
        <v>537523.05000000005</v>
      </c>
      <c r="E35" s="4">
        <f>'Base de données indicateurs1'!E42</f>
        <v>0</v>
      </c>
      <c r="F35" s="4">
        <f>'Base de données indicateurs1'!F42</f>
        <v>0</v>
      </c>
      <c r="G35" s="4">
        <f>'Base de données indicateurs1'!G42</f>
        <v>0</v>
      </c>
      <c r="H35" s="4">
        <f>'Base de données indicateurs1'!H42</f>
        <v>0</v>
      </c>
      <c r="I35" s="4">
        <f>'Base de données indicateurs1'!I42</f>
        <v>0</v>
      </c>
      <c r="J35" s="4">
        <f>'Base de données indicateurs1'!J42</f>
        <v>0</v>
      </c>
      <c r="K35" s="4">
        <f>'Base de données indicateurs1'!K42</f>
        <v>0</v>
      </c>
      <c r="L35" s="4">
        <f>'Base de données indicateurs1'!L42</f>
        <v>0</v>
      </c>
      <c r="M35" s="4">
        <f>'Base de données indicateurs1'!M42</f>
        <v>161440</v>
      </c>
      <c r="N35" s="4">
        <f>'Base de données indicateurs1'!N42</f>
        <v>0</v>
      </c>
      <c r="O35" s="4">
        <f>'Base de données indicateurs1'!O42</f>
        <v>0</v>
      </c>
      <c r="P35" s="4">
        <f>'Base de données indicateurs1'!P42</f>
        <v>0</v>
      </c>
      <c r="Q35" s="4">
        <f>'Base de données indicateurs1'!Q42</f>
        <v>0</v>
      </c>
      <c r="R35" s="4">
        <f>'Base de données indicateurs1'!R42</f>
        <v>0</v>
      </c>
      <c r="S35" s="4">
        <f>'Base de données indicateurs1'!S42</f>
        <v>0</v>
      </c>
      <c r="T35" s="4">
        <f>'Base de données indicateurs1'!T42</f>
        <v>0</v>
      </c>
      <c r="U35" s="4">
        <f>'Base de données indicateurs1'!U42</f>
        <v>0</v>
      </c>
      <c r="V35" s="4">
        <f>'Base de données indicateurs1'!V42</f>
        <v>0</v>
      </c>
      <c r="W35" s="4">
        <f>'Base de données indicateurs1'!W42</f>
        <v>1850</v>
      </c>
      <c r="X35" s="4">
        <f>'Base de données indicateurs1'!X42</f>
        <v>130067.05</v>
      </c>
      <c r="Y35" s="4">
        <f>'Base de données indicateurs1'!Y42</f>
        <v>0</v>
      </c>
      <c r="Z35" s="4">
        <f>'Base de données indicateurs1'!Z42</f>
        <v>0</v>
      </c>
      <c r="AA35" s="4">
        <f>'Base de données indicateurs1'!AA42</f>
        <v>0</v>
      </c>
      <c r="AB35" s="4">
        <f>'Base de données indicateurs1'!AB42</f>
        <v>0</v>
      </c>
      <c r="AC35" s="4">
        <f>'Base de données indicateurs1'!AC42</f>
        <v>0</v>
      </c>
      <c r="AD35" s="4">
        <f>'Base de données indicateurs1'!AD42</f>
        <v>67970.5</v>
      </c>
      <c r="AE35" s="4">
        <f>'Base de données indicateurs1'!AE42</f>
        <v>0</v>
      </c>
      <c r="AF35" s="4">
        <f>'Base de données indicateurs1'!AF42</f>
        <v>0</v>
      </c>
      <c r="AG35" s="4">
        <f>'Base de données indicateurs1'!AG42</f>
        <v>77540</v>
      </c>
      <c r="AH35" s="4">
        <f>'Base de données indicateurs1'!AH42</f>
        <v>53268</v>
      </c>
      <c r="AI35" s="4">
        <f>'Base de données indicateurs1'!AI42</f>
        <v>0</v>
      </c>
      <c r="AJ35" s="4">
        <f>'Base de données indicateurs1'!AJ42</f>
        <v>4305</v>
      </c>
      <c r="AK35" s="4">
        <f>'Base de données indicateurs1'!AK42</f>
        <v>0</v>
      </c>
      <c r="AL35" s="4">
        <f>'Base de données indicateurs1'!AL42</f>
        <v>0</v>
      </c>
      <c r="AM35" s="4">
        <f>'Base de données indicateurs1'!AM42</f>
        <v>0</v>
      </c>
      <c r="AN35" s="4">
        <f>'Base de données indicateurs1'!AN42</f>
        <v>0</v>
      </c>
      <c r="AO35" s="4">
        <f>'Base de données indicateurs1'!AO42</f>
        <v>0</v>
      </c>
      <c r="AP35" s="4">
        <f>'Base de données indicateurs1'!AP42</f>
        <v>0</v>
      </c>
      <c r="AQ35" s="4">
        <f>'Base de données indicateurs1'!AQ42</f>
        <v>0</v>
      </c>
      <c r="AR35" s="4">
        <f>'Base de données indicateurs1'!AR42</f>
        <v>34260</v>
      </c>
      <c r="AS35" s="4">
        <f>'Base de données indicateurs1'!AS42</f>
        <v>0</v>
      </c>
      <c r="AT35" s="4">
        <f>'Base de données indicateurs1'!AT42</f>
        <v>0</v>
      </c>
      <c r="AU35" s="4">
        <f>'Base de données indicateurs1'!AU42</f>
        <v>0</v>
      </c>
      <c r="AV35" s="4">
        <f>'Base de données indicateurs1'!AV42</f>
        <v>0</v>
      </c>
      <c r="AW35" s="4">
        <f>'Base de données indicateurs1'!AW42</f>
        <v>0</v>
      </c>
      <c r="AX35" s="4">
        <f>'Base de données indicateurs1'!AX42</f>
        <v>0</v>
      </c>
      <c r="AY35" s="4">
        <f>'Base de données indicateurs1'!AY42</f>
        <v>4485</v>
      </c>
      <c r="AZ35" s="4">
        <f>'Base de données indicateurs1'!AZ42</f>
        <v>0</v>
      </c>
      <c r="BA35" s="4">
        <f>'Base de données indicateurs1'!BA42</f>
        <v>0</v>
      </c>
      <c r="BB35" s="4">
        <f>'Base de données indicateurs1'!BB42</f>
        <v>2337.5</v>
      </c>
      <c r="BC35" s="4">
        <f>'Base de données indicateurs1'!BC42</f>
        <v>0</v>
      </c>
      <c r="BD35" s="4">
        <f>'Base de données indicateurs1'!BD42</f>
        <v>0</v>
      </c>
      <c r="BE35" s="4">
        <f>'Base de données indicateurs1'!BE42</f>
        <v>0</v>
      </c>
      <c r="BF35" s="4">
        <f t="shared" si="0"/>
        <v>163290</v>
      </c>
      <c r="BG35" s="4">
        <f t="shared" si="1"/>
        <v>333150.55</v>
      </c>
      <c r="BH35" s="4">
        <f t="shared" si="2"/>
        <v>41082.5</v>
      </c>
    </row>
    <row r="36" spans="1:60" x14ac:dyDescent="0.25">
      <c r="A36" s="96" t="s">
        <v>552</v>
      </c>
      <c r="B36" s="97" t="s">
        <v>226</v>
      </c>
      <c r="C36" s="96">
        <v>442</v>
      </c>
      <c r="D36" s="98">
        <f>'Base de données indicateurs1'!BF43</f>
        <v>136369.40999999997</v>
      </c>
      <c r="E36" s="4">
        <f>'Base de données indicateurs1'!E43</f>
        <v>39</v>
      </c>
      <c r="F36" s="4">
        <f>'Base de données indicateurs1'!F43</f>
        <v>0</v>
      </c>
      <c r="G36" s="4">
        <f>'Base de données indicateurs1'!G43</f>
        <v>0</v>
      </c>
      <c r="H36" s="4">
        <f>'Base de données indicateurs1'!H43</f>
        <v>0</v>
      </c>
      <c r="I36" s="4">
        <f>'Base de données indicateurs1'!I43</f>
        <v>50252</v>
      </c>
      <c r="J36" s="4">
        <f>'Base de données indicateurs1'!J43</f>
        <v>1524</v>
      </c>
      <c r="K36" s="4">
        <f>'Base de données indicateurs1'!K43</f>
        <v>0</v>
      </c>
      <c r="L36" s="4">
        <f>'Base de données indicateurs1'!L43</f>
        <v>35152.5</v>
      </c>
      <c r="M36" s="4">
        <f>'Base de données indicateurs1'!M43</f>
        <v>0</v>
      </c>
      <c r="N36" s="4">
        <f>'Base de données indicateurs1'!N43</f>
        <v>0</v>
      </c>
      <c r="O36" s="4">
        <f>'Base de données indicateurs1'!O43</f>
        <v>3675</v>
      </c>
      <c r="P36" s="4">
        <f>'Base de données indicateurs1'!P43</f>
        <v>0</v>
      </c>
      <c r="Q36" s="4">
        <f>'Base de données indicateurs1'!Q43</f>
        <v>17</v>
      </c>
      <c r="R36" s="4">
        <f>'Base de données indicateurs1'!R43</f>
        <v>0</v>
      </c>
      <c r="S36" s="4">
        <f>'Base de données indicateurs1'!S43</f>
        <v>3.25</v>
      </c>
      <c r="T36" s="4">
        <f>'Base de données indicateurs1'!T43</f>
        <v>487.5</v>
      </c>
      <c r="U36" s="4">
        <f>'Base de données indicateurs1'!U43</f>
        <v>0</v>
      </c>
      <c r="V36" s="4">
        <f>'Base de données indicateurs1'!V43</f>
        <v>3.25</v>
      </c>
      <c r="W36" s="4">
        <f>'Base de données indicateurs1'!W43</f>
        <v>180</v>
      </c>
      <c r="X36" s="4">
        <f>'Base de données indicateurs1'!X43</f>
        <v>5</v>
      </c>
      <c r="Y36" s="4">
        <f>'Base de données indicateurs1'!Y43</f>
        <v>0</v>
      </c>
      <c r="Z36" s="4">
        <f>'Base de données indicateurs1'!Z43</f>
        <v>0</v>
      </c>
      <c r="AA36" s="4">
        <f>'Base de données indicateurs1'!AA43</f>
        <v>7.8</v>
      </c>
      <c r="AB36" s="4">
        <f>'Base de données indicateurs1'!AB43</f>
        <v>0</v>
      </c>
      <c r="AC36" s="4">
        <f>'Base de données indicateurs1'!AC43</f>
        <v>0</v>
      </c>
      <c r="AD36" s="4">
        <f>'Base de données indicateurs1'!AD43</f>
        <v>12</v>
      </c>
      <c r="AE36" s="4">
        <f>'Base de données indicateurs1'!AE43</f>
        <v>0</v>
      </c>
      <c r="AF36" s="4">
        <f>'Base de données indicateurs1'!AF43</f>
        <v>0</v>
      </c>
      <c r="AG36" s="4">
        <f>'Base de données indicateurs1'!AG43</f>
        <v>8055</v>
      </c>
      <c r="AH36" s="4">
        <f>'Base de données indicateurs1'!AH43</f>
        <v>0</v>
      </c>
      <c r="AI36" s="4">
        <f>'Base de données indicateurs1'!AI43</f>
        <v>0</v>
      </c>
      <c r="AJ36" s="4">
        <f>'Base de données indicateurs1'!AJ43</f>
        <v>0</v>
      </c>
      <c r="AK36" s="4">
        <f>'Base de données indicateurs1'!AK43</f>
        <v>0</v>
      </c>
      <c r="AL36" s="4">
        <f>'Base de données indicateurs1'!AL43</f>
        <v>1181</v>
      </c>
      <c r="AM36" s="4">
        <f>'Base de données indicateurs1'!AM43</f>
        <v>0</v>
      </c>
      <c r="AN36" s="4">
        <f>'Base de données indicateurs1'!AN43</f>
        <v>0</v>
      </c>
      <c r="AO36" s="4">
        <f>'Base de données indicateurs1'!AO43</f>
        <v>0</v>
      </c>
      <c r="AP36" s="4">
        <f>'Base de données indicateurs1'!AP43</f>
        <v>20</v>
      </c>
      <c r="AQ36" s="4">
        <f>'Base de données indicateurs1'!AQ43</f>
        <v>0</v>
      </c>
      <c r="AR36" s="4">
        <f>'Base de données indicateurs1'!AR43</f>
        <v>7381.54</v>
      </c>
      <c r="AS36" s="4">
        <f>'Base de données indicateurs1'!AS43</f>
        <v>0</v>
      </c>
      <c r="AT36" s="4">
        <f>'Base de données indicateurs1'!AT43</f>
        <v>380</v>
      </c>
      <c r="AU36" s="4">
        <f>'Base de données indicateurs1'!AU43</f>
        <v>0</v>
      </c>
      <c r="AV36" s="4">
        <f>'Base de données indicateurs1'!AV43</f>
        <v>1592.5</v>
      </c>
      <c r="AW36" s="4">
        <f>'Base de données indicateurs1'!AW43</f>
        <v>2087.2800000000002</v>
      </c>
      <c r="AX36" s="4">
        <f>'Base de données indicateurs1'!AX43</f>
        <v>0</v>
      </c>
      <c r="AY36" s="4">
        <f>'Base de données indicateurs1'!AY43</f>
        <v>0</v>
      </c>
      <c r="AZ36" s="4">
        <f>'Base de données indicateurs1'!AZ43</f>
        <v>0</v>
      </c>
      <c r="BA36" s="4">
        <f>'Base de données indicateurs1'!BA43</f>
        <v>0</v>
      </c>
      <c r="BB36" s="4">
        <f>'Base de données indicateurs1'!BB43</f>
        <v>224.51</v>
      </c>
      <c r="BC36" s="4">
        <f>'Base de données indicateurs1'!BC43</f>
        <v>0</v>
      </c>
      <c r="BD36" s="4">
        <f>'Base de données indicateurs1'!BD43</f>
        <v>24069.279999999999</v>
      </c>
      <c r="BE36" s="4">
        <f>'Base de données indicateurs1'!BE43</f>
        <v>20</v>
      </c>
      <c r="BF36" s="4">
        <f t="shared" si="0"/>
        <v>91333.5</v>
      </c>
      <c r="BG36" s="4">
        <f t="shared" si="1"/>
        <v>8079.8</v>
      </c>
      <c r="BH36" s="4">
        <f t="shared" si="2"/>
        <v>36956.11</v>
      </c>
    </row>
    <row r="37" spans="1:60" x14ac:dyDescent="0.25">
      <c r="A37" s="96" t="s">
        <v>553</v>
      </c>
      <c r="B37" s="97" t="s">
        <v>226</v>
      </c>
      <c r="C37" s="96">
        <v>443</v>
      </c>
      <c r="D37" s="98">
        <f>'Base de données indicateurs1'!BF44</f>
        <v>4101265.75</v>
      </c>
      <c r="E37" s="4">
        <f>'Base de données indicateurs1'!E44</f>
        <v>23061.5</v>
      </c>
      <c r="F37" s="4">
        <f>'Base de données indicateurs1'!F44</f>
        <v>26770.1</v>
      </c>
      <c r="G37" s="4">
        <f>'Base de données indicateurs1'!G44</f>
        <v>108449</v>
      </c>
      <c r="H37" s="4">
        <f>'Base de données indicateurs1'!H44</f>
        <v>75900</v>
      </c>
      <c r="I37" s="4">
        <f>'Base de données indicateurs1'!I44</f>
        <v>397286</v>
      </c>
      <c r="J37" s="4">
        <f>'Base de données indicateurs1'!J44</f>
        <v>129261.4</v>
      </c>
      <c r="K37" s="4">
        <f>'Base de données indicateurs1'!K44</f>
        <v>133596.79999999999</v>
      </c>
      <c r="L37" s="4">
        <f>'Base de données indicateurs1'!L44</f>
        <v>463774.9</v>
      </c>
      <c r="M37" s="4">
        <f>'Base de données indicateurs1'!M44</f>
        <v>17322.3</v>
      </c>
      <c r="N37" s="4">
        <f>'Base de données indicateurs1'!N44</f>
        <v>21000</v>
      </c>
      <c r="O37" s="4">
        <f>'Base de données indicateurs1'!O44</f>
        <v>116419.95</v>
      </c>
      <c r="P37" s="4">
        <f>'Base de données indicateurs1'!P44</f>
        <v>28680</v>
      </c>
      <c r="Q37" s="4">
        <f>'Base de données indicateurs1'!Q44</f>
        <v>10140</v>
      </c>
      <c r="R37" s="4">
        <f>'Base de données indicateurs1'!R44</f>
        <v>28680</v>
      </c>
      <c r="S37" s="4">
        <f>'Base de données indicateurs1'!S44</f>
        <v>19880</v>
      </c>
      <c r="T37" s="4">
        <f>'Base de données indicateurs1'!T44</f>
        <v>42525</v>
      </c>
      <c r="U37" s="4">
        <f>'Base de données indicateurs1'!U44</f>
        <v>0</v>
      </c>
      <c r="V37" s="4">
        <f>'Base de données indicateurs1'!V44</f>
        <v>19270</v>
      </c>
      <c r="W37" s="4">
        <f>'Base de données indicateurs1'!W44</f>
        <v>120582.25</v>
      </c>
      <c r="X37" s="4">
        <f>'Base de données indicateurs1'!X44</f>
        <v>10590</v>
      </c>
      <c r="Y37" s="4">
        <f>'Base de données indicateurs1'!Y44</f>
        <v>43940</v>
      </c>
      <c r="Z37" s="4">
        <f>'Base de données indicateurs1'!Z44</f>
        <v>274664.15000000002</v>
      </c>
      <c r="AA37" s="4">
        <f>'Base de données indicateurs1'!AA44</f>
        <v>13934</v>
      </c>
      <c r="AB37" s="4">
        <f>'Base de données indicateurs1'!AB44</f>
        <v>22720</v>
      </c>
      <c r="AC37" s="4">
        <f>'Base de données indicateurs1'!AC44</f>
        <v>16912.099999999999</v>
      </c>
      <c r="AD37" s="4">
        <f>'Base de données indicateurs1'!AD44</f>
        <v>74221.3</v>
      </c>
      <c r="AE37" s="4">
        <f>'Base de données indicateurs1'!AE44</f>
        <v>2060</v>
      </c>
      <c r="AF37" s="4">
        <f>'Base de données indicateurs1'!AF44</f>
        <v>81125</v>
      </c>
      <c r="AG37" s="4">
        <f>'Base de données indicateurs1'!AG44</f>
        <v>88417.3</v>
      </c>
      <c r="AH37" s="4">
        <f>'Base de données indicateurs1'!AH44</f>
        <v>45744.6</v>
      </c>
      <c r="AI37" s="4">
        <f>'Base de données indicateurs1'!AI44</f>
        <v>0</v>
      </c>
      <c r="AJ37" s="4">
        <f>'Base de données indicateurs1'!AJ44</f>
        <v>41625</v>
      </c>
      <c r="AK37" s="4">
        <f>'Base de données indicateurs1'!AK44</f>
        <v>0</v>
      </c>
      <c r="AL37" s="4">
        <f>'Base de données indicateurs1'!AL44</f>
        <v>145812</v>
      </c>
      <c r="AM37" s="4">
        <f>'Base de données indicateurs1'!AM44</f>
        <v>76660.25</v>
      </c>
      <c r="AN37" s="4">
        <f>'Base de données indicateurs1'!AN44</f>
        <v>8823.25</v>
      </c>
      <c r="AO37" s="4">
        <f>'Base de données indicateurs1'!AO44</f>
        <v>214861.15</v>
      </c>
      <c r="AP37" s="4">
        <f>'Base de données indicateurs1'!AP44</f>
        <v>25952.2</v>
      </c>
      <c r="AQ37" s="4">
        <f>'Base de données indicateurs1'!AQ44</f>
        <v>11958</v>
      </c>
      <c r="AR37" s="4">
        <f>'Base de données indicateurs1'!AR44</f>
        <v>397274.5</v>
      </c>
      <c r="AS37" s="4">
        <f>'Base de données indicateurs1'!AS44</f>
        <v>12122.4</v>
      </c>
      <c r="AT37" s="4">
        <f>'Base de données indicateurs1'!AT44</f>
        <v>81650</v>
      </c>
      <c r="AU37" s="4">
        <f>'Base de données indicateurs1'!AU44</f>
        <v>21720</v>
      </c>
      <c r="AV37" s="4">
        <f>'Base de données indicateurs1'!AV44</f>
        <v>0</v>
      </c>
      <c r="AW37" s="4">
        <f>'Base de données indicateurs1'!AW44</f>
        <v>27285.35</v>
      </c>
      <c r="AX37" s="4">
        <f>'Base de données indicateurs1'!AX44</f>
        <v>14268.4</v>
      </c>
      <c r="AY37" s="4">
        <f>'Base de données indicateurs1'!AY44</f>
        <v>39503.699999999997</v>
      </c>
      <c r="AZ37" s="4">
        <f>'Base de données indicateurs1'!AZ44</f>
        <v>70198.3</v>
      </c>
      <c r="BA37" s="4">
        <f>'Base de données indicateurs1'!BA44</f>
        <v>32558.15</v>
      </c>
      <c r="BB37" s="4">
        <f>'Base de données indicateurs1'!BB44</f>
        <v>91929.45</v>
      </c>
      <c r="BC37" s="4">
        <f>'Base de données indicateurs1'!BC44</f>
        <v>3000</v>
      </c>
      <c r="BD37" s="4">
        <f>'Base de données indicateurs1'!BD44</f>
        <v>283381.40000000002</v>
      </c>
      <c r="BE37" s="4">
        <f>'Base de données indicateurs1'!BE44</f>
        <v>43754.6</v>
      </c>
      <c r="BF37" s="4">
        <f t="shared" si="0"/>
        <v>1782599.2000000002</v>
      </c>
      <c r="BG37" s="4">
        <f t="shared" si="1"/>
        <v>715953.45000000007</v>
      </c>
      <c r="BH37" s="4">
        <f t="shared" si="2"/>
        <v>1602713.1</v>
      </c>
    </row>
    <row r="38" spans="1:60" x14ac:dyDescent="0.25">
      <c r="A38" s="96" t="s">
        <v>554</v>
      </c>
      <c r="B38" s="97" t="s">
        <v>226</v>
      </c>
      <c r="C38" s="96">
        <v>444</v>
      </c>
      <c r="D38" s="98">
        <f>'Base de données indicateurs1'!BF45</f>
        <v>1359679.9</v>
      </c>
      <c r="E38" s="4">
        <f>'Base de données indicateurs1'!E45</f>
        <v>59653.15</v>
      </c>
      <c r="F38" s="4">
        <f>'Base de données indicateurs1'!F45</f>
        <v>0</v>
      </c>
      <c r="G38" s="4">
        <f>'Base de données indicateurs1'!G45</f>
        <v>0</v>
      </c>
      <c r="H38" s="4">
        <f>'Base de données indicateurs1'!H45</f>
        <v>0</v>
      </c>
      <c r="I38" s="4">
        <f>'Base de données indicateurs1'!I45</f>
        <v>0</v>
      </c>
      <c r="J38" s="4">
        <f>'Base de données indicateurs1'!J45</f>
        <v>10</v>
      </c>
      <c r="K38" s="4">
        <f>'Base de données indicateurs1'!K45</f>
        <v>0</v>
      </c>
      <c r="L38" s="4">
        <f>'Base de données indicateurs1'!L45</f>
        <v>0</v>
      </c>
      <c r="M38" s="4">
        <f>'Base de données indicateurs1'!M45</f>
        <v>10</v>
      </c>
      <c r="N38" s="4">
        <f>'Base de données indicateurs1'!N45</f>
        <v>0</v>
      </c>
      <c r="O38" s="4">
        <f>'Base de données indicateurs1'!O45</f>
        <v>17041</v>
      </c>
      <c r="P38" s="4">
        <f>'Base de données indicateurs1'!P45</f>
        <v>0</v>
      </c>
      <c r="Q38" s="4">
        <f>'Base de données indicateurs1'!Q45</f>
        <v>23255</v>
      </c>
      <c r="R38" s="4">
        <f>'Base de données indicateurs1'!R45</f>
        <v>0</v>
      </c>
      <c r="S38" s="4">
        <f>'Base de données indicateurs1'!S45</f>
        <v>0</v>
      </c>
      <c r="T38" s="4">
        <f>'Base de données indicateurs1'!T45</f>
        <v>0</v>
      </c>
      <c r="U38" s="4">
        <f>'Base de données indicateurs1'!U45</f>
        <v>5200</v>
      </c>
      <c r="V38" s="4">
        <f>'Base de données indicateurs1'!V45</f>
        <v>0</v>
      </c>
      <c r="W38" s="4">
        <f>'Base de données indicateurs1'!W45</f>
        <v>0</v>
      </c>
      <c r="X38" s="4">
        <f>'Base de données indicateurs1'!X45</f>
        <v>0</v>
      </c>
      <c r="Y38" s="4">
        <f>'Base de données indicateurs1'!Y45</f>
        <v>0</v>
      </c>
      <c r="Z38" s="4">
        <f>'Base de données indicateurs1'!Z45</f>
        <v>0</v>
      </c>
      <c r="AA38" s="4">
        <f>'Base de données indicateurs1'!AA45</f>
        <v>0</v>
      </c>
      <c r="AB38" s="4">
        <f>'Base de données indicateurs1'!AB45</f>
        <v>7716</v>
      </c>
      <c r="AC38" s="4">
        <f>'Base de données indicateurs1'!AC45</f>
        <v>7760</v>
      </c>
      <c r="AD38" s="4">
        <f>'Base de données indicateurs1'!AD45</f>
        <v>5</v>
      </c>
      <c r="AE38" s="4">
        <f>'Base de données indicateurs1'!AE45</f>
        <v>25</v>
      </c>
      <c r="AF38" s="4">
        <f>'Base de données indicateurs1'!AF45</f>
        <v>104093.55</v>
      </c>
      <c r="AG38" s="4">
        <f>'Base de données indicateurs1'!AG45</f>
        <v>0</v>
      </c>
      <c r="AH38" s="4">
        <f>'Base de données indicateurs1'!AH45</f>
        <v>19535</v>
      </c>
      <c r="AI38" s="4">
        <f>'Base de données indicateurs1'!AI45</f>
        <v>0</v>
      </c>
      <c r="AJ38" s="4">
        <f>'Base de données indicateurs1'!AJ45</f>
        <v>0</v>
      </c>
      <c r="AK38" s="4">
        <f>'Base de données indicateurs1'!AK45</f>
        <v>0</v>
      </c>
      <c r="AL38" s="4">
        <f>'Base de données indicateurs1'!AL45</f>
        <v>11640</v>
      </c>
      <c r="AM38" s="4">
        <f>'Base de données indicateurs1'!AM45</f>
        <v>0</v>
      </c>
      <c r="AN38" s="4">
        <f>'Base de données indicateurs1'!AN45</f>
        <v>0</v>
      </c>
      <c r="AO38" s="4">
        <f>'Base de données indicateurs1'!AO45</f>
        <v>0</v>
      </c>
      <c r="AP38" s="4">
        <f>'Base de données indicateurs1'!AP45</f>
        <v>0</v>
      </c>
      <c r="AQ38" s="4">
        <f>'Base de données indicateurs1'!AQ45</f>
        <v>0</v>
      </c>
      <c r="AR38" s="4">
        <f>'Base de données indicateurs1'!AR45</f>
        <v>0</v>
      </c>
      <c r="AS38" s="4">
        <f>'Base de données indicateurs1'!AS45</f>
        <v>48500</v>
      </c>
      <c r="AT38" s="4">
        <f>'Base de données indicateurs1'!AT45</f>
        <v>0</v>
      </c>
      <c r="AU38" s="4">
        <f>'Base de données indicateurs1'!AU45</f>
        <v>0</v>
      </c>
      <c r="AV38" s="4">
        <f>'Base de données indicateurs1'!AV45</f>
        <v>0</v>
      </c>
      <c r="AW38" s="4">
        <f>'Base de données indicateurs1'!AW45</f>
        <v>15520</v>
      </c>
      <c r="AX38" s="4">
        <f>'Base de données indicateurs1'!AX45</f>
        <v>0</v>
      </c>
      <c r="AY38" s="4">
        <f>'Base de données indicateurs1'!AY45</f>
        <v>0</v>
      </c>
      <c r="AZ38" s="4">
        <f>'Base de données indicateurs1'!AZ45</f>
        <v>19325</v>
      </c>
      <c r="BA38" s="4">
        <f>'Base de données indicateurs1'!BA45</f>
        <v>40</v>
      </c>
      <c r="BB38" s="4">
        <f>'Base de données indicateurs1'!BB45</f>
        <v>7895</v>
      </c>
      <c r="BC38" s="4">
        <f>'Base de données indicateurs1'!BC45</f>
        <v>0</v>
      </c>
      <c r="BD38" s="4">
        <f>'Base de données indicateurs1'!BD45</f>
        <v>1012456.2</v>
      </c>
      <c r="BE38" s="4">
        <f>'Base de données indicateurs1'!BE45</f>
        <v>0</v>
      </c>
      <c r="BF38" s="4">
        <f t="shared" si="0"/>
        <v>105169.15</v>
      </c>
      <c r="BG38" s="4">
        <f t="shared" si="1"/>
        <v>139134.54999999999</v>
      </c>
      <c r="BH38" s="4">
        <f t="shared" si="2"/>
        <v>1115376.2</v>
      </c>
    </row>
    <row r="39" spans="1:60" ht="15.75" thickBot="1" x14ac:dyDescent="0.3">
      <c r="B39" s="99"/>
      <c r="D39" s="4"/>
      <c r="BF39" s="4"/>
      <c r="BG39" s="4"/>
      <c r="BH39" s="4"/>
    </row>
    <row r="40" spans="1:60" ht="15.75" thickBot="1" x14ac:dyDescent="0.3">
      <c r="A40" s="7" t="s">
        <v>555</v>
      </c>
      <c r="B40" s="52"/>
      <c r="C40" s="7"/>
      <c r="D40" s="100">
        <f>D33-D34-D35-D36-D37-D38</f>
        <v>-730771.97999999905</v>
      </c>
      <c r="E40" s="118">
        <f>E33-E34-E35-E36-E37-E38</f>
        <v>-61671.91</v>
      </c>
      <c r="F40" s="4">
        <f t="shared" ref="F40:BE40" si="7">F33-F34-F35-F36-F37-F38</f>
        <v>6340.6699999999983</v>
      </c>
      <c r="G40" s="4">
        <f t="shared" si="7"/>
        <v>-15652.339999999997</v>
      </c>
      <c r="H40" s="4">
        <f t="shared" si="7"/>
        <v>-10212.650000000009</v>
      </c>
      <c r="I40" s="4">
        <f t="shared" si="7"/>
        <v>-19504</v>
      </c>
      <c r="J40" s="4">
        <f t="shared" si="7"/>
        <v>70704.139999999985</v>
      </c>
      <c r="K40" s="4">
        <f t="shared" si="7"/>
        <v>-13338.749999999985</v>
      </c>
      <c r="L40" s="4">
        <f t="shared" si="7"/>
        <v>424247.77</v>
      </c>
      <c r="M40" s="4">
        <f t="shared" si="7"/>
        <v>-153238.99</v>
      </c>
      <c r="N40" s="4">
        <f t="shared" si="7"/>
        <v>-13449.58</v>
      </c>
      <c r="O40" s="4">
        <f t="shared" si="7"/>
        <v>73008.60000000002</v>
      </c>
      <c r="P40" s="4">
        <f t="shared" si="7"/>
        <v>11968.550000000003</v>
      </c>
      <c r="Q40" s="4">
        <f t="shared" si="7"/>
        <v>-27690.120000000003</v>
      </c>
      <c r="R40" s="4">
        <f t="shared" si="7"/>
        <v>24748.43</v>
      </c>
      <c r="S40" s="4">
        <f t="shared" si="7"/>
        <v>49501.19</v>
      </c>
      <c r="T40" s="4">
        <f t="shared" si="7"/>
        <v>2919.7400000000052</v>
      </c>
      <c r="U40" s="4">
        <f t="shared" si="7"/>
        <v>4377.3600000000006</v>
      </c>
      <c r="V40" s="4">
        <f t="shared" si="7"/>
        <v>14203.36</v>
      </c>
      <c r="W40" s="4">
        <f t="shared" si="7"/>
        <v>-4473.0599999999977</v>
      </c>
      <c r="X40" s="4">
        <f t="shared" si="7"/>
        <v>-130622.93000000001</v>
      </c>
      <c r="Y40" s="4">
        <f t="shared" si="7"/>
        <v>74807.859999999986</v>
      </c>
      <c r="Z40" s="4">
        <f t="shared" si="7"/>
        <v>-288310.87</v>
      </c>
      <c r="AA40" s="4">
        <f t="shared" si="7"/>
        <v>-11823.33</v>
      </c>
      <c r="AB40" s="4">
        <f t="shared" si="7"/>
        <v>-18496.010000000002</v>
      </c>
      <c r="AC40" s="4">
        <f t="shared" si="7"/>
        <v>41703.040000000015</v>
      </c>
      <c r="AD40" s="4">
        <f t="shared" si="7"/>
        <v>-38605.83</v>
      </c>
      <c r="AE40" s="4">
        <f t="shared" si="7"/>
        <v>27853.31</v>
      </c>
      <c r="AF40" s="4">
        <f t="shared" si="7"/>
        <v>-108919.13</v>
      </c>
      <c r="AG40" s="4">
        <f t="shared" si="7"/>
        <v>-92190.36</v>
      </c>
      <c r="AH40" s="4">
        <f t="shared" si="7"/>
        <v>17788.809999999976</v>
      </c>
      <c r="AI40" s="4">
        <f t="shared" si="7"/>
        <v>12107.71</v>
      </c>
      <c r="AJ40" s="4">
        <f t="shared" si="7"/>
        <v>-23176.97</v>
      </c>
      <c r="AK40" s="4">
        <f t="shared" si="7"/>
        <v>-26487.200000000012</v>
      </c>
      <c r="AL40" s="4">
        <f t="shared" si="7"/>
        <v>-24142</v>
      </c>
      <c r="AM40" s="4">
        <f t="shared" si="7"/>
        <v>59434.26999999999</v>
      </c>
      <c r="AN40" s="4">
        <f t="shared" si="7"/>
        <v>6916.260000000002</v>
      </c>
      <c r="AO40" s="4">
        <f t="shared" si="7"/>
        <v>66434.680000000022</v>
      </c>
      <c r="AP40" s="4">
        <f t="shared" si="7"/>
        <v>20285.570000000003</v>
      </c>
      <c r="AQ40" s="4">
        <f t="shared" si="7"/>
        <v>31892</v>
      </c>
      <c r="AR40" s="4">
        <f t="shared" si="7"/>
        <v>-232210.44000000003</v>
      </c>
      <c r="AS40" s="4">
        <f t="shared" si="7"/>
        <v>-13407.029999999999</v>
      </c>
      <c r="AT40" s="4">
        <f t="shared" si="7"/>
        <v>13239.590000000011</v>
      </c>
      <c r="AU40" s="4">
        <f t="shared" si="7"/>
        <v>-5124.32</v>
      </c>
      <c r="AV40" s="4">
        <f t="shared" si="7"/>
        <v>242837.95</v>
      </c>
      <c r="AW40" s="4">
        <f t="shared" si="7"/>
        <v>9035.2200000000084</v>
      </c>
      <c r="AX40" s="4">
        <f t="shared" si="7"/>
        <v>-10328.959999999999</v>
      </c>
      <c r="AY40" s="4">
        <f t="shared" si="7"/>
        <v>-40220.589999999997</v>
      </c>
      <c r="AZ40" s="4">
        <f t="shared" si="7"/>
        <v>192145.93000000005</v>
      </c>
      <c r="BA40" s="4">
        <f t="shared" si="7"/>
        <v>-16993.09</v>
      </c>
      <c r="BB40" s="4">
        <f t="shared" si="7"/>
        <v>-14196.109999999986</v>
      </c>
      <c r="BC40" s="4">
        <f t="shared" si="7"/>
        <v>-11505.99</v>
      </c>
      <c r="BD40" s="4">
        <f t="shared" si="7"/>
        <v>-782544.44</v>
      </c>
      <c r="BE40" s="4">
        <f t="shared" si="7"/>
        <v>-20736.989999999998</v>
      </c>
      <c r="BF40" s="4">
        <f t="shared" si="0"/>
        <v>362788.41</v>
      </c>
      <c r="BG40" s="4">
        <f t="shared" si="1"/>
        <v>-537884.70000000007</v>
      </c>
      <c r="BH40" s="4">
        <f t="shared" si="2"/>
        <v>-555675.68999999994</v>
      </c>
    </row>
    <row r="41" spans="1:60" x14ac:dyDescent="0.25">
      <c r="A41" s="7"/>
      <c r="B41" s="52"/>
      <c r="C41" s="7"/>
      <c r="D41" s="4"/>
      <c r="BF41" s="4"/>
      <c r="BG41" s="4"/>
      <c r="BH41" s="4"/>
    </row>
    <row r="42" spans="1:60" x14ac:dyDescent="0.25">
      <c r="A42" s="93" t="s">
        <v>556</v>
      </c>
      <c r="B42" s="94" t="s">
        <v>225</v>
      </c>
      <c r="C42" s="93">
        <v>400</v>
      </c>
      <c r="D42" s="95">
        <f>'Base de données indicateurs1'!BF38</f>
        <v>166473515.80000004</v>
      </c>
      <c r="E42" s="4">
        <f>'Base de données indicateurs1'!E38</f>
        <v>2089448.2</v>
      </c>
      <c r="F42" s="4">
        <f>'Base de données indicateurs1'!F38</f>
        <v>492282.79</v>
      </c>
      <c r="G42" s="4">
        <f>'Base de données indicateurs1'!G38</f>
        <v>949917.15</v>
      </c>
      <c r="H42" s="4">
        <f>'Base de données indicateurs1'!H38</f>
        <v>841221.18</v>
      </c>
      <c r="I42" s="4">
        <f>'Base de données indicateurs1'!I38</f>
        <v>7675747</v>
      </c>
      <c r="J42" s="4">
        <f>'Base de données indicateurs1'!J38</f>
        <v>7567612.5700000003</v>
      </c>
      <c r="K42" s="4">
        <f>'Base de données indicateurs1'!K38</f>
        <v>5914223.3300000001</v>
      </c>
      <c r="L42" s="4">
        <f>'Base de données indicateurs1'!L38</f>
        <v>28291546</v>
      </c>
      <c r="M42" s="4">
        <f>'Base de données indicateurs1'!M38</f>
        <v>2993299.47</v>
      </c>
      <c r="N42" s="4">
        <f>'Base de données indicateurs1'!N38</f>
        <v>178520.05</v>
      </c>
      <c r="O42" s="4">
        <f>'Base de données indicateurs1'!O38</f>
        <v>14978467.65</v>
      </c>
      <c r="P42" s="4">
        <f>'Base de données indicateurs1'!P38</f>
        <v>923297.55</v>
      </c>
      <c r="Q42" s="4">
        <f>'Base de données indicateurs1'!Q38</f>
        <v>233632.67</v>
      </c>
      <c r="R42" s="4">
        <f>'Base de données indicateurs1'!R38</f>
        <v>894841.17</v>
      </c>
      <c r="S42" s="4">
        <f>'Base de données indicateurs1'!S38</f>
        <v>722684.29</v>
      </c>
      <c r="T42" s="4">
        <f>'Base de données indicateurs1'!T38</f>
        <v>1853875.05</v>
      </c>
      <c r="U42" s="4">
        <f>'Base de données indicateurs1'!U38</f>
        <v>414418.45</v>
      </c>
      <c r="V42" s="4">
        <f>'Base de données indicateurs1'!V38</f>
        <v>976276.95</v>
      </c>
      <c r="W42" s="4">
        <f>'Base de données indicateurs1'!W38</f>
        <v>6954871.4000000004</v>
      </c>
      <c r="X42" s="4">
        <f>'Base de données indicateurs1'!X38</f>
        <v>705231.84</v>
      </c>
      <c r="Y42" s="4">
        <f>'Base de données indicateurs1'!Y38</f>
        <v>5167560.4800000004</v>
      </c>
      <c r="Z42" s="4">
        <f>'Base de données indicateurs1'!Z38</f>
        <v>2851513.73</v>
      </c>
      <c r="AA42" s="4">
        <f>'Base de données indicateurs1'!AA38</f>
        <v>201253.2</v>
      </c>
      <c r="AB42" s="4">
        <f>'Base de données indicateurs1'!AB38</f>
        <v>272253.90000000002</v>
      </c>
      <c r="AC42" s="4">
        <f>'Base de données indicateurs1'!AC38</f>
        <v>1175064.6599999999</v>
      </c>
      <c r="AD42" s="4">
        <f>'Base de données indicateurs1'!AD38</f>
        <v>1415436</v>
      </c>
      <c r="AE42" s="4">
        <f>'Base de données indicateurs1'!AE38</f>
        <v>1180186.76</v>
      </c>
      <c r="AF42" s="4">
        <f>'Base de données indicateurs1'!AF38</f>
        <v>1212954.99</v>
      </c>
      <c r="AG42" s="4">
        <f>'Base de données indicateurs1'!AG38</f>
        <v>4742424.3499999996</v>
      </c>
      <c r="AH42" s="4">
        <f>'Base de données indicateurs1'!AH38</f>
        <v>6279646.9500000002</v>
      </c>
      <c r="AI42" s="4">
        <f>'Base de données indicateurs1'!AI38</f>
        <v>351906.95</v>
      </c>
      <c r="AJ42" s="4">
        <f>'Base de données indicateurs1'!AJ38</f>
        <v>243024.85</v>
      </c>
      <c r="AK42" s="4">
        <f>'Base de données indicateurs1'!AK38</f>
        <v>4750955.45</v>
      </c>
      <c r="AL42" s="4">
        <f>'Base de données indicateurs1'!AL38</f>
        <v>2118419</v>
      </c>
      <c r="AM42" s="4">
        <f>'Base de données indicateurs1'!AM38</f>
        <v>2412689.29</v>
      </c>
      <c r="AN42" s="4">
        <f>'Base de données indicateurs1'!AN38</f>
        <v>281720.31</v>
      </c>
      <c r="AO42" s="4">
        <f>'Base de données indicateurs1'!AO38</f>
        <v>3131674.65</v>
      </c>
      <c r="AP42" s="4">
        <f>'Base de données indicateurs1'!AP38</f>
        <v>1357873.47</v>
      </c>
      <c r="AQ42" s="4">
        <f>'Base de données indicateurs1'!AQ38</f>
        <v>1539192</v>
      </c>
      <c r="AR42" s="4">
        <f>'Base de données indicateurs1'!AR38</f>
        <v>2468752.63</v>
      </c>
      <c r="AS42" s="4">
        <f>'Base de données indicateurs1'!AS38</f>
        <v>1710364.38</v>
      </c>
      <c r="AT42" s="4">
        <f>'Base de données indicateurs1'!AT38</f>
        <v>2113393.6</v>
      </c>
      <c r="AU42" s="4">
        <f>'Base de données indicateurs1'!AU38</f>
        <v>104808.02</v>
      </c>
      <c r="AV42" s="4">
        <f>'Base de données indicateurs1'!AV38</f>
        <v>5179504.8499999996</v>
      </c>
      <c r="AW42" s="4">
        <f>'Base de données indicateurs1'!AW38</f>
        <v>2050363.3</v>
      </c>
      <c r="AX42" s="4">
        <f>'Base de données indicateurs1'!AX38</f>
        <v>313398.7</v>
      </c>
      <c r="AY42" s="4">
        <f>'Base de données indicateurs1'!AY38</f>
        <v>714266.27</v>
      </c>
      <c r="AZ42" s="4">
        <f>'Base de données indicateurs1'!AZ38</f>
        <v>4221312.49</v>
      </c>
      <c r="BA42" s="4">
        <f>'Base de données indicateurs1'!BA38</f>
        <v>761215.9</v>
      </c>
      <c r="BB42" s="4">
        <f>'Base de données indicateurs1'!BB38</f>
        <v>2495255.44</v>
      </c>
      <c r="BC42" s="4">
        <f>'Base de données indicateurs1'!BC38</f>
        <v>327291.61</v>
      </c>
      <c r="BD42" s="4">
        <f>'Base de données indicateurs1'!BD38</f>
        <v>16446907.85</v>
      </c>
      <c r="BE42" s="4">
        <f>'Base de données indicateurs1'!BE38</f>
        <v>1229515.01</v>
      </c>
      <c r="BF42" s="4">
        <f t="shared" si="0"/>
        <v>84946182.920000017</v>
      </c>
      <c r="BG42" s="4">
        <f t="shared" si="1"/>
        <v>25798458.66</v>
      </c>
      <c r="BH42" s="4">
        <f t="shared" si="2"/>
        <v>55728874.219999991</v>
      </c>
    </row>
    <row r="43" spans="1:60" x14ac:dyDescent="0.25">
      <c r="A43" s="96" t="s">
        <v>557</v>
      </c>
      <c r="B43" s="97" t="s">
        <v>225</v>
      </c>
      <c r="C43" s="96">
        <v>401</v>
      </c>
      <c r="D43" s="98">
        <f>'Base de données indicateurs1'!BF39</f>
        <v>26296993.079999998</v>
      </c>
      <c r="E43" s="4">
        <f>'Base de données indicateurs1'!E39</f>
        <v>99854.85</v>
      </c>
      <c r="F43" s="4">
        <f>'Base de données indicateurs1'!F39</f>
        <v>3715.57</v>
      </c>
      <c r="G43" s="4">
        <f>'Base de données indicateurs1'!G39</f>
        <v>31467.08</v>
      </c>
      <c r="H43" s="4">
        <f>'Base de données indicateurs1'!H39</f>
        <v>40843.800000000003</v>
      </c>
      <c r="I43" s="4">
        <f>'Base de données indicateurs1'!I39</f>
        <v>307672</v>
      </c>
      <c r="J43" s="4">
        <f>'Base de données indicateurs1'!J39</f>
        <v>443475.74</v>
      </c>
      <c r="K43" s="4">
        <f>'Base de données indicateurs1'!K39</f>
        <v>609166.68999999994</v>
      </c>
      <c r="L43" s="4">
        <f>'Base de données indicateurs1'!L39</f>
        <v>7757076.1799999997</v>
      </c>
      <c r="M43" s="4">
        <f>'Base de données indicateurs1'!M39</f>
        <v>296224.62</v>
      </c>
      <c r="N43" s="4">
        <f>'Base de données indicateurs1'!N39</f>
        <v>5310.2</v>
      </c>
      <c r="O43" s="4">
        <f>'Base de données indicateurs1'!O39</f>
        <v>1231334.8999999999</v>
      </c>
      <c r="P43" s="4">
        <f>'Base de données indicateurs1'!P39</f>
        <v>24811.05</v>
      </c>
      <c r="Q43" s="4">
        <f>'Base de données indicateurs1'!Q39</f>
        <v>307.39999999999998</v>
      </c>
      <c r="R43" s="4">
        <f>'Base de données indicateurs1'!R39</f>
        <v>10607</v>
      </c>
      <c r="S43" s="4">
        <f>'Base de données indicateurs1'!S39</f>
        <v>8931.7900000000009</v>
      </c>
      <c r="T43" s="4">
        <f>'Base de données indicateurs1'!T39</f>
        <v>41352.97</v>
      </c>
      <c r="U43" s="4">
        <f>'Base de données indicateurs1'!U39</f>
        <v>8919.2000000000007</v>
      </c>
      <c r="V43" s="4">
        <f>'Base de données indicateurs1'!V39</f>
        <v>132540.15</v>
      </c>
      <c r="W43" s="4">
        <f>'Base de données indicateurs1'!W39</f>
        <v>406055.6</v>
      </c>
      <c r="X43" s="4">
        <f>'Base de données indicateurs1'!X39</f>
        <v>1889.38</v>
      </c>
      <c r="Y43" s="4">
        <f>'Base de données indicateurs1'!Y39</f>
        <v>16408.3</v>
      </c>
      <c r="Z43" s="4">
        <f>'Base de données indicateurs1'!Z39</f>
        <v>3132885.03</v>
      </c>
      <c r="AA43" s="4">
        <f>'Base de données indicateurs1'!AA39</f>
        <v>0</v>
      </c>
      <c r="AB43" s="4">
        <f>'Base de données indicateurs1'!AB39</f>
        <v>7463.25</v>
      </c>
      <c r="AC43" s="4">
        <f>'Base de données indicateurs1'!AC39</f>
        <v>81437.100000000006</v>
      </c>
      <c r="AD43" s="4">
        <f>'Base de données indicateurs1'!AD39</f>
        <v>58675.06</v>
      </c>
      <c r="AE43" s="4">
        <f>'Base de données indicateurs1'!AE39</f>
        <v>24369.73</v>
      </c>
      <c r="AF43" s="4">
        <f>'Base de données indicateurs1'!AF39</f>
        <v>31256.28</v>
      </c>
      <c r="AG43" s="4">
        <f>'Base de données indicateurs1'!AG39</f>
        <v>1530576.78</v>
      </c>
      <c r="AH43" s="4">
        <f>'Base de données indicateurs1'!AH39</f>
        <v>669347.07999999996</v>
      </c>
      <c r="AI43" s="4">
        <f>'Base de données indicateurs1'!AI39</f>
        <v>21715.599999999999</v>
      </c>
      <c r="AJ43" s="4">
        <f>'Base de données indicateurs1'!AJ39</f>
        <v>3667</v>
      </c>
      <c r="AK43" s="4">
        <f>'Base de données indicateurs1'!AK39</f>
        <v>373929.65</v>
      </c>
      <c r="AL43" s="4">
        <f>'Base de données indicateurs1'!AL39</f>
        <v>48279</v>
      </c>
      <c r="AM43" s="4">
        <f>'Base de données indicateurs1'!AM39</f>
        <v>65945.75</v>
      </c>
      <c r="AN43" s="4">
        <f>'Base de données indicateurs1'!AN39</f>
        <v>10368.65</v>
      </c>
      <c r="AO43" s="4">
        <f>'Base de données indicateurs1'!AO39</f>
        <v>3851675.5</v>
      </c>
      <c r="AP43" s="4">
        <f>'Base de données indicateurs1'!AP39</f>
        <v>293639.55</v>
      </c>
      <c r="AQ43" s="4">
        <f>'Base de données indicateurs1'!AQ39</f>
        <v>10345</v>
      </c>
      <c r="AR43" s="4">
        <f>'Base de données indicateurs1'!AR39</f>
        <v>93326.42</v>
      </c>
      <c r="AS43" s="4">
        <f>'Base de données indicateurs1'!AS39</f>
        <v>14983.78</v>
      </c>
      <c r="AT43" s="4">
        <f>'Base de données indicateurs1'!AT39</f>
        <v>61337.4</v>
      </c>
      <c r="AU43" s="4">
        <f>'Base de données indicateurs1'!AU39</f>
        <v>130686.46</v>
      </c>
      <c r="AV43" s="4">
        <f>'Base de données indicateurs1'!AV39</f>
        <v>715760.85</v>
      </c>
      <c r="AW43" s="4">
        <f>'Base de données indicateurs1'!AW39</f>
        <v>135833.45000000001</v>
      </c>
      <c r="AX43" s="4">
        <f>'Base de données indicateurs1'!AX39</f>
        <v>6096.07</v>
      </c>
      <c r="AY43" s="4">
        <f>'Base de données indicateurs1'!AY39</f>
        <v>37440.879999999997</v>
      </c>
      <c r="AZ43" s="4">
        <f>'Base de données indicateurs1'!AZ39</f>
        <v>310800.92</v>
      </c>
      <c r="BA43" s="4">
        <f>'Base de données indicateurs1'!BA39</f>
        <v>14945.6</v>
      </c>
      <c r="BB43" s="4">
        <f>'Base de données indicateurs1'!BB39</f>
        <v>516787.33</v>
      </c>
      <c r="BC43" s="4">
        <f>'Base de données indicateurs1'!BC39</f>
        <v>1415.15</v>
      </c>
      <c r="BD43" s="4">
        <f>'Base de données indicateurs1'!BD39</f>
        <v>2530547.2000000002</v>
      </c>
      <c r="BE43" s="4">
        <f>'Base de données indicateurs1'!BE39</f>
        <v>33491.089999999997</v>
      </c>
      <c r="BF43" s="4">
        <f t="shared" si="0"/>
        <v>11459666.789999999</v>
      </c>
      <c r="BG43" s="4">
        <f t="shared" si="1"/>
        <v>5579690.5899999999</v>
      </c>
      <c r="BH43" s="4">
        <f t="shared" si="2"/>
        <v>9257635.6999999993</v>
      </c>
    </row>
    <row r="44" spans="1:60" x14ac:dyDescent="0.25">
      <c r="A44" s="96" t="s">
        <v>140</v>
      </c>
      <c r="B44" s="97" t="s">
        <v>225</v>
      </c>
      <c r="C44" s="96">
        <v>402</v>
      </c>
      <c r="D44" s="98">
        <f>'Base de données indicateurs1'!BF40</f>
        <v>26813247.600000001</v>
      </c>
      <c r="E44" s="4">
        <f>'Base de données indicateurs1'!E40</f>
        <v>281123.40000000002</v>
      </c>
      <c r="F44" s="4">
        <f>'Base de données indicateurs1'!F40</f>
        <v>138262.35</v>
      </c>
      <c r="G44" s="4">
        <f>'Base de données indicateurs1'!G40</f>
        <v>110576.6</v>
      </c>
      <c r="H44" s="4">
        <f>'Base de données indicateurs1'!H40</f>
        <v>170449.82</v>
      </c>
      <c r="I44" s="4">
        <f>'Base de données indicateurs1'!I40</f>
        <v>1335684</v>
      </c>
      <c r="J44" s="4">
        <f>'Base de données indicateurs1'!J40</f>
        <v>1139394.45</v>
      </c>
      <c r="K44" s="4">
        <f>'Base de données indicateurs1'!K40</f>
        <v>683222</v>
      </c>
      <c r="L44" s="4">
        <f>'Base de données indicateurs1'!L40</f>
        <v>4912126.33</v>
      </c>
      <c r="M44" s="4">
        <f>'Base de données indicateurs1'!M40</f>
        <v>462554.85</v>
      </c>
      <c r="N44" s="4">
        <f>'Base de données indicateurs1'!N40</f>
        <v>16427</v>
      </c>
      <c r="O44" s="4">
        <f>'Base de données indicateurs1'!O40</f>
        <v>2194295.7000000002</v>
      </c>
      <c r="P44" s="4">
        <f>'Base de données indicateurs1'!P40</f>
        <v>220168.56</v>
      </c>
      <c r="Q44" s="4">
        <f>'Base de données indicateurs1'!Q40</f>
        <v>25681.25</v>
      </c>
      <c r="R44" s="4">
        <f>'Base de données indicateurs1'!R40</f>
        <v>96107.61</v>
      </c>
      <c r="S44" s="4">
        <f>'Base de données indicateurs1'!S40</f>
        <v>91120.95</v>
      </c>
      <c r="T44" s="4">
        <f>'Base de données indicateurs1'!T40</f>
        <v>270036.59000000003</v>
      </c>
      <c r="U44" s="4">
        <f>'Base de données indicateurs1'!U40</f>
        <v>84421.05</v>
      </c>
      <c r="V44" s="4">
        <f>'Base de données indicateurs1'!V40</f>
        <v>151282.5</v>
      </c>
      <c r="W44" s="4">
        <f>'Base de données indicateurs1'!W40</f>
        <v>1036483.25</v>
      </c>
      <c r="X44" s="4">
        <f>'Base de données indicateurs1'!X40</f>
        <v>95719.5</v>
      </c>
      <c r="Y44" s="4">
        <f>'Base de données indicateurs1'!Y40</f>
        <v>259447.3</v>
      </c>
      <c r="Z44" s="4">
        <f>'Base de données indicateurs1'!Z40</f>
        <v>865026.73</v>
      </c>
      <c r="AA44" s="4">
        <f>'Base de données indicateurs1'!AA40</f>
        <v>39114.620000000003</v>
      </c>
      <c r="AB44" s="4">
        <f>'Base de données indicateurs1'!AB40</f>
        <v>70081.95</v>
      </c>
      <c r="AC44" s="4">
        <f>'Base de données indicateurs1'!AC40</f>
        <v>150596.65</v>
      </c>
      <c r="AD44" s="4">
        <f>'Base de données indicateurs1'!AD40</f>
        <v>218894.91</v>
      </c>
      <c r="AE44" s="4">
        <f>'Base de données indicateurs1'!AE40</f>
        <v>266902.92</v>
      </c>
      <c r="AF44" s="4">
        <f>'Base de données indicateurs1'!AF40</f>
        <v>234894.04</v>
      </c>
      <c r="AG44" s="4">
        <f>'Base de données indicateurs1'!AG40</f>
        <v>739422.05</v>
      </c>
      <c r="AH44" s="4">
        <f>'Base de données indicateurs1'!AH40</f>
        <v>808001.55</v>
      </c>
      <c r="AI44" s="4">
        <f>'Base de données indicateurs1'!AI40</f>
        <v>66988.38</v>
      </c>
      <c r="AJ44" s="4">
        <f>'Base de données indicateurs1'!AJ40</f>
        <v>134573.5</v>
      </c>
      <c r="AK44" s="4">
        <f>'Base de données indicateurs1'!AK40</f>
        <v>751901.55</v>
      </c>
      <c r="AL44" s="4">
        <f>'Base de données indicateurs1'!AL40</f>
        <v>409757</v>
      </c>
      <c r="AM44" s="4">
        <f>'Base de données indicateurs1'!AM40</f>
        <v>377571.85</v>
      </c>
      <c r="AN44" s="4">
        <f>'Base de données indicateurs1'!AN40</f>
        <v>45781.25</v>
      </c>
      <c r="AO44" s="4">
        <f>'Base de données indicateurs1'!AO40</f>
        <v>357193.1</v>
      </c>
      <c r="AP44" s="4">
        <f>'Base de données indicateurs1'!AP40</f>
        <v>255046.75</v>
      </c>
      <c r="AQ44" s="4">
        <f>'Base de données indicateurs1'!AQ40</f>
        <v>163150</v>
      </c>
      <c r="AR44" s="4">
        <f>'Base de données indicateurs1'!AR40</f>
        <v>585174.31000000006</v>
      </c>
      <c r="AS44" s="4">
        <f>'Base de données indicateurs1'!AS40</f>
        <v>313806.43</v>
      </c>
      <c r="AT44" s="4">
        <f>'Base de données indicateurs1'!AT40</f>
        <v>354657.5</v>
      </c>
      <c r="AU44" s="4">
        <f>'Base de données indicateurs1'!AU40</f>
        <v>43040.55</v>
      </c>
      <c r="AV44" s="4">
        <f>'Base de données indicateurs1'!AV40</f>
        <v>892136.85</v>
      </c>
      <c r="AW44" s="4">
        <f>'Base de données indicateurs1'!AW40</f>
        <v>347850.9</v>
      </c>
      <c r="AX44" s="4">
        <f>'Base de données indicateurs1'!AX40</f>
        <v>49210.86</v>
      </c>
      <c r="AY44" s="4">
        <f>'Base de données indicateurs1'!AY40</f>
        <v>150463.70000000001</v>
      </c>
      <c r="AZ44" s="4">
        <f>'Base de données indicateurs1'!AZ40</f>
        <v>509536.15</v>
      </c>
      <c r="BA44" s="4">
        <f>'Base de données indicateurs1'!BA40</f>
        <v>165610.9</v>
      </c>
      <c r="BB44" s="4">
        <f>'Base de données indicateurs1'!BB40</f>
        <v>442670.12</v>
      </c>
      <c r="BC44" s="4">
        <f>'Base de données indicateurs1'!BC40</f>
        <v>64155.35</v>
      </c>
      <c r="BD44" s="4">
        <f>'Base de données indicateurs1'!BD40</f>
        <v>2959789.75</v>
      </c>
      <c r="BE44" s="4">
        <f>'Base de données indicateurs1'!BE40</f>
        <v>205660.37</v>
      </c>
      <c r="BF44" s="4">
        <f t="shared" si="0"/>
        <v>13419418.26</v>
      </c>
      <c r="BG44" s="4">
        <f t="shared" si="1"/>
        <v>3949664.0999999996</v>
      </c>
      <c r="BH44" s="4">
        <f t="shared" si="2"/>
        <v>9444165.2400000002</v>
      </c>
    </row>
    <row r="45" spans="1:60" ht="15.75" thickBot="1" x14ac:dyDescent="0.3">
      <c r="A45" s="7"/>
      <c r="B45" s="52"/>
      <c r="C45" s="7"/>
      <c r="D45" s="4"/>
      <c r="BF45" s="4"/>
      <c r="BG45" s="4"/>
      <c r="BH45" s="4"/>
    </row>
    <row r="46" spans="1:60" ht="15.75" thickBot="1" x14ac:dyDescent="0.3">
      <c r="A46" s="7" t="s">
        <v>558</v>
      </c>
      <c r="B46" s="52"/>
      <c r="C46" s="7"/>
      <c r="D46" s="100">
        <f>SUM(D42:D44)</f>
        <v>219583756.48000005</v>
      </c>
      <c r="E46" s="118">
        <f>SUM(E42:E44)</f>
        <v>2470426.4499999997</v>
      </c>
      <c r="F46" s="4">
        <f t="shared" ref="F46:BE46" si="8">SUM(F42:F44)</f>
        <v>634260.71</v>
      </c>
      <c r="G46" s="4">
        <f t="shared" si="8"/>
        <v>1091960.83</v>
      </c>
      <c r="H46" s="4">
        <f t="shared" si="8"/>
        <v>1052514.8</v>
      </c>
      <c r="I46" s="4">
        <f t="shared" si="8"/>
        <v>9319103</v>
      </c>
      <c r="J46" s="4">
        <f t="shared" si="8"/>
        <v>9150482.7599999998</v>
      </c>
      <c r="K46" s="4">
        <f t="shared" si="8"/>
        <v>7206612.0199999996</v>
      </c>
      <c r="L46" s="4">
        <f t="shared" si="8"/>
        <v>40960748.509999998</v>
      </c>
      <c r="M46" s="4">
        <f t="shared" si="8"/>
        <v>3752078.9400000004</v>
      </c>
      <c r="N46" s="4">
        <f t="shared" si="8"/>
        <v>200257.25</v>
      </c>
      <c r="O46" s="4">
        <f t="shared" si="8"/>
        <v>18404098.25</v>
      </c>
      <c r="P46" s="4">
        <f t="shared" si="8"/>
        <v>1168277.1600000001</v>
      </c>
      <c r="Q46" s="4">
        <f t="shared" si="8"/>
        <v>259621.32</v>
      </c>
      <c r="R46" s="4">
        <f t="shared" si="8"/>
        <v>1001555.78</v>
      </c>
      <c r="S46" s="4">
        <f t="shared" si="8"/>
        <v>822737.03</v>
      </c>
      <c r="T46" s="4">
        <f t="shared" si="8"/>
        <v>2165264.61</v>
      </c>
      <c r="U46" s="4">
        <f t="shared" si="8"/>
        <v>507758.7</v>
      </c>
      <c r="V46" s="4">
        <f t="shared" si="8"/>
        <v>1260099.5999999999</v>
      </c>
      <c r="W46" s="4">
        <f t="shared" si="8"/>
        <v>8397410.25</v>
      </c>
      <c r="X46" s="4">
        <f t="shared" si="8"/>
        <v>802840.72</v>
      </c>
      <c r="Y46" s="4">
        <f t="shared" si="8"/>
        <v>5443416.0800000001</v>
      </c>
      <c r="Z46" s="4">
        <f t="shared" si="8"/>
        <v>6849425.4900000002</v>
      </c>
      <c r="AA46" s="4">
        <f t="shared" si="8"/>
        <v>240367.82</v>
      </c>
      <c r="AB46" s="4">
        <f t="shared" si="8"/>
        <v>349799.10000000003</v>
      </c>
      <c r="AC46" s="4">
        <f t="shared" si="8"/>
        <v>1407098.41</v>
      </c>
      <c r="AD46" s="4">
        <f t="shared" si="8"/>
        <v>1693005.97</v>
      </c>
      <c r="AE46" s="4">
        <f t="shared" si="8"/>
        <v>1471459.41</v>
      </c>
      <c r="AF46" s="4">
        <f t="shared" si="8"/>
        <v>1479105.31</v>
      </c>
      <c r="AG46" s="4">
        <f t="shared" si="8"/>
        <v>7012423.1799999997</v>
      </c>
      <c r="AH46" s="4">
        <f t="shared" si="8"/>
        <v>7756995.5800000001</v>
      </c>
      <c r="AI46" s="4">
        <f t="shared" si="8"/>
        <v>440610.93</v>
      </c>
      <c r="AJ46" s="4">
        <f t="shared" si="8"/>
        <v>381265.35</v>
      </c>
      <c r="AK46" s="4">
        <f t="shared" si="8"/>
        <v>5876786.6500000004</v>
      </c>
      <c r="AL46" s="4">
        <f t="shared" si="8"/>
        <v>2576455</v>
      </c>
      <c r="AM46" s="4">
        <f t="shared" si="8"/>
        <v>2856206.89</v>
      </c>
      <c r="AN46" s="4">
        <f t="shared" si="8"/>
        <v>337870.21</v>
      </c>
      <c r="AO46" s="4">
        <f t="shared" si="8"/>
        <v>7340543.25</v>
      </c>
      <c r="AP46" s="4">
        <f t="shared" si="8"/>
        <v>1906559.77</v>
      </c>
      <c r="AQ46" s="4">
        <f t="shared" si="8"/>
        <v>1712687</v>
      </c>
      <c r="AR46" s="4">
        <f t="shared" si="8"/>
        <v>3147253.36</v>
      </c>
      <c r="AS46" s="4">
        <f t="shared" si="8"/>
        <v>2039154.5899999999</v>
      </c>
      <c r="AT46" s="4">
        <f t="shared" si="8"/>
        <v>2529388.5</v>
      </c>
      <c r="AU46" s="4">
        <f t="shared" si="8"/>
        <v>278535.03000000003</v>
      </c>
      <c r="AV46" s="4">
        <f t="shared" si="8"/>
        <v>6787402.5499999989</v>
      </c>
      <c r="AW46" s="4">
        <f t="shared" si="8"/>
        <v>2534047.65</v>
      </c>
      <c r="AX46" s="4">
        <f t="shared" si="8"/>
        <v>368705.63</v>
      </c>
      <c r="AY46" s="4">
        <f t="shared" si="8"/>
        <v>902170.85000000009</v>
      </c>
      <c r="AZ46" s="4">
        <f t="shared" si="8"/>
        <v>5041649.5600000005</v>
      </c>
      <c r="BA46" s="4">
        <f t="shared" si="8"/>
        <v>941772.4</v>
      </c>
      <c r="BB46" s="4">
        <f t="shared" si="8"/>
        <v>3454712.89</v>
      </c>
      <c r="BC46" s="4">
        <f t="shared" si="8"/>
        <v>392862.11</v>
      </c>
      <c r="BD46" s="4">
        <f t="shared" si="8"/>
        <v>21937244.800000001</v>
      </c>
      <c r="BE46" s="4">
        <f t="shared" si="8"/>
        <v>1468666.4700000002</v>
      </c>
      <c r="BF46" s="4">
        <f t="shared" si="0"/>
        <v>109825267.96999998</v>
      </c>
      <c r="BG46" s="4">
        <f t="shared" si="1"/>
        <v>35327813.350000001</v>
      </c>
      <c r="BH46" s="4">
        <f t="shared" si="2"/>
        <v>74430675.159999996</v>
      </c>
    </row>
    <row r="47" spans="1:60" ht="15.75" thickBot="1" x14ac:dyDescent="0.3">
      <c r="B47" s="99"/>
      <c r="D47" s="4"/>
      <c r="BF47" s="4"/>
      <c r="BG47" s="4"/>
      <c r="BH47" s="4"/>
    </row>
    <row r="48" spans="1:60" ht="15.75" thickBot="1" x14ac:dyDescent="0.3">
      <c r="A48" s="7" t="s">
        <v>559</v>
      </c>
      <c r="B48" s="99"/>
      <c r="D48" s="100">
        <f>IF(D46&lt;&gt;0,D40/D46,"")*100</f>
        <v>-0.33279874236351298</v>
      </c>
      <c r="E48" s="118">
        <f>IF(E46&lt;&gt;0,E40/E46,"")*100</f>
        <v>-2.4964074522437216</v>
      </c>
      <c r="F48" s="4">
        <f t="shared" ref="F48:BH48" si="9">IF(F46&lt;&gt;0,F40/F46,"")*100</f>
        <v>0.99969458931170407</v>
      </c>
      <c r="G48" s="4">
        <f t="shared" si="9"/>
        <v>-1.4334158854397732</v>
      </c>
      <c r="H48" s="4">
        <f t="shared" si="9"/>
        <v>-0.97030939612440681</v>
      </c>
      <c r="I48" s="4">
        <f t="shared" si="9"/>
        <v>-0.20929052935674172</v>
      </c>
      <c r="J48" s="4">
        <f t="shared" si="9"/>
        <v>0.77268207431713676</v>
      </c>
      <c r="K48" s="4">
        <f t="shared" si="9"/>
        <v>-0.18509044143047937</v>
      </c>
      <c r="L48" s="4">
        <f t="shared" si="9"/>
        <v>1.0357422298970582</v>
      </c>
      <c r="M48" s="4">
        <f t="shared" si="9"/>
        <v>-4.0841089020371184</v>
      </c>
      <c r="N48" s="4">
        <f t="shared" si="9"/>
        <v>-6.716151350325644</v>
      </c>
      <c r="O48" s="4">
        <f t="shared" si="9"/>
        <v>0.39669751274013126</v>
      </c>
      <c r="P48" s="4">
        <f t="shared" si="9"/>
        <v>1.024461524181471</v>
      </c>
      <c r="Q48" s="4">
        <f t="shared" si="9"/>
        <v>-10.665580161136228</v>
      </c>
      <c r="R48" s="4">
        <f t="shared" si="9"/>
        <v>2.4709986696896702</v>
      </c>
      <c r="S48" s="4">
        <f t="shared" si="9"/>
        <v>6.0166478710700551</v>
      </c>
      <c r="T48" s="4">
        <f t="shared" si="9"/>
        <v>0.13484448905300334</v>
      </c>
      <c r="U48" s="4">
        <f t="shared" si="9"/>
        <v>0.86209453427385885</v>
      </c>
      <c r="V48" s="4">
        <f t="shared" si="9"/>
        <v>1.1271616942025855</v>
      </c>
      <c r="W48" s="4">
        <f t="shared" si="9"/>
        <v>-5.3267136734209193E-2</v>
      </c>
      <c r="X48" s="4">
        <f t="shared" si="9"/>
        <v>-16.270092777556179</v>
      </c>
      <c r="Y48" s="4">
        <f t="shared" si="9"/>
        <v>1.374281497143977</v>
      </c>
      <c r="Z48" s="4">
        <f t="shared" si="9"/>
        <v>-4.2092708420717484</v>
      </c>
      <c r="AA48" s="4">
        <f t="shared" si="9"/>
        <v>-4.9188489540738018</v>
      </c>
      <c r="AB48" s="4">
        <f t="shared" si="9"/>
        <v>-5.2876093734946723</v>
      </c>
      <c r="AC48" s="4">
        <f t="shared" si="9"/>
        <v>2.9637614330045343</v>
      </c>
      <c r="AD48" s="4">
        <f t="shared" si="9"/>
        <v>-2.2803126913958844</v>
      </c>
      <c r="AE48" s="4">
        <f t="shared" si="9"/>
        <v>1.8929037261041406</v>
      </c>
      <c r="AF48" s="4">
        <f t="shared" si="9"/>
        <v>-7.3638522736423688</v>
      </c>
      <c r="AG48" s="4">
        <f t="shared" si="9"/>
        <v>-1.3146719419748425</v>
      </c>
      <c r="AH48" s="4">
        <f t="shared" si="9"/>
        <v>0.22932602985961703</v>
      </c>
      <c r="AI48" s="4">
        <f t="shared" si="9"/>
        <v>2.7479368248990101</v>
      </c>
      <c r="AJ48" s="4">
        <f t="shared" si="9"/>
        <v>-6.078960493000479</v>
      </c>
      <c r="AK48" s="4">
        <f t="shared" si="9"/>
        <v>-0.45070889207795234</v>
      </c>
      <c r="AL48" s="4">
        <f t="shared" si="9"/>
        <v>-0.93702393404891604</v>
      </c>
      <c r="AM48" s="4">
        <f t="shared" si="9"/>
        <v>2.0808811227256716</v>
      </c>
      <c r="AN48" s="4">
        <f t="shared" si="9"/>
        <v>2.0470168115738883</v>
      </c>
      <c r="AO48" s="4">
        <f t="shared" si="9"/>
        <v>0.90503764826942501</v>
      </c>
      <c r="AP48" s="4">
        <f t="shared" si="9"/>
        <v>1.0639881486642302</v>
      </c>
      <c r="AQ48" s="4">
        <f t="shared" si="9"/>
        <v>1.8621032331068081</v>
      </c>
      <c r="AR48" s="4">
        <f t="shared" si="9"/>
        <v>-7.378193409888044</v>
      </c>
      <c r="AS48" s="4">
        <f t="shared" si="9"/>
        <v>-0.65747982353804768</v>
      </c>
      <c r="AT48" s="4">
        <f t="shared" si="9"/>
        <v>0.52343046550579364</v>
      </c>
      <c r="AU48" s="4">
        <f t="shared" si="9"/>
        <v>-1.8397398704213253</v>
      </c>
      <c r="AV48" s="4">
        <f t="shared" si="9"/>
        <v>3.5777743873464529</v>
      </c>
      <c r="AW48" s="4">
        <f t="shared" si="9"/>
        <v>0.3565528848678125</v>
      </c>
      <c r="AX48" s="4">
        <f t="shared" si="9"/>
        <v>-2.8014109792682031</v>
      </c>
      <c r="AY48" s="4">
        <f t="shared" si="9"/>
        <v>-4.4582010159162193</v>
      </c>
      <c r="AZ48" s="4">
        <f t="shared" si="9"/>
        <v>3.8111718736754092</v>
      </c>
      <c r="BA48" s="4">
        <f t="shared" si="9"/>
        <v>-1.8043733284177792</v>
      </c>
      <c r="BB48" s="4">
        <f t="shared" si="9"/>
        <v>-0.41092010977502635</v>
      </c>
      <c r="BC48" s="4">
        <f t="shared" si="9"/>
        <v>-2.9287604243636527</v>
      </c>
      <c r="BD48" s="4">
        <f t="shared" si="9"/>
        <v>-3.5671956398097899</v>
      </c>
      <c r="BE48" s="4">
        <f t="shared" si="9"/>
        <v>-1.4119604705076432</v>
      </c>
      <c r="BF48" s="4">
        <f t="shared" si="9"/>
        <v>0.33033236950452949</v>
      </c>
      <c r="BG48" s="4">
        <f t="shared" si="9"/>
        <v>-1.5225530509660035</v>
      </c>
      <c r="BH48" s="4">
        <f t="shared" si="9"/>
        <v>-0.7465681169833418</v>
      </c>
    </row>
    <row r="49" spans="1:4" x14ac:dyDescent="0.25">
      <c r="A49" s="102" t="s">
        <v>560</v>
      </c>
      <c r="B49" s="99"/>
      <c r="D49" s="4"/>
    </row>
  </sheetData>
  <mergeCells count="1">
    <mergeCell ref="A8:D8"/>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5" tint="0.59999389629810485"/>
  </sheetPr>
  <dimension ref="A8:BH20"/>
  <sheetViews>
    <sheetView workbookViewId="0">
      <pane xSplit="4" ySplit="11" topLeftCell="AL12" activePane="bottomRight" state="frozen"/>
      <selection pane="topRight" activeCell="E1" sqref="E1"/>
      <selection pane="bottomLeft" activeCell="A12" sqref="A12"/>
      <selection pane="bottomRight" activeCell="AL12" sqref="AL12"/>
    </sheetView>
  </sheetViews>
  <sheetFormatPr baseColWidth="10" defaultColWidth="11.42578125" defaultRowHeight="15" x14ac:dyDescent="0.25"/>
  <cols>
    <col min="1" max="1" width="51.85546875" customWidth="1"/>
    <col min="2" max="2" width="7.42578125" customWidth="1"/>
    <col min="4" max="4" width="22.85546875" customWidth="1"/>
    <col min="5" max="60" width="15.7109375" customWidth="1"/>
  </cols>
  <sheetData>
    <row r="8" spans="1:60" ht="18.75" x14ac:dyDescent="0.3">
      <c r="A8" s="181" t="s">
        <v>494</v>
      </c>
      <c r="B8" s="181"/>
      <c r="C8" s="181"/>
      <c r="D8" s="181"/>
    </row>
    <row r="10" spans="1:60" x14ac:dyDescent="0.25">
      <c r="A10" s="7" t="s">
        <v>561</v>
      </c>
      <c r="B10" s="92"/>
      <c r="C10" s="53" t="s">
        <v>496</v>
      </c>
      <c r="D10" s="53" t="s">
        <v>497</v>
      </c>
      <c r="E10" s="119">
        <f>'4.1 Comptes 2021 natures'!E2</f>
        <v>947</v>
      </c>
      <c r="F10" s="119">
        <f>'4.1 Comptes 2021 natures'!F2</f>
        <v>265</v>
      </c>
      <c r="G10" s="119">
        <f>'4.1 Comptes 2021 natures'!G2</f>
        <v>469</v>
      </c>
      <c r="H10" s="119">
        <f>'4.1 Comptes 2021 natures'!H2</f>
        <v>439</v>
      </c>
      <c r="I10" s="119">
        <f>'4.1 Comptes 2021 natures'!I2</f>
        <v>3728</v>
      </c>
      <c r="J10" s="119">
        <f>'4.1 Comptes 2021 natures'!J2</f>
        <v>3345</v>
      </c>
      <c r="K10" s="119">
        <f>'4.1 Comptes 2021 natures'!K2</f>
        <v>2652</v>
      </c>
      <c r="L10" s="119">
        <f>'4.1 Comptes 2021 natures'!L2</f>
        <v>12479</v>
      </c>
      <c r="M10" s="119">
        <f>'4.1 Comptes 2021 natures'!M2</f>
        <v>1359</v>
      </c>
      <c r="N10" s="119">
        <f>'4.1 Comptes 2021 natures'!N2</f>
        <v>117</v>
      </c>
      <c r="O10" s="119">
        <f>'4.1 Comptes 2021 natures'!O2</f>
        <v>7261</v>
      </c>
      <c r="P10" s="119">
        <f>'4.1 Comptes 2021 natures'!P2</f>
        <v>538</v>
      </c>
      <c r="Q10" s="119">
        <f>'4.1 Comptes 2021 natures'!Q2</f>
        <v>111</v>
      </c>
      <c r="R10" s="119">
        <f>'4.1 Comptes 2021 natures'!R2</f>
        <v>421</v>
      </c>
      <c r="S10" s="119">
        <f>'4.1 Comptes 2021 natures'!S2</f>
        <v>346</v>
      </c>
      <c r="T10" s="119">
        <f>'4.1 Comptes 2021 natures'!T2</f>
        <v>710</v>
      </c>
      <c r="U10" s="119">
        <f>'4.1 Comptes 2021 natures'!U2</f>
        <v>269</v>
      </c>
      <c r="V10" s="119">
        <f>'4.1 Comptes 2021 natures'!V2</f>
        <v>440</v>
      </c>
      <c r="W10" s="119">
        <f>'4.1 Comptes 2021 natures'!W2</f>
        <v>3229</v>
      </c>
      <c r="X10" s="120">
        <f>'4.1 Comptes 2021 natures'!X2</f>
        <v>310</v>
      </c>
      <c r="Y10" s="120">
        <f>'4.1 Comptes 2021 natures'!Y2</f>
        <v>1270</v>
      </c>
      <c r="Z10" s="120">
        <f>'4.1 Comptes 2021 natures'!Z2</f>
        <v>1506</v>
      </c>
      <c r="AA10" s="120">
        <f>'4.1 Comptes 2021 natures'!AA2</f>
        <v>96</v>
      </c>
      <c r="AB10" s="120">
        <f>'4.1 Comptes 2021 natures'!AB2</f>
        <v>148</v>
      </c>
      <c r="AC10" s="120">
        <f>'4.1 Comptes 2021 natures'!AC2</f>
        <v>518</v>
      </c>
      <c r="AD10" s="120">
        <f>'4.1 Comptes 2021 natures'!AD2</f>
        <v>701</v>
      </c>
      <c r="AE10" s="120">
        <f>'4.1 Comptes 2021 natures'!AE2</f>
        <v>564</v>
      </c>
      <c r="AF10" s="120">
        <f>'4.1 Comptes 2021 natures'!AF2</f>
        <v>525</v>
      </c>
      <c r="AG10" s="120">
        <f>'4.1 Comptes 2021 natures'!AG2</f>
        <v>1909</v>
      </c>
      <c r="AH10" s="120">
        <f>'4.1 Comptes 2021 natures'!AH2</f>
        <v>2580</v>
      </c>
      <c r="AI10" s="120">
        <f>'4.1 Comptes 2021 natures'!AI2</f>
        <v>222</v>
      </c>
      <c r="AJ10" s="120">
        <f>'4.1 Comptes 2021 natures'!AJ2</f>
        <v>129</v>
      </c>
      <c r="AK10" s="121">
        <f>'4.1 Comptes 2021 natures'!AK2</f>
        <v>1891</v>
      </c>
      <c r="AL10" s="121">
        <f>'4.1 Comptes 2021 natures'!AL2</f>
        <v>1126</v>
      </c>
      <c r="AM10" s="121">
        <f>'4.1 Comptes 2021 natures'!AM2</f>
        <v>1225</v>
      </c>
      <c r="AN10" s="121">
        <f>'4.1 Comptes 2021 natures'!AN2</f>
        <v>117</v>
      </c>
      <c r="AO10" s="121">
        <f>'4.1 Comptes 2021 natures'!AO2</f>
        <v>1185</v>
      </c>
      <c r="AP10" s="121">
        <f>'4.1 Comptes 2021 natures'!AP2</f>
        <v>642</v>
      </c>
      <c r="AQ10" s="121">
        <f>'4.1 Comptes 2021 natures'!AQ2</f>
        <v>633</v>
      </c>
      <c r="AR10" s="121">
        <f>'4.1 Comptes 2021 natures'!AR2</f>
        <v>1284</v>
      </c>
      <c r="AS10" s="121">
        <f>'4.1 Comptes 2021 natures'!AS2</f>
        <v>731</v>
      </c>
      <c r="AT10" s="121">
        <f>'4.1 Comptes 2021 natures'!AT2</f>
        <v>1016</v>
      </c>
      <c r="AU10" s="121">
        <f>'4.1 Comptes 2021 natures'!AU2</f>
        <v>304</v>
      </c>
      <c r="AV10" s="121">
        <f>'4.1 Comptes 2021 natures'!AV2</f>
        <v>2412</v>
      </c>
      <c r="AW10" s="121">
        <f>'4.1 Comptes 2021 natures'!AW2</f>
        <v>735</v>
      </c>
      <c r="AX10" s="121">
        <f>'4.1 Comptes 2021 natures'!AX2</f>
        <v>185</v>
      </c>
      <c r="AY10" s="121">
        <f>'4.1 Comptes 2021 natures'!AY2</f>
        <v>340</v>
      </c>
      <c r="AZ10" s="121">
        <f>'4.1 Comptes 2021 natures'!AZ2</f>
        <v>1697</v>
      </c>
      <c r="BA10" s="121">
        <f>'4.1 Comptes 2021 natures'!BA2</f>
        <v>390</v>
      </c>
      <c r="BB10" s="121">
        <f>'4.1 Comptes 2021 natures'!BB2</f>
        <v>1073</v>
      </c>
      <c r="BC10" s="121">
        <f>'4.1 Comptes 2021 natures'!BC2</f>
        <v>184</v>
      </c>
      <c r="BD10" s="121">
        <f>'4.1 Comptes 2021 natures'!BD2</f>
        <v>6466</v>
      </c>
      <c r="BE10" s="121">
        <f>'4.1 Comptes 2021 natures'!BE2</f>
        <v>559</v>
      </c>
      <c r="BF10" s="1" t="str">
        <f>'4.1 Comptes 2021 natures'!BG2</f>
        <v>ct</v>
      </c>
      <c r="BG10" s="1">
        <f>'4.1 Comptes 2021 natures'!BH2</f>
        <v>10478</v>
      </c>
      <c r="BH10" s="1">
        <f>'4.1 Comptes 2021 natures'!BI2</f>
        <v>24195</v>
      </c>
    </row>
    <row r="11" spans="1:60" x14ac:dyDescent="0.25">
      <c r="B11" s="92"/>
      <c r="E11" s="33" t="s">
        <v>56</v>
      </c>
      <c r="F11" s="33" t="s">
        <v>18</v>
      </c>
      <c r="G11" s="33" t="s">
        <v>57</v>
      </c>
      <c r="H11" s="33" t="s">
        <v>53</v>
      </c>
      <c r="I11" s="33" t="s">
        <v>33</v>
      </c>
      <c r="J11" s="33" t="s">
        <v>10</v>
      </c>
      <c r="K11" s="33" t="s">
        <v>15</v>
      </c>
      <c r="L11" s="33" t="s">
        <v>28</v>
      </c>
      <c r="M11" s="33" t="s">
        <v>42</v>
      </c>
      <c r="N11" s="33" t="s">
        <v>23</v>
      </c>
      <c r="O11" s="33" t="s">
        <v>22</v>
      </c>
      <c r="P11" s="33" t="s">
        <v>13</v>
      </c>
      <c r="Q11" s="33" t="s">
        <v>17</v>
      </c>
      <c r="R11" s="33" t="s">
        <v>43</v>
      </c>
      <c r="S11" s="33" t="s">
        <v>40</v>
      </c>
      <c r="T11" s="33" t="s">
        <v>31</v>
      </c>
      <c r="U11" s="33" t="s">
        <v>12</v>
      </c>
      <c r="V11" s="33" t="s">
        <v>59</v>
      </c>
      <c r="W11" s="33" t="s">
        <v>27</v>
      </c>
      <c r="X11" s="34" t="s">
        <v>30</v>
      </c>
      <c r="Y11" s="34" t="s">
        <v>20</v>
      </c>
      <c r="Z11" s="34" t="s">
        <v>45</v>
      </c>
      <c r="AA11" s="34" t="s">
        <v>71</v>
      </c>
      <c r="AB11" s="34" t="s">
        <v>39</v>
      </c>
      <c r="AC11" s="34" t="s">
        <v>19</v>
      </c>
      <c r="AD11" s="34" t="s">
        <v>41</v>
      </c>
      <c r="AE11" s="34" t="s">
        <v>36</v>
      </c>
      <c r="AF11" s="34" t="s">
        <v>7</v>
      </c>
      <c r="AG11" s="34" t="s">
        <v>55</v>
      </c>
      <c r="AH11" s="34" t="s">
        <v>21</v>
      </c>
      <c r="AI11" s="34" t="s">
        <v>6</v>
      </c>
      <c r="AJ11" s="34" t="s">
        <v>34</v>
      </c>
      <c r="AK11" s="35" t="s">
        <v>52</v>
      </c>
      <c r="AL11" s="35" t="s">
        <v>14</v>
      </c>
      <c r="AM11" s="35" t="s">
        <v>32</v>
      </c>
      <c r="AN11" s="35" t="s">
        <v>29</v>
      </c>
      <c r="AO11" s="35" t="s">
        <v>26</v>
      </c>
      <c r="AP11" s="35" t="s">
        <v>48</v>
      </c>
      <c r="AQ11" s="35" t="s">
        <v>44</v>
      </c>
      <c r="AR11" s="35" t="s">
        <v>37</v>
      </c>
      <c r="AS11" s="35" t="s">
        <v>51</v>
      </c>
      <c r="AT11" s="35" t="s">
        <v>8</v>
      </c>
      <c r="AU11" s="35" t="s">
        <v>24</v>
      </c>
      <c r="AV11" s="35" t="s">
        <v>9</v>
      </c>
      <c r="AW11" s="35" t="s">
        <v>62</v>
      </c>
      <c r="AX11" s="35" t="s">
        <v>46</v>
      </c>
      <c r="AY11" s="35" t="s">
        <v>35</v>
      </c>
      <c r="AZ11" s="35" t="s">
        <v>49</v>
      </c>
      <c r="BA11" s="35" t="s">
        <v>47</v>
      </c>
      <c r="BB11" s="35" t="s">
        <v>58</v>
      </c>
      <c r="BC11" s="35" t="s">
        <v>50</v>
      </c>
      <c r="BD11" s="35" t="s">
        <v>16</v>
      </c>
      <c r="BE11" s="35" t="s">
        <v>25</v>
      </c>
      <c r="BF11" s="37" t="s">
        <v>28</v>
      </c>
      <c r="BG11" s="34" t="s">
        <v>64</v>
      </c>
      <c r="BH11" s="35" t="s">
        <v>16</v>
      </c>
    </row>
    <row r="12" spans="1:60" x14ac:dyDescent="0.25">
      <c r="A12" s="93" t="s">
        <v>562</v>
      </c>
      <c r="B12" s="94" t="s">
        <v>500</v>
      </c>
      <c r="C12" s="93">
        <v>299</v>
      </c>
      <c r="D12" s="95">
        <f>'Base de données indicateurs1'!BF14</f>
        <v>100865812.59000003</v>
      </c>
      <c r="E12" s="4">
        <f>'Base de données indicateurs1'!E14</f>
        <v>2069048.43</v>
      </c>
      <c r="F12" s="4">
        <f>'Base de données indicateurs1'!F14</f>
        <v>127490.92</v>
      </c>
      <c r="G12" s="4">
        <f>'Base de données indicateurs1'!G14</f>
        <v>-139643.88</v>
      </c>
      <c r="H12" s="4">
        <f>'Base de données indicateurs1'!H14</f>
        <v>1172311.1200000001</v>
      </c>
      <c r="I12" s="4">
        <f>'Base de données indicateurs1'!I14</f>
        <v>4902188</v>
      </c>
      <c r="J12" s="4">
        <f>'Base de données indicateurs1'!J14</f>
        <v>2114950.44</v>
      </c>
      <c r="K12" s="4">
        <f>'Base de données indicateurs1'!K14</f>
        <v>2918225.13</v>
      </c>
      <c r="L12" s="4">
        <f>'Base de données indicateurs1'!L14</f>
        <v>3641639.15</v>
      </c>
      <c r="M12" s="4">
        <f>'Base de données indicateurs1'!M14</f>
        <v>1078367.83</v>
      </c>
      <c r="N12" s="4">
        <f>'Base de données indicateurs1'!N14</f>
        <v>545419.93000000005</v>
      </c>
      <c r="O12" s="4">
        <f>'Base de données indicateurs1'!O14</f>
        <v>328580.07</v>
      </c>
      <c r="P12" s="4">
        <f>'Base de données indicateurs1'!P14</f>
        <v>870195.9</v>
      </c>
      <c r="Q12" s="4">
        <f>'Base de données indicateurs1'!Q14</f>
        <v>55492.12</v>
      </c>
      <c r="R12" s="4">
        <f>'Base de données indicateurs1'!R14</f>
        <v>251856.94</v>
      </c>
      <c r="S12" s="4">
        <f>'Base de données indicateurs1'!S14</f>
        <v>-235158.55</v>
      </c>
      <c r="T12" s="4">
        <f>'Base de données indicateurs1'!T14</f>
        <v>969710.25</v>
      </c>
      <c r="U12" s="4">
        <f>'Base de données indicateurs1'!U14</f>
        <v>369776.03</v>
      </c>
      <c r="V12" s="4">
        <f>'Base de données indicateurs1'!V14</f>
        <v>230388.43</v>
      </c>
      <c r="W12" s="4">
        <f>'Base de données indicateurs1'!W14</f>
        <v>1701670.13</v>
      </c>
      <c r="X12" s="4">
        <f>'Base de données indicateurs1'!X14</f>
        <v>2382632</v>
      </c>
      <c r="Y12" s="4">
        <f>'Base de données indicateurs1'!Y14</f>
        <v>3013602.85</v>
      </c>
      <c r="Z12" s="4">
        <f>'Base de données indicateurs1'!Z14</f>
        <v>11642204.380000001</v>
      </c>
      <c r="AA12" s="4">
        <f>'Base de données indicateurs1'!AA14</f>
        <v>359527.63</v>
      </c>
      <c r="AB12" s="4">
        <f>'Base de données indicateurs1'!AB14</f>
        <v>1093652.3799999999</v>
      </c>
      <c r="AC12" s="4">
        <f>'Base de données indicateurs1'!AC14</f>
        <v>819609.84</v>
      </c>
      <c r="AD12" s="4">
        <f>'Base de données indicateurs1'!AD14</f>
        <v>715356.11</v>
      </c>
      <c r="AE12" s="4">
        <f>'Base de données indicateurs1'!AE14</f>
        <v>1176011.99</v>
      </c>
      <c r="AF12" s="4">
        <f>'Base de données indicateurs1'!AF14</f>
        <v>4624157.3</v>
      </c>
      <c r="AG12" s="4">
        <f>'Base de données indicateurs1'!AG14</f>
        <v>3981805.73</v>
      </c>
      <c r="AH12" s="4">
        <f>'Base de données indicateurs1'!AH14</f>
        <v>1901857.74</v>
      </c>
      <c r="AI12" s="4">
        <f>'Base de données indicateurs1'!AI14</f>
        <v>1126620.6000000001</v>
      </c>
      <c r="AJ12" s="4">
        <f>'Base de données indicateurs1'!AJ14</f>
        <v>1358453.23</v>
      </c>
      <c r="AK12" s="4">
        <f>'Base de données indicateurs1'!AK14</f>
        <v>745205.46</v>
      </c>
      <c r="AL12" s="4">
        <f>'Base de données indicateurs1'!AL14</f>
        <v>3388985.41</v>
      </c>
      <c r="AM12" s="4">
        <f>'Base de données indicateurs1'!AM14</f>
        <v>2634789.11</v>
      </c>
      <c r="AN12" s="4">
        <f>'Base de données indicateurs1'!AN14</f>
        <v>513721.09</v>
      </c>
      <c r="AO12" s="4">
        <f>'Base de données indicateurs1'!AO14</f>
        <v>6934776.4000000004</v>
      </c>
      <c r="AP12" s="4">
        <f>'Base de données indicateurs1'!AP14</f>
        <v>1859200.25</v>
      </c>
      <c r="AQ12" s="4">
        <f>'Base de données indicateurs1'!AQ14</f>
        <v>1247136</v>
      </c>
      <c r="AR12" s="4">
        <f>'Base de données indicateurs1'!AR14</f>
        <v>7568228.8700000001</v>
      </c>
      <c r="AS12" s="4">
        <f>'Base de données indicateurs1'!AS14</f>
        <v>361872.32</v>
      </c>
      <c r="AT12" s="4">
        <f>'Base de données indicateurs1'!AT14</f>
        <v>537738.39</v>
      </c>
      <c r="AU12" s="4">
        <f>'Base de données indicateurs1'!AU14</f>
        <v>2993715.14</v>
      </c>
      <c r="AV12" s="4">
        <f>'Base de données indicateurs1'!AV14</f>
        <v>4999580.3</v>
      </c>
      <c r="AW12" s="4">
        <f>'Base de données indicateurs1'!AW14</f>
        <v>576147.78</v>
      </c>
      <c r="AX12" s="4">
        <f>'Base de données indicateurs1'!AX14</f>
        <v>168122</v>
      </c>
      <c r="AY12" s="4">
        <f>'Base de données indicateurs1'!AY14</f>
        <v>592723.38</v>
      </c>
      <c r="AZ12" s="4">
        <f>'Base de données indicateurs1'!AZ14</f>
        <v>2121290.9</v>
      </c>
      <c r="BA12" s="4">
        <f>'Base de données indicateurs1'!BA14</f>
        <v>1474378.81</v>
      </c>
      <c r="BB12" s="4">
        <f>'Base de données indicateurs1'!BB14</f>
        <v>2353345.9300000002</v>
      </c>
      <c r="BC12" s="4">
        <f>'Base de données indicateurs1'!BC14</f>
        <v>772481.9</v>
      </c>
      <c r="BD12" s="4">
        <f>'Base de données indicateurs1'!BD14</f>
        <v>1169070.55</v>
      </c>
      <c r="BE12" s="4">
        <f>'Base de données indicateurs1'!BE14</f>
        <v>685302.43</v>
      </c>
      <c r="BF12" s="4">
        <f>SUM(E12:W12)</f>
        <v>22972508.390000001</v>
      </c>
      <c r="BG12" s="4">
        <f>SUM(X12:AJ12)</f>
        <v>34195491.779999994</v>
      </c>
      <c r="BH12" s="4">
        <f>SUM(AK12:BE12)</f>
        <v>43697812.420000002</v>
      </c>
    </row>
    <row r="13" spans="1:60" ht="15.75" thickBot="1" x14ac:dyDescent="0.3">
      <c r="B13" s="99"/>
      <c r="D13" s="4"/>
      <c r="BF13" s="4"/>
      <c r="BG13" s="4"/>
      <c r="BH13" s="4"/>
    </row>
    <row r="14" spans="1:60" ht="15.75" thickBot="1" x14ac:dyDescent="0.3">
      <c r="A14" s="7" t="s">
        <v>563</v>
      </c>
      <c r="B14" s="52"/>
      <c r="C14" s="7"/>
      <c r="D14" s="100">
        <f>D12</f>
        <v>100865812.59000003</v>
      </c>
      <c r="E14" s="4">
        <f>E12</f>
        <v>2069048.43</v>
      </c>
      <c r="F14" s="4">
        <f t="shared" ref="F14:BE14" si="0">F12</f>
        <v>127490.92</v>
      </c>
      <c r="G14" s="4">
        <f t="shared" si="0"/>
        <v>-139643.88</v>
      </c>
      <c r="H14" s="4">
        <f t="shared" si="0"/>
        <v>1172311.1200000001</v>
      </c>
      <c r="I14" s="4">
        <f t="shared" si="0"/>
        <v>4902188</v>
      </c>
      <c r="J14" s="4">
        <f t="shared" si="0"/>
        <v>2114950.44</v>
      </c>
      <c r="K14" s="4">
        <f t="shared" si="0"/>
        <v>2918225.13</v>
      </c>
      <c r="L14" s="4">
        <f t="shared" si="0"/>
        <v>3641639.15</v>
      </c>
      <c r="M14" s="4">
        <f t="shared" si="0"/>
        <v>1078367.83</v>
      </c>
      <c r="N14" s="4">
        <f t="shared" si="0"/>
        <v>545419.93000000005</v>
      </c>
      <c r="O14" s="4">
        <f t="shared" si="0"/>
        <v>328580.07</v>
      </c>
      <c r="P14" s="4">
        <f t="shared" si="0"/>
        <v>870195.9</v>
      </c>
      <c r="Q14" s="4">
        <f t="shared" si="0"/>
        <v>55492.12</v>
      </c>
      <c r="R14" s="4">
        <f t="shared" si="0"/>
        <v>251856.94</v>
      </c>
      <c r="S14" s="4">
        <f t="shared" si="0"/>
        <v>-235158.55</v>
      </c>
      <c r="T14" s="4">
        <f t="shared" si="0"/>
        <v>969710.25</v>
      </c>
      <c r="U14" s="4">
        <f t="shared" si="0"/>
        <v>369776.03</v>
      </c>
      <c r="V14" s="4">
        <f t="shared" si="0"/>
        <v>230388.43</v>
      </c>
      <c r="W14" s="4">
        <f t="shared" si="0"/>
        <v>1701670.13</v>
      </c>
      <c r="X14" s="4">
        <f t="shared" si="0"/>
        <v>2382632</v>
      </c>
      <c r="Y14" s="4">
        <f t="shared" si="0"/>
        <v>3013602.85</v>
      </c>
      <c r="Z14" s="4">
        <f t="shared" si="0"/>
        <v>11642204.380000001</v>
      </c>
      <c r="AA14" s="4">
        <f t="shared" si="0"/>
        <v>359527.63</v>
      </c>
      <c r="AB14" s="4">
        <f t="shared" si="0"/>
        <v>1093652.3799999999</v>
      </c>
      <c r="AC14" s="4">
        <f t="shared" si="0"/>
        <v>819609.84</v>
      </c>
      <c r="AD14" s="4">
        <f t="shared" si="0"/>
        <v>715356.11</v>
      </c>
      <c r="AE14" s="4">
        <f t="shared" si="0"/>
        <v>1176011.99</v>
      </c>
      <c r="AF14" s="4">
        <f t="shared" si="0"/>
        <v>4624157.3</v>
      </c>
      <c r="AG14" s="4">
        <f t="shared" si="0"/>
        <v>3981805.73</v>
      </c>
      <c r="AH14" s="4">
        <f t="shared" si="0"/>
        <v>1901857.74</v>
      </c>
      <c r="AI14" s="4">
        <f t="shared" si="0"/>
        <v>1126620.6000000001</v>
      </c>
      <c r="AJ14" s="4">
        <f t="shared" si="0"/>
        <v>1358453.23</v>
      </c>
      <c r="AK14" s="4">
        <f t="shared" si="0"/>
        <v>745205.46</v>
      </c>
      <c r="AL14" s="4">
        <f t="shared" si="0"/>
        <v>3388985.41</v>
      </c>
      <c r="AM14" s="4">
        <f t="shared" si="0"/>
        <v>2634789.11</v>
      </c>
      <c r="AN14" s="4">
        <f t="shared" si="0"/>
        <v>513721.09</v>
      </c>
      <c r="AO14" s="4">
        <f t="shared" si="0"/>
        <v>6934776.4000000004</v>
      </c>
      <c r="AP14" s="4">
        <f t="shared" si="0"/>
        <v>1859200.25</v>
      </c>
      <c r="AQ14" s="4">
        <f t="shared" si="0"/>
        <v>1247136</v>
      </c>
      <c r="AR14" s="4">
        <f t="shared" si="0"/>
        <v>7568228.8700000001</v>
      </c>
      <c r="AS14" s="4">
        <f t="shared" si="0"/>
        <v>361872.32</v>
      </c>
      <c r="AT14" s="4">
        <f t="shared" si="0"/>
        <v>537738.39</v>
      </c>
      <c r="AU14" s="4">
        <f t="shared" si="0"/>
        <v>2993715.14</v>
      </c>
      <c r="AV14" s="4">
        <f t="shared" si="0"/>
        <v>4999580.3</v>
      </c>
      <c r="AW14" s="4">
        <f t="shared" si="0"/>
        <v>576147.78</v>
      </c>
      <c r="AX14" s="4">
        <f t="shared" si="0"/>
        <v>168122</v>
      </c>
      <c r="AY14" s="4">
        <f t="shared" si="0"/>
        <v>592723.38</v>
      </c>
      <c r="AZ14" s="4">
        <f t="shared" si="0"/>
        <v>2121290.9</v>
      </c>
      <c r="BA14" s="4">
        <f t="shared" si="0"/>
        <v>1474378.81</v>
      </c>
      <c r="BB14" s="4">
        <f t="shared" si="0"/>
        <v>2353345.9300000002</v>
      </c>
      <c r="BC14" s="4">
        <f t="shared" si="0"/>
        <v>772481.9</v>
      </c>
      <c r="BD14" s="4">
        <f t="shared" si="0"/>
        <v>1169070.55</v>
      </c>
      <c r="BE14" s="4">
        <f t="shared" si="0"/>
        <v>685302.43</v>
      </c>
      <c r="BF14" s="4">
        <f t="shared" ref="BF14:BF16" si="1">SUM(E14:W14)</f>
        <v>22972508.390000001</v>
      </c>
      <c r="BG14" s="4">
        <f t="shared" ref="BG14:BG16" si="2">SUM(X14:AJ14)</f>
        <v>34195491.779999994</v>
      </c>
      <c r="BH14" s="4">
        <f t="shared" ref="BH14:BH16" si="3">SUM(AK14:BE14)</f>
        <v>43697812.420000002</v>
      </c>
    </row>
    <row r="15" spans="1:60" ht="15.75" thickBot="1" x14ac:dyDescent="0.3">
      <c r="B15" s="99"/>
      <c r="D15" s="4"/>
      <c r="BF15" s="4"/>
      <c r="BG15" s="4"/>
      <c r="BH15" s="4"/>
    </row>
    <row r="16" spans="1:60" ht="15.75" thickBot="1" x14ac:dyDescent="0.3">
      <c r="A16" s="7" t="s">
        <v>503</v>
      </c>
      <c r="B16" s="99"/>
      <c r="D16" s="100">
        <f>'Endett. net + degré d''auto.'!D22</f>
        <v>208536320.98000005</v>
      </c>
      <c r="E16" s="4">
        <f>'Endett. net + degré d''auto.'!E22</f>
        <v>2189303.0499999998</v>
      </c>
      <c r="F16" s="4">
        <f>'Endett. net + degré d''auto.'!F22</f>
        <v>610136.36</v>
      </c>
      <c r="G16" s="4">
        <f>'Endett. net + degré d''auto.'!G22</f>
        <v>1040314.23</v>
      </c>
      <c r="H16" s="4">
        <f>'Endett. net + degré d''auto.'!H22</f>
        <v>1029374.9800000001</v>
      </c>
      <c r="I16" s="4">
        <f>'Endett. net + degré d''auto.'!I22</f>
        <v>9291327</v>
      </c>
      <c r="J16" s="4">
        <f>'Endett. net + degré d''auto.'!J22</f>
        <v>8165639.3100000005</v>
      </c>
      <c r="K16" s="4">
        <f>'Endett. net + degré d''auto.'!K22</f>
        <v>6395226.0199999996</v>
      </c>
      <c r="L16" s="4">
        <f>'Endett. net + degré d''auto.'!L22</f>
        <v>36068022.380000003</v>
      </c>
      <c r="M16" s="4">
        <f>'Endett. net + degré d''auto.'!M22</f>
        <v>3247663.14</v>
      </c>
      <c r="N16" s="4">
        <f>'Endett. net + degré d''auto.'!N22</f>
        <v>298310.25</v>
      </c>
      <c r="O16" s="4">
        <f>'Endett. net + degré d''auto.'!O22</f>
        <v>17762847.550000001</v>
      </c>
      <c r="P16" s="4">
        <f>'Endett. net + degré d''auto.'!P22</f>
        <v>1254894.6000000001</v>
      </c>
      <c r="Q16" s="4">
        <f>'Endett. net + degré d''auto.'!Q22</f>
        <v>246461.07</v>
      </c>
      <c r="R16" s="4">
        <f>'Endett. net + degré d''auto.'!R22</f>
        <v>1100218.17</v>
      </c>
      <c r="S16" s="4">
        <f>'Endett. net + degré d''auto.'!S22</f>
        <v>905850.08000000007</v>
      </c>
      <c r="T16" s="4">
        <f>'Endett. net + degré d''auto.'!T22</f>
        <v>1865532.07</v>
      </c>
      <c r="U16" s="4">
        <f>'Endett. net + degré d''auto.'!U22</f>
        <v>581570.65</v>
      </c>
      <c r="V16" s="4">
        <f>'Endett. net + degré d''auto.'!V22</f>
        <v>1056354.0999999999</v>
      </c>
      <c r="W16" s="4">
        <f>'Endett. net + degré d''auto.'!W22</f>
        <v>8591757</v>
      </c>
      <c r="X16" s="4">
        <f>'Endett. net + degré d''auto.'!X22</f>
        <v>740985.22</v>
      </c>
      <c r="Y16" s="4">
        <f>'Endett. net + degré d''auto.'!Y22</f>
        <v>5198106.78</v>
      </c>
      <c r="Z16" s="4">
        <f>'Endett. net + degré d''auto.'!Z22</f>
        <v>4168240.76</v>
      </c>
      <c r="AA16" s="4">
        <f>'Endett. net + degré d''auto.'!AA22</f>
        <v>293067.2</v>
      </c>
      <c r="AB16" s="4">
        <f>'Endett. net + degré d''auto.'!AB22</f>
        <v>341401.15</v>
      </c>
      <c r="AC16" s="4">
        <f>'Endett. net + degré d''auto.'!AC22</f>
        <v>1244121.76</v>
      </c>
      <c r="AD16" s="4">
        <f>'Endett. net + degré d''auto.'!AD22</f>
        <v>1790769.06</v>
      </c>
      <c r="AE16" s="4">
        <f>'Endett. net + degré d''auto.'!AE22</f>
        <v>1325986.49</v>
      </c>
      <c r="AF16" s="4">
        <f>'Endett. net + degré d''auto.'!AF22</f>
        <v>1242880.27</v>
      </c>
      <c r="AG16" s="4">
        <f>'Endett. net + degré d''auto.'!AG22</f>
        <v>5983844.1299999999</v>
      </c>
      <c r="AH16" s="4">
        <f>'Endett. net + degré d''auto.'!AH22</f>
        <v>7226944.0300000003</v>
      </c>
      <c r="AI16" s="4">
        <f>'Endett. net + degré d''auto.'!AI22</f>
        <v>589642.55000000005</v>
      </c>
      <c r="AJ16" s="4">
        <f>'Endett. net + degré d''auto.'!AJ22</f>
        <v>302295.84999999998</v>
      </c>
      <c r="AK16" s="4">
        <f>'Endett. net + degré d''auto.'!AK22</f>
        <v>5452789.1000000006</v>
      </c>
      <c r="AL16" s="4">
        <f>'Endett. net + degré d''auto.'!AL22</f>
        <v>2145311</v>
      </c>
      <c r="AM16" s="4">
        <f>'Endett. net + degré d''auto.'!AM22</f>
        <v>3295917.04</v>
      </c>
      <c r="AN16" s="4">
        <f>'Endett. net + degré d''auto.'!AN22</f>
        <v>341618.96</v>
      </c>
      <c r="AO16" s="4">
        <f>'Endett. net + degré d''auto.'!AO22</f>
        <v>6983350.1500000004</v>
      </c>
      <c r="AP16" s="4">
        <f>'Endett. net + degré d''auto.'!AP22</f>
        <v>1649131.02</v>
      </c>
      <c r="AQ16" s="4">
        <f>'Endett. net + degré d''auto.'!AQ22</f>
        <v>1531960</v>
      </c>
      <c r="AR16" s="4">
        <f>'Endett. net + degré d''auto.'!AR22</f>
        <v>3220725.05</v>
      </c>
      <c r="AS16" s="4">
        <f>'Endett. net + degré d''auto.'!AS22</f>
        <v>2203666.16</v>
      </c>
      <c r="AT16" s="4">
        <f>'Endett. net + degré d''auto.'!AT22</f>
        <v>2504899</v>
      </c>
      <c r="AU16" s="4">
        <f>'Endett. net + degré d''auto.'!AU22</f>
        <v>145690.48000000001</v>
      </c>
      <c r="AV16" s="4">
        <f>'Endett. net + degré d''auto.'!AV22</f>
        <v>5895265.6999999993</v>
      </c>
      <c r="AW16" s="4">
        <f>'Endett. net + degré d''auto.'!AW22</f>
        <v>2191442.75</v>
      </c>
      <c r="AX16" s="4">
        <f>'Endett. net + degré d''auto.'!AX22</f>
        <v>380880.77</v>
      </c>
      <c r="AY16" s="4">
        <f>'Endett. net + degré d''auto.'!AY22</f>
        <v>869565.15</v>
      </c>
      <c r="AZ16" s="4">
        <f>'Endett. net + degré d''auto.'!AZ22</f>
        <v>5025160.41</v>
      </c>
      <c r="BA16" s="4">
        <f>'Endett. net + degré d''auto.'!BA22</f>
        <v>795196.5</v>
      </c>
      <c r="BB16" s="4">
        <f>'Endett. net + degré d''auto.'!BB22</f>
        <v>2972819.77</v>
      </c>
      <c r="BC16" s="4">
        <f>'Endett. net + degré d''auto.'!BC22</f>
        <v>483934.76</v>
      </c>
      <c r="BD16" s="4">
        <f>'Endett. net + degré d''auto.'!BD22</f>
        <v>18951080.050000001</v>
      </c>
      <c r="BE16" s="4">
        <f>'Endett. net + degré d''auto.'!BE22</f>
        <v>1263006.1000000001</v>
      </c>
      <c r="BF16" s="4">
        <f t="shared" si="1"/>
        <v>101700802.00999998</v>
      </c>
      <c r="BG16" s="4">
        <f t="shared" si="2"/>
        <v>30448285.250000004</v>
      </c>
      <c r="BH16" s="4">
        <f t="shared" si="3"/>
        <v>68303409.919999987</v>
      </c>
    </row>
    <row r="17" spans="1:60" ht="15.75" thickBot="1" x14ac:dyDescent="0.3">
      <c r="A17" s="102"/>
      <c r="B17" s="99"/>
      <c r="D17" s="4"/>
      <c r="BF17" s="4"/>
      <c r="BG17" s="4"/>
      <c r="BH17" s="4"/>
    </row>
    <row r="18" spans="1:60" ht="15.75" thickBot="1" x14ac:dyDescent="0.3">
      <c r="A18" s="7" t="s">
        <v>564</v>
      </c>
      <c r="B18" s="99"/>
      <c r="D18" s="100">
        <f>IF(D16&lt;&gt;0,D14/D16,"")*100</f>
        <v>48.368462681219789</v>
      </c>
      <c r="E18" s="118">
        <f>IF(E16&lt;&gt;0,E14/E16,"")*100</f>
        <v>94.507173413018364</v>
      </c>
      <c r="F18" s="4">
        <f t="shared" ref="F18:BH18" si="4">IF(F16&lt;&gt;0,F14/F16,"")*100</f>
        <v>20.895479823559445</v>
      </c>
      <c r="G18" s="4">
        <f t="shared" si="4"/>
        <v>-13.423240399201308</v>
      </c>
      <c r="H18" s="4">
        <f t="shared" si="4"/>
        <v>113.88572121696605</v>
      </c>
      <c r="I18" s="4">
        <f t="shared" si="4"/>
        <v>52.760902721430426</v>
      </c>
      <c r="J18" s="4">
        <f t="shared" si="4"/>
        <v>25.900610591628002</v>
      </c>
      <c r="K18" s="4">
        <f t="shared" si="4"/>
        <v>45.631305615684866</v>
      </c>
      <c r="L18" s="4">
        <f t="shared" si="4"/>
        <v>10.09658669841382</v>
      </c>
      <c r="M18" s="4">
        <f t="shared" si="4"/>
        <v>33.204423719881241</v>
      </c>
      <c r="N18" s="4">
        <f t="shared" si="4"/>
        <v>182.83646974919569</v>
      </c>
      <c r="O18" s="4">
        <f t="shared" si="4"/>
        <v>1.8498164163999706</v>
      </c>
      <c r="P18" s="4">
        <f t="shared" si="4"/>
        <v>69.344142527986008</v>
      </c>
      <c r="Q18" s="4">
        <f t="shared" si="4"/>
        <v>22.515572134779745</v>
      </c>
      <c r="R18" s="4">
        <f t="shared" si="4"/>
        <v>22.891545228706779</v>
      </c>
      <c r="S18" s="4">
        <f t="shared" si="4"/>
        <v>-25.959985564057131</v>
      </c>
      <c r="T18" s="4">
        <f t="shared" si="4"/>
        <v>51.980358075538206</v>
      </c>
      <c r="U18" s="4">
        <f t="shared" si="4"/>
        <v>63.582305950274488</v>
      </c>
      <c r="V18" s="4">
        <f t="shared" si="4"/>
        <v>21.809772878242249</v>
      </c>
      <c r="W18" s="4">
        <f t="shared" si="4"/>
        <v>19.8058456494987</v>
      </c>
      <c r="X18" s="4">
        <f t="shared" si="4"/>
        <v>321.54919365328232</v>
      </c>
      <c r="Y18" s="4">
        <f t="shared" si="4"/>
        <v>57.975008547246496</v>
      </c>
      <c r="Z18" s="4">
        <f t="shared" si="4"/>
        <v>279.30738770473522</v>
      </c>
      <c r="AA18" s="4">
        <f t="shared" si="4"/>
        <v>122.67753948582441</v>
      </c>
      <c r="AB18" s="4">
        <f t="shared" si="4"/>
        <v>320.34232456451883</v>
      </c>
      <c r="AC18" s="4">
        <f t="shared" si="4"/>
        <v>65.878587317691469</v>
      </c>
      <c r="AD18" s="4">
        <f t="shared" si="4"/>
        <v>39.946865622080821</v>
      </c>
      <c r="AE18" s="4">
        <f t="shared" si="4"/>
        <v>88.68959064582927</v>
      </c>
      <c r="AF18" s="4">
        <f t="shared" si="4"/>
        <v>372.0517101780045</v>
      </c>
      <c r="AG18" s="4">
        <f t="shared" si="4"/>
        <v>66.542604444477732</v>
      </c>
      <c r="AH18" s="4">
        <f t="shared" si="4"/>
        <v>26.316209619240677</v>
      </c>
      <c r="AI18" s="4">
        <f t="shared" si="4"/>
        <v>191.06840237360754</v>
      </c>
      <c r="AJ18" s="4">
        <f t="shared" si="4"/>
        <v>449.37872286371123</v>
      </c>
      <c r="AK18" s="4">
        <f t="shared" si="4"/>
        <v>13.666500690444819</v>
      </c>
      <c r="AL18" s="4">
        <f t="shared" si="4"/>
        <v>157.97175374572731</v>
      </c>
      <c r="AM18" s="4">
        <f t="shared" si="4"/>
        <v>79.94100209512554</v>
      </c>
      <c r="AN18" s="4">
        <f t="shared" si="4"/>
        <v>150.37838941960365</v>
      </c>
      <c r="AO18" s="4">
        <f t="shared" si="4"/>
        <v>99.304434849224904</v>
      </c>
      <c r="AP18" s="4">
        <f t="shared" si="4"/>
        <v>112.73817710372096</v>
      </c>
      <c r="AQ18" s="4">
        <f t="shared" si="4"/>
        <v>81.407869657171204</v>
      </c>
      <c r="AR18" s="4">
        <f t="shared" si="4"/>
        <v>234.98525184569857</v>
      </c>
      <c r="AS18" s="4">
        <f t="shared" si="4"/>
        <v>16.421376639009601</v>
      </c>
      <c r="AT18" s="4">
        <f t="shared" si="4"/>
        <v>21.46746794980556</v>
      </c>
      <c r="AU18" s="4">
        <f t="shared" si="4"/>
        <v>2054.8460956405661</v>
      </c>
      <c r="AV18" s="4">
        <f t="shared" si="4"/>
        <v>84.806700061033723</v>
      </c>
      <c r="AW18" s="4">
        <f t="shared" si="4"/>
        <v>26.290797694806312</v>
      </c>
      <c r="AX18" s="4">
        <f t="shared" si="4"/>
        <v>44.140322442637363</v>
      </c>
      <c r="AY18" s="4">
        <f t="shared" si="4"/>
        <v>68.163193982647527</v>
      </c>
      <c r="AZ18" s="4">
        <f t="shared" si="4"/>
        <v>42.213396726175354</v>
      </c>
      <c r="BA18" s="4">
        <f t="shared" si="4"/>
        <v>185.4106261785609</v>
      </c>
      <c r="BB18" s="4">
        <f t="shared" si="4"/>
        <v>79.162078836686433</v>
      </c>
      <c r="BC18" s="4">
        <f t="shared" si="4"/>
        <v>159.6252147706852</v>
      </c>
      <c r="BD18" s="4">
        <f t="shared" si="4"/>
        <v>6.1688861369143968</v>
      </c>
      <c r="BE18" s="4">
        <f t="shared" si="4"/>
        <v>54.259629466556028</v>
      </c>
      <c r="BF18" s="4">
        <f t="shared" si="4"/>
        <v>22.588325692595003</v>
      </c>
      <c r="BG18" s="4">
        <f t="shared" si="4"/>
        <v>112.30679001865956</v>
      </c>
      <c r="BH18" s="4">
        <f t="shared" si="4"/>
        <v>63.97603351162239</v>
      </c>
    </row>
    <row r="19" spans="1:60" x14ac:dyDescent="0.25">
      <c r="A19" s="102" t="s">
        <v>565</v>
      </c>
      <c r="B19" s="99"/>
    </row>
    <row r="20" spans="1:60" x14ac:dyDescent="0.25">
      <c r="A20" s="102"/>
      <c r="B20" s="99"/>
    </row>
  </sheetData>
  <mergeCells count="1">
    <mergeCell ref="A8:D8"/>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5" tint="0.59999389629810485"/>
    <pageSetUpPr fitToPage="1"/>
  </sheetPr>
  <dimension ref="A1:BH43"/>
  <sheetViews>
    <sheetView zoomScaleNormal="100" workbookViewId="0">
      <pane xSplit="4" ySplit="10" topLeftCell="E11" activePane="bottomRight" state="frozen"/>
      <selection pane="topRight" activeCell="E1" sqref="E1"/>
      <selection pane="bottomLeft" activeCell="A11" sqref="A11"/>
      <selection pane="bottomRight" activeCell="E15" sqref="E15:E43"/>
    </sheetView>
  </sheetViews>
  <sheetFormatPr baseColWidth="10" defaultColWidth="11.42578125" defaultRowHeight="15" x14ac:dyDescent="0.25"/>
  <cols>
    <col min="1" max="1" width="51.85546875" customWidth="1"/>
    <col min="2" max="2" width="7.42578125" customWidth="1"/>
    <col min="4" max="4" width="22.85546875" customWidth="1"/>
    <col min="5" max="60" width="15.7109375" customWidth="1"/>
  </cols>
  <sheetData>
    <row r="1" spans="1:60" x14ac:dyDescent="0.25">
      <c r="A1" s="7" t="s">
        <v>744</v>
      </c>
    </row>
    <row r="2" spans="1:60" x14ac:dyDescent="0.25">
      <c r="A2" s="7"/>
    </row>
    <row r="3" spans="1:60" x14ac:dyDescent="0.25">
      <c r="A3" s="7" t="s">
        <v>854</v>
      </c>
    </row>
    <row r="8" spans="1:60" ht="18.75" x14ac:dyDescent="0.3">
      <c r="A8" s="181" t="s">
        <v>494</v>
      </c>
      <c r="B8" s="181"/>
      <c r="C8" s="181"/>
      <c r="D8" s="181"/>
    </row>
    <row r="9" spans="1:60" ht="15.75" thickBot="1" x14ac:dyDescent="0.3"/>
    <row r="10" spans="1:60" ht="15.75" thickBot="1" x14ac:dyDescent="0.3">
      <c r="A10" s="182" t="s">
        <v>566</v>
      </c>
      <c r="B10" s="183"/>
      <c r="C10" s="183"/>
      <c r="D10" s="184"/>
      <c r="E10" s="33" t="s">
        <v>56</v>
      </c>
      <c r="F10" s="33" t="s">
        <v>18</v>
      </c>
      <c r="G10" s="33" t="s">
        <v>57</v>
      </c>
      <c r="H10" s="33" t="s">
        <v>53</v>
      </c>
      <c r="I10" s="33" t="s">
        <v>33</v>
      </c>
      <c r="J10" s="33" t="s">
        <v>10</v>
      </c>
      <c r="K10" s="33" t="s">
        <v>15</v>
      </c>
      <c r="L10" s="33" t="s">
        <v>28</v>
      </c>
      <c r="M10" s="33" t="s">
        <v>42</v>
      </c>
      <c r="N10" s="33" t="s">
        <v>23</v>
      </c>
      <c r="O10" s="33" t="s">
        <v>22</v>
      </c>
      <c r="P10" s="33" t="s">
        <v>13</v>
      </c>
      <c r="Q10" s="33" t="s">
        <v>17</v>
      </c>
      <c r="R10" s="33" t="s">
        <v>43</v>
      </c>
      <c r="S10" s="33" t="s">
        <v>40</v>
      </c>
      <c r="T10" s="33" t="s">
        <v>31</v>
      </c>
      <c r="U10" s="33" t="s">
        <v>12</v>
      </c>
      <c r="V10" s="33" t="s">
        <v>59</v>
      </c>
      <c r="W10" s="33" t="s">
        <v>27</v>
      </c>
      <c r="X10" s="34" t="s">
        <v>30</v>
      </c>
      <c r="Y10" s="34" t="s">
        <v>20</v>
      </c>
      <c r="Z10" s="34" t="s">
        <v>45</v>
      </c>
      <c r="AA10" s="34" t="s">
        <v>71</v>
      </c>
      <c r="AB10" s="34" t="s">
        <v>39</v>
      </c>
      <c r="AC10" s="34" t="s">
        <v>19</v>
      </c>
      <c r="AD10" s="34" t="s">
        <v>41</v>
      </c>
      <c r="AE10" s="34" t="s">
        <v>36</v>
      </c>
      <c r="AF10" s="34" t="s">
        <v>7</v>
      </c>
      <c r="AG10" s="34" t="s">
        <v>55</v>
      </c>
      <c r="AH10" s="34" t="s">
        <v>21</v>
      </c>
      <c r="AI10" s="34" t="s">
        <v>6</v>
      </c>
      <c r="AJ10" s="34" t="s">
        <v>34</v>
      </c>
      <c r="AK10" s="35" t="s">
        <v>52</v>
      </c>
      <c r="AL10" s="35" t="s">
        <v>14</v>
      </c>
      <c r="AM10" s="35" t="s">
        <v>32</v>
      </c>
      <c r="AN10" s="35" t="s">
        <v>29</v>
      </c>
      <c r="AO10" s="35" t="s">
        <v>26</v>
      </c>
      <c r="AP10" s="35" t="s">
        <v>48</v>
      </c>
      <c r="AQ10" s="35" t="s">
        <v>44</v>
      </c>
      <c r="AR10" s="35" t="s">
        <v>37</v>
      </c>
      <c r="AS10" s="35" t="s">
        <v>51</v>
      </c>
      <c r="AT10" s="35" t="s">
        <v>8</v>
      </c>
      <c r="AU10" s="35" t="s">
        <v>24</v>
      </c>
      <c r="AV10" s="35" t="s">
        <v>9</v>
      </c>
      <c r="AW10" s="35" t="s">
        <v>62</v>
      </c>
      <c r="AX10" s="35" t="s">
        <v>46</v>
      </c>
      <c r="AY10" s="35" t="s">
        <v>35</v>
      </c>
      <c r="AZ10" s="35" t="s">
        <v>49</v>
      </c>
      <c r="BA10" s="35" t="s">
        <v>47</v>
      </c>
      <c r="BB10" s="35" t="s">
        <v>58</v>
      </c>
      <c r="BC10" s="35" t="s">
        <v>50</v>
      </c>
      <c r="BD10" s="35" t="s">
        <v>16</v>
      </c>
      <c r="BE10" s="35" t="s">
        <v>25</v>
      </c>
      <c r="BF10" s="37" t="s">
        <v>28</v>
      </c>
      <c r="BG10" s="34" t="s">
        <v>64</v>
      </c>
      <c r="BH10" s="35" t="s">
        <v>16</v>
      </c>
    </row>
    <row r="11" spans="1:60" x14ac:dyDescent="0.25">
      <c r="B11" s="92"/>
      <c r="E11" s="119">
        <f>'4.1 Comptes 2021 natures'!E2</f>
        <v>947</v>
      </c>
      <c r="F11" s="119">
        <f>'4.1 Comptes 2021 natures'!F2</f>
        <v>265</v>
      </c>
      <c r="G11" s="119">
        <f>'4.1 Comptes 2021 natures'!G2</f>
        <v>469</v>
      </c>
      <c r="H11" s="119">
        <f>'4.1 Comptes 2021 natures'!H2</f>
        <v>439</v>
      </c>
      <c r="I11" s="119">
        <f>'4.1 Comptes 2021 natures'!I2</f>
        <v>3728</v>
      </c>
      <c r="J11" s="119">
        <f>'4.1 Comptes 2021 natures'!J2</f>
        <v>3345</v>
      </c>
      <c r="K11" s="119">
        <f>'4.1 Comptes 2021 natures'!K2</f>
        <v>2652</v>
      </c>
      <c r="L11" s="119">
        <f>'4.1 Comptes 2021 natures'!L2</f>
        <v>12479</v>
      </c>
      <c r="M11" s="119">
        <f>'4.1 Comptes 2021 natures'!M2</f>
        <v>1359</v>
      </c>
      <c r="N11" s="119">
        <f>'4.1 Comptes 2021 natures'!N2</f>
        <v>117</v>
      </c>
      <c r="O11" s="119">
        <f>'4.1 Comptes 2021 natures'!O2</f>
        <v>7261</v>
      </c>
      <c r="P11" s="119">
        <f>'4.1 Comptes 2021 natures'!P2</f>
        <v>538</v>
      </c>
      <c r="Q11" s="119">
        <f>'4.1 Comptes 2021 natures'!Q2</f>
        <v>111</v>
      </c>
      <c r="R11" s="119">
        <f>'4.1 Comptes 2021 natures'!R2</f>
        <v>421</v>
      </c>
      <c r="S11" s="119">
        <f>'4.1 Comptes 2021 natures'!S2</f>
        <v>346</v>
      </c>
      <c r="T11" s="119">
        <f>'4.1 Comptes 2021 natures'!T2</f>
        <v>710</v>
      </c>
      <c r="U11" s="119">
        <f>'4.1 Comptes 2021 natures'!U2</f>
        <v>269</v>
      </c>
      <c r="V11" s="119">
        <f>'4.1 Comptes 2021 natures'!V2</f>
        <v>440</v>
      </c>
      <c r="W11" s="119">
        <f>'4.1 Comptes 2021 natures'!W2</f>
        <v>3229</v>
      </c>
      <c r="X11" s="120">
        <f>'4.1 Comptes 2021 natures'!X2</f>
        <v>310</v>
      </c>
      <c r="Y11" s="120">
        <f>'4.1 Comptes 2021 natures'!Y2</f>
        <v>1270</v>
      </c>
      <c r="Z11" s="120">
        <f>'4.1 Comptes 2021 natures'!Z2</f>
        <v>1506</v>
      </c>
      <c r="AA11" s="120">
        <f>'4.1 Comptes 2021 natures'!AA2</f>
        <v>96</v>
      </c>
      <c r="AB11" s="120">
        <f>'4.1 Comptes 2021 natures'!AB2</f>
        <v>148</v>
      </c>
      <c r="AC11" s="120">
        <f>'4.1 Comptes 2021 natures'!AC2</f>
        <v>518</v>
      </c>
      <c r="AD11" s="120">
        <f>'4.1 Comptes 2021 natures'!AD2</f>
        <v>701</v>
      </c>
      <c r="AE11" s="120">
        <f>'4.1 Comptes 2021 natures'!AE2</f>
        <v>564</v>
      </c>
      <c r="AF11" s="120">
        <f>'4.1 Comptes 2021 natures'!AF2</f>
        <v>525</v>
      </c>
      <c r="AG11" s="120">
        <f>'4.1 Comptes 2021 natures'!AG2</f>
        <v>1909</v>
      </c>
      <c r="AH11" s="120">
        <f>'4.1 Comptes 2021 natures'!AH2</f>
        <v>2580</v>
      </c>
      <c r="AI11" s="120">
        <f>'4.1 Comptes 2021 natures'!AI2</f>
        <v>222</v>
      </c>
      <c r="AJ11" s="120">
        <f>'4.1 Comptes 2021 natures'!AJ2</f>
        <v>129</v>
      </c>
      <c r="AK11" s="121">
        <f>'4.1 Comptes 2021 natures'!AK2</f>
        <v>1891</v>
      </c>
      <c r="AL11" s="121">
        <f>'4.1 Comptes 2021 natures'!AL2</f>
        <v>1126</v>
      </c>
      <c r="AM11" s="121">
        <f>'4.1 Comptes 2021 natures'!AM2</f>
        <v>1225</v>
      </c>
      <c r="AN11" s="121">
        <f>'4.1 Comptes 2021 natures'!AN2</f>
        <v>117</v>
      </c>
      <c r="AO11" s="121">
        <f>'4.1 Comptes 2021 natures'!AO2</f>
        <v>1185</v>
      </c>
      <c r="AP11" s="121">
        <f>'4.1 Comptes 2021 natures'!AP2</f>
        <v>642</v>
      </c>
      <c r="AQ11" s="121">
        <f>'4.1 Comptes 2021 natures'!AQ2</f>
        <v>633</v>
      </c>
      <c r="AR11" s="121">
        <f>'4.1 Comptes 2021 natures'!AR2</f>
        <v>1284</v>
      </c>
      <c r="AS11" s="121">
        <f>'4.1 Comptes 2021 natures'!AS2</f>
        <v>731</v>
      </c>
      <c r="AT11" s="121">
        <f>'4.1 Comptes 2021 natures'!AT2</f>
        <v>1016</v>
      </c>
      <c r="AU11" s="121">
        <f>'4.1 Comptes 2021 natures'!AU2</f>
        <v>304</v>
      </c>
      <c r="AV11" s="121">
        <f>'4.1 Comptes 2021 natures'!AV2</f>
        <v>2412</v>
      </c>
      <c r="AW11" s="121">
        <f>'4.1 Comptes 2021 natures'!AW2</f>
        <v>735</v>
      </c>
      <c r="AX11" s="121">
        <f>'4.1 Comptes 2021 natures'!AX2</f>
        <v>185</v>
      </c>
      <c r="AY11" s="121">
        <f>'4.1 Comptes 2021 natures'!AY2</f>
        <v>340</v>
      </c>
      <c r="AZ11" s="121">
        <f>'4.1 Comptes 2021 natures'!AZ2</f>
        <v>1697</v>
      </c>
      <c r="BA11" s="121">
        <f>'4.1 Comptes 2021 natures'!BA2</f>
        <v>390</v>
      </c>
      <c r="BB11" s="121">
        <f>'4.1 Comptes 2021 natures'!BB2</f>
        <v>1073</v>
      </c>
      <c r="BC11" s="121">
        <f>'4.1 Comptes 2021 natures'!BC2</f>
        <v>184</v>
      </c>
      <c r="BD11" s="121">
        <f>'4.1 Comptes 2021 natures'!BD2</f>
        <v>6466</v>
      </c>
      <c r="BE11" s="121">
        <f>'4.1 Comptes 2021 natures'!BE2</f>
        <v>559</v>
      </c>
      <c r="BF11" s="1" t="str">
        <f>'4.1 Comptes 2021 natures'!BG2</f>
        <v>ct</v>
      </c>
      <c r="BG11" s="1">
        <f>'4.1 Comptes 2021 natures'!BH2</f>
        <v>10478</v>
      </c>
      <c r="BH11" s="1">
        <f>'4.1 Comptes 2021 natures'!BI2</f>
        <v>24195</v>
      </c>
    </row>
    <row r="13" spans="1:60" x14ac:dyDescent="0.25">
      <c r="A13" s="7" t="s">
        <v>495</v>
      </c>
    </row>
    <row r="14" spans="1:60" ht="15.75" thickBot="1" x14ac:dyDescent="0.3"/>
    <row r="15" spans="1:60" ht="15.75" thickBot="1" x14ac:dyDescent="0.3">
      <c r="A15" t="s">
        <v>567</v>
      </c>
      <c r="D15" s="108">
        <f>'Quotité d''intéret + revenus det'!D36</f>
        <v>587986989.79999995</v>
      </c>
      <c r="E15" s="4">
        <f>'Quotité d''intéret + revenus det'!E36</f>
        <v>10352456.359999999</v>
      </c>
      <c r="F15" s="4">
        <f>'Quotité d''intéret + revenus det'!F36</f>
        <v>2474314.7000000002</v>
      </c>
      <c r="G15" s="4">
        <f>'Quotité d''intéret + revenus det'!G36</f>
        <v>5522808.4000000004</v>
      </c>
      <c r="H15" s="4">
        <f>'Quotité d''intéret + revenus det'!H36</f>
        <v>4432305.8600000003</v>
      </c>
      <c r="I15" s="4">
        <f>'Quotité d''intéret + revenus det'!I36</f>
        <v>24113626</v>
      </c>
      <c r="J15" s="4">
        <f>'Quotité d''intéret + revenus det'!J36</f>
        <v>23596343.5</v>
      </c>
      <c r="K15" s="4">
        <f>'Quotité d''intéret + revenus det'!K36</f>
        <v>10561501.98</v>
      </c>
      <c r="L15" s="4">
        <f>'Quotité d''intéret + revenus det'!L36</f>
        <v>142369124.54000002</v>
      </c>
      <c r="M15" s="4">
        <f>'Quotité d''intéret + revenus det'!M36</f>
        <v>6715713.5199999996</v>
      </c>
      <c r="N15" s="4">
        <f>'Quotité d''intéret + revenus det'!N36</f>
        <v>858438.48</v>
      </c>
      <c r="O15" s="4">
        <f>'Quotité d''intéret + revenus det'!O36</f>
        <v>44141873.289999999</v>
      </c>
      <c r="P15" s="4">
        <f>'Quotité d''intéret + revenus det'!P36</f>
        <v>3093787.24</v>
      </c>
      <c r="Q15" s="4">
        <f>'Quotité d''intéret + revenus det'!Q36</f>
        <v>497395.93</v>
      </c>
      <c r="R15" s="4">
        <f>'Quotité d''intéret + revenus det'!R36</f>
        <v>3083781.92</v>
      </c>
      <c r="S15" s="4">
        <f>'Quotité d''intéret + revenus det'!S36</f>
        <v>4101271.21</v>
      </c>
      <c r="T15" s="4">
        <f>'Quotité d''intéret + revenus det'!T36</f>
        <v>5096463.18</v>
      </c>
      <c r="U15" s="4">
        <f>'Quotité d''intéret + revenus det'!U36</f>
        <v>937461.24</v>
      </c>
      <c r="V15" s="4">
        <f>'Quotité d''intéret + revenus det'!V36</f>
        <v>3792930.42</v>
      </c>
      <c r="W15" s="4">
        <f>'Quotité d''intéret + revenus det'!W36</f>
        <v>16447939.57</v>
      </c>
      <c r="X15" s="4">
        <f>'Quotité d''intéret + revenus det'!X36</f>
        <v>602341</v>
      </c>
      <c r="Y15" s="4">
        <f>'Quotité d''intéret + revenus det'!Y36</f>
        <v>10692583.640000001</v>
      </c>
      <c r="Z15" s="4">
        <f>'Quotité d''intéret + revenus det'!Z36</f>
        <v>8479268.8499999996</v>
      </c>
      <c r="AA15" s="4">
        <f>'Quotité d''intéret + revenus det'!AA36</f>
        <v>835119.4</v>
      </c>
      <c r="AB15" s="4">
        <f>'Quotité d''intéret + revenus det'!AB36</f>
        <v>1218430.55</v>
      </c>
      <c r="AC15" s="4">
        <f>'Quotité d''intéret + revenus det'!AC36</f>
        <v>4296735.43</v>
      </c>
      <c r="AD15" s="4">
        <f>'Quotité d''intéret + revenus det'!AD36</f>
        <v>7161605.1599999992</v>
      </c>
      <c r="AE15" s="4">
        <f>'Quotité d''intéret + revenus det'!AE36</f>
        <v>3750609.31</v>
      </c>
      <c r="AF15" s="4">
        <f>'Quotité d''intéret + revenus det'!AF36</f>
        <v>1159077.9300000002</v>
      </c>
      <c r="AG15" s="4">
        <f>'Quotité d''intéret + revenus det'!AG36</f>
        <v>6404302.0600000005</v>
      </c>
      <c r="AH15" s="4">
        <f>'Quotité d''intéret + revenus det'!AH36</f>
        <v>16877793.98</v>
      </c>
      <c r="AI15" s="4">
        <f>'Quotité d''intéret + revenus det'!AI36</f>
        <v>1682030.3399999999</v>
      </c>
      <c r="AJ15" s="4">
        <f>'Quotité d''intéret + revenus det'!AJ36</f>
        <v>1032153.5</v>
      </c>
      <c r="AK15" s="4">
        <f>'Quotité d''intéret + revenus det'!AK36</f>
        <v>18004708.100000001</v>
      </c>
      <c r="AL15" s="4">
        <f>'Quotité d''intéret + revenus det'!AL36</f>
        <v>9560475.8900000006</v>
      </c>
      <c r="AM15" s="4">
        <f>'Quotité d''intéret + revenus det'!AM36</f>
        <v>10907361.99</v>
      </c>
      <c r="AN15" s="4">
        <f>'Quotité d''intéret + revenus det'!AN36</f>
        <v>1609835.59</v>
      </c>
      <c r="AO15" s="4">
        <f>'Quotité d''intéret + revenus det'!AO36</f>
        <v>9467167.8599999994</v>
      </c>
      <c r="AP15" s="4">
        <f>'Quotité d''intéret + revenus det'!AP36</f>
        <v>5060879.72</v>
      </c>
      <c r="AQ15" s="4">
        <f>'Quotité d''intéret + revenus det'!AQ36</f>
        <v>4084167</v>
      </c>
      <c r="AR15" s="4">
        <f>'Quotité d''intéret + revenus det'!AR36</f>
        <v>11258543.550000001</v>
      </c>
      <c r="AS15" s="4">
        <f>'Quotité d''intéret + revenus det'!AS36</f>
        <v>5676255.4499999993</v>
      </c>
      <c r="AT15" s="4">
        <f>'Quotité d''intéret + revenus det'!AT36</f>
        <v>8931872.6600000001</v>
      </c>
      <c r="AU15" s="4">
        <f>'Quotité d''intéret + revenus det'!AU36</f>
        <v>1867774.15</v>
      </c>
      <c r="AV15" s="4">
        <f>'Quotité d''intéret + revenus det'!AV36</f>
        <v>13098682.91</v>
      </c>
      <c r="AW15" s="4">
        <f>'Quotité d''intéret + revenus det'!AW36</f>
        <v>5987581.8100000005</v>
      </c>
      <c r="AX15" s="4">
        <f>'Quotité d''intéret + revenus det'!AX36</f>
        <v>705083.5</v>
      </c>
      <c r="AY15" s="4">
        <f>'Quotité d''intéret + revenus det'!AY36</f>
        <v>2002898.05</v>
      </c>
      <c r="AZ15" s="4">
        <f>'Quotité d''intéret + revenus det'!AZ36</f>
        <v>19788094.379999999</v>
      </c>
      <c r="BA15" s="4">
        <f>'Quotité d''intéret + revenus det'!BA36</f>
        <v>2070284.17</v>
      </c>
      <c r="BB15" s="4">
        <f>'Quotité d''intéret + revenus det'!BB36</f>
        <v>10358562.43</v>
      </c>
      <c r="BC15" s="4">
        <f>'Quotité d''intéret + revenus det'!BC36</f>
        <v>219892.5</v>
      </c>
      <c r="BD15" s="4">
        <f>'Quotité d''intéret + revenus det'!BD36</f>
        <v>66904253.960000001</v>
      </c>
      <c r="BE15" s="4">
        <f>'Quotité d''intéret + revenus det'!BE36</f>
        <v>4041025.6399999997</v>
      </c>
      <c r="BF15" s="4">
        <f>SUM(E15:W15)</f>
        <v>312189537.34000009</v>
      </c>
      <c r="BG15" s="4">
        <f>SUM(X15:AJ15)</f>
        <v>64192051.150000006</v>
      </c>
      <c r="BH15" s="4">
        <f>SUM(AK15:BE15)</f>
        <v>211605401.31</v>
      </c>
    </row>
    <row r="16" spans="1:60" ht="15.75" thickBot="1" x14ac:dyDescent="0.3">
      <c r="D16" s="109"/>
      <c r="BF16" s="4"/>
      <c r="BG16" s="4"/>
      <c r="BH16" s="4"/>
    </row>
    <row r="17" spans="1:60" ht="15.75" thickBot="1" x14ac:dyDescent="0.3">
      <c r="A17" t="s">
        <v>498</v>
      </c>
      <c r="D17" s="108">
        <f>'Endett. net + degré d''auto.'!D15</f>
        <v>286149057.75</v>
      </c>
      <c r="E17" s="4">
        <f>'Endett. net + degré d''auto.'!E15</f>
        <v>4381758.7100000009</v>
      </c>
      <c r="F17" s="4">
        <f>'Endett. net + degré d''auto.'!F15</f>
        <v>1334174.0200000003</v>
      </c>
      <c r="G17" s="4">
        <f>'Endett. net + degré d''auto.'!G15</f>
        <v>2494295.2999999998</v>
      </c>
      <c r="H17" s="4">
        <f>'Endett. net + degré d''auto.'!H15</f>
        <v>153665.83999999985</v>
      </c>
      <c r="I17" s="4">
        <f>'Endett. net + degré d''auto.'!I15</f>
        <v>9596524</v>
      </c>
      <c r="J17" s="4">
        <f>'Endett. net + degré d''auto.'!J15</f>
        <v>16136631.519999998</v>
      </c>
      <c r="K17" s="4">
        <f>'Endett. net + degré d''auto.'!K15</f>
        <v>613443.49000000022</v>
      </c>
      <c r="L17" s="4">
        <f>'Endett. net + degré d''auto.'!L15</f>
        <v>95429893.099999994</v>
      </c>
      <c r="M17" s="4">
        <f>'Endett. net + degré d''auto.'!M15</f>
        <v>3276821.49</v>
      </c>
      <c r="N17" s="4">
        <f>'Endett. net + degré d''auto.'!N15</f>
        <v>657021.74</v>
      </c>
      <c r="O17" s="4">
        <f>'Endett. net + degré d''auto.'!O15</f>
        <v>27130950.969999999</v>
      </c>
      <c r="P17" s="4">
        <f>'Endett. net + degré d''auto.'!P15</f>
        <v>1159598.6800000002</v>
      </c>
      <c r="Q17" s="4">
        <f>'Endett. net + degré d''auto.'!Q15</f>
        <v>41207.310000000056</v>
      </c>
      <c r="R17" s="4">
        <f>'Endett. net + degré d''auto.'!R15</f>
        <v>1753942.15</v>
      </c>
      <c r="S17" s="4">
        <f>'Endett. net + degré d''auto.'!S15</f>
        <v>1749151.46</v>
      </c>
      <c r="T17" s="4">
        <f>'Endett. net + degré d''auto.'!T15</f>
        <v>-208385.77000000048</v>
      </c>
      <c r="U17" s="4">
        <f>'Endett. net + degré d''auto.'!U15</f>
        <v>295523.72000000009</v>
      </c>
      <c r="V17" s="4">
        <f>'Endett. net + degré d''auto.'!V15</f>
        <v>1952635.5100000002</v>
      </c>
      <c r="W17" s="4">
        <f>'Endett. net + degré d''auto.'!W15</f>
        <v>10826918.77</v>
      </c>
      <c r="X17" s="4">
        <f>'Endett. net + degré d''auto.'!X15</f>
        <v>-1258764</v>
      </c>
      <c r="Y17" s="4">
        <f>'Endett. net + degré d''auto.'!Y15</f>
        <v>6440242.959999999</v>
      </c>
      <c r="Z17" s="4">
        <f>'Endett. net + degré d''auto.'!Z15</f>
        <v>-10380295.780000001</v>
      </c>
      <c r="AA17" s="4">
        <f>'Endett. net + degré d''auto.'!AA15</f>
        <v>74018.900000000023</v>
      </c>
      <c r="AB17" s="4">
        <f>'Endett. net + degré d''auto.'!AB15</f>
        <v>-323523.37000000011</v>
      </c>
      <c r="AC17" s="4">
        <f>'Endett. net + degré d''auto.'!AC15</f>
        <v>1349453.5100000002</v>
      </c>
      <c r="AD17" s="4">
        <f>'Endett. net + degré d''auto.'!AD15</f>
        <v>4615930.29</v>
      </c>
      <c r="AE17" s="4">
        <f>'Endett. net + degré d''auto.'!AE15</f>
        <v>1426544.4700000002</v>
      </c>
      <c r="AF17" s="4">
        <f>'Endett. net + degré d''auto.'!AF15</f>
        <v>-2814009.3600000003</v>
      </c>
      <c r="AG17" s="4">
        <f>'Endett. net + degré d''auto.'!AG15</f>
        <v>-1433431.5899999999</v>
      </c>
      <c r="AH17" s="4">
        <f>'Endett. net + degré d''auto.'!AH15</f>
        <v>8313209.2299999986</v>
      </c>
      <c r="AI17" s="4">
        <f>'Endett. net + degré d''auto.'!AI15</f>
        <v>-88268.130000000121</v>
      </c>
      <c r="AJ17" s="4">
        <f>'Endett. net + degré d''auto.'!AJ15</f>
        <v>-1005628.1900000002</v>
      </c>
      <c r="AK17" s="4">
        <f>'Endett. net + degré d''auto.'!AK15</f>
        <v>12776514.859999999</v>
      </c>
      <c r="AL17" s="4">
        <f>'Endett. net + degré d''auto.'!AL15</f>
        <v>4295688.82</v>
      </c>
      <c r="AM17" s="4">
        <f>'Endett. net + degré d''auto.'!AM15</f>
        <v>6419097.7300000004</v>
      </c>
      <c r="AN17" s="4">
        <f>'Endett. net + degré d''auto.'!AN15</f>
        <v>-68973.139999999898</v>
      </c>
      <c r="AO17" s="4">
        <f>'Endett. net + degré d''auto.'!AO15</f>
        <v>-4253300.6400000006</v>
      </c>
      <c r="AP17" s="4">
        <f>'Endett. net + degré d''auto.'!AP15</f>
        <v>1394899.9900000002</v>
      </c>
      <c r="AQ17" s="4">
        <f>'Endett. net + degré d''auto.'!AQ15</f>
        <v>1260355</v>
      </c>
      <c r="AR17" s="4">
        <f>'Endett. net + degré d''auto.'!AR15</f>
        <v>-309867.81000000052</v>
      </c>
      <c r="AS17" s="4">
        <f>'Endett. net + degré d''auto.'!AS15</f>
        <v>3086864.3400000003</v>
      </c>
      <c r="AT17" s="4">
        <f>'Endett. net + degré d''auto.'!AT15</f>
        <v>5096750.43</v>
      </c>
      <c r="AU17" s="4">
        <f>'Endett. net + degré d''auto.'!AU15</f>
        <v>-1089984.3500000001</v>
      </c>
      <c r="AV17" s="4">
        <f>'Endett. net + degré d''auto.'!AV15</f>
        <v>7718740.75</v>
      </c>
      <c r="AW17" s="4">
        <f>'Endett. net + degré d''auto.'!AW15</f>
        <v>2805265.74</v>
      </c>
      <c r="AX17" s="4">
        <f>'Endett. net + degré d''auto.'!AX15</f>
        <v>178999</v>
      </c>
      <c r="AY17" s="4">
        <f>'Endett. net + degré d''auto.'!AY15</f>
        <v>-637335.58999999985</v>
      </c>
      <c r="AZ17" s="4">
        <f>'Endett. net + degré d''auto.'!AZ15</f>
        <v>15312974.43</v>
      </c>
      <c r="BA17" s="4">
        <f>'Endett. net + degré d''auto.'!BA15</f>
        <v>-884214.48</v>
      </c>
      <c r="BB17" s="4">
        <f>'Endett. net + degré d''auto.'!BB15</f>
        <v>5827342.29</v>
      </c>
      <c r="BC17" s="4">
        <f>'Endett. net + degré d''auto.'!BC15</f>
        <v>-576260.3899999999</v>
      </c>
      <c r="BD17" s="4">
        <f>'Endett. net + degré d''auto.'!BD15</f>
        <v>42123403.110000007</v>
      </c>
      <c r="BE17" s="4">
        <f>'Endett. net + degré d''auto.'!BE15</f>
        <v>1980846.71</v>
      </c>
      <c r="BF17" s="4">
        <f t="shared" ref="BF17:BF43" si="0">SUM(E17:W17)</f>
        <v>178775772.00999999</v>
      </c>
      <c r="BG17" s="4">
        <f t="shared" ref="BG17:BG43" si="1">SUM(X17:AJ17)</f>
        <v>4915478.9399999967</v>
      </c>
      <c r="BH17" s="4">
        <f t="shared" ref="BH17:BH43" si="2">SUM(AK17:BE17)</f>
        <v>102457806.8</v>
      </c>
    </row>
    <row r="18" spans="1:60" ht="15.75" thickBot="1" x14ac:dyDescent="0.3">
      <c r="D18" s="109"/>
      <c r="BF18" s="4"/>
      <c r="BG18" s="4"/>
      <c r="BH18" s="4"/>
    </row>
    <row r="19" spans="1:60" ht="15.75" thickBot="1" x14ac:dyDescent="0.3">
      <c r="A19" t="s">
        <v>504</v>
      </c>
      <c r="D19" s="108">
        <f>'Endett. net + degré d''auto.'!D24</f>
        <v>137.21785078266703</v>
      </c>
      <c r="E19" s="4">
        <f>'Endett. net + degré d''auto.'!E24</f>
        <v>200.14400062156773</v>
      </c>
      <c r="F19" s="4">
        <f>'Endett. net + degré d''auto.'!F24</f>
        <v>218.66817116095169</v>
      </c>
      <c r="G19" s="4">
        <f>'Endett. net + degré d''auto.'!G24</f>
        <v>239.76364333687908</v>
      </c>
      <c r="H19" s="4">
        <f>'Endett. net + degré d''auto.'!H24</f>
        <v>14.928072178323184</v>
      </c>
      <c r="I19" s="4">
        <f>'Endett. net + degré d''auto.'!I24</f>
        <v>103.28475146768594</v>
      </c>
      <c r="J19" s="4">
        <f>'Endett. net + degré d''auto.'!J24</f>
        <v>197.61626625166227</v>
      </c>
      <c r="K19" s="4">
        <f>'Endett. net + degré d''auto.'!K24</f>
        <v>9.5922096901901241</v>
      </c>
      <c r="L19" s="4">
        <f>'Endett. net + degré d''auto.'!L24</f>
        <v>264.58310382139672</v>
      </c>
      <c r="M19" s="4">
        <f>'Endett. net + degré d''auto.'!M24</f>
        <v>100.8978255669706</v>
      </c>
      <c r="N19" s="4">
        <f>'Endett. net + degré d''auto.'!N24</f>
        <v>220.24779235711813</v>
      </c>
      <c r="O19" s="4">
        <f>'Endett. net + degré d''auto.'!O24</f>
        <v>152.73987401867893</v>
      </c>
      <c r="P19" s="4">
        <f>'Endett. net + degré d''auto.'!P24</f>
        <v>92.40606183180644</v>
      </c>
      <c r="Q19" s="4">
        <f>'Endett. net + degré d''auto.'!Q24</f>
        <v>16.719602004486976</v>
      </c>
      <c r="R19" s="4">
        <f>'Endett. net + degré d''auto.'!R24</f>
        <v>159.41766804305732</v>
      </c>
      <c r="S19" s="4">
        <f>'Endett. net + degré d''auto.'!S24</f>
        <v>193.09502738024815</v>
      </c>
      <c r="T19" s="4">
        <f>'Endett. net + degré d''auto.'!T24</f>
        <v>-11.170312928471954</v>
      </c>
      <c r="U19" s="4">
        <f>'Endett. net + degré d''auto.'!U24</f>
        <v>50.814758275714233</v>
      </c>
      <c r="V19" s="4">
        <f>'Endett. net + degré d''auto.'!V24</f>
        <v>184.84668256600702</v>
      </c>
      <c r="W19" s="4">
        <f>'Endett. net + degré d''auto.'!W24</f>
        <v>126.01518839510939</v>
      </c>
      <c r="X19" s="4">
        <f>'Endett. net + degré d''auto.'!X24</f>
        <v>-169.87707258182559</v>
      </c>
      <c r="Y19" s="4">
        <f>'Endett. net + degré d''auto.'!Y24</f>
        <v>123.89593428090369</v>
      </c>
      <c r="Z19" s="4">
        <f>'Endett. net + degré d''auto.'!Z24</f>
        <v>-249.03301842861882</v>
      </c>
      <c r="AA19" s="4">
        <f>'Endett. net + degré d''auto.'!AA24</f>
        <v>25.256630561181879</v>
      </c>
      <c r="AB19" s="4">
        <f>'Endett. net + degré d''auto.'!AB24</f>
        <v>-94.763409555005921</v>
      </c>
      <c r="AC19" s="4">
        <f>'Endett. net + degré d''auto.'!AC24</f>
        <v>108.46635380768521</v>
      </c>
      <c r="AD19" s="4">
        <f>'Endett. net + degré d''auto.'!AD24</f>
        <v>257.76245486394544</v>
      </c>
      <c r="AE19" s="4">
        <f>'Endett. net + degré d''auto.'!AE24</f>
        <v>107.58363533553049</v>
      </c>
      <c r="AF19" s="4">
        <f>'Endett. net + degré d''auto.'!AF24</f>
        <v>-226.41033315300757</v>
      </c>
      <c r="AG19" s="4">
        <f>'Endett. net + degré d''auto.'!AG24</f>
        <v>-23.955028888762179</v>
      </c>
      <c r="AH19" s="4">
        <f>'Endett. net + degré d''auto.'!AH24</f>
        <v>115.03076812952706</v>
      </c>
      <c r="AI19" s="4">
        <f>'Endett. net + degré d''auto.'!AI24</f>
        <v>-14.969769396730292</v>
      </c>
      <c r="AJ19" s="4">
        <f>'Endett. net + degré d''auto.'!AJ24</f>
        <v>-332.66357775007504</v>
      </c>
      <c r="AK19" s="4">
        <f>'Endett. net + degré d''auto.'!AK24</f>
        <v>234.31155369643761</v>
      </c>
      <c r="AL19" s="4">
        <f>'Endett. net + degré d''auto.'!AL24</f>
        <v>200.23618114110263</v>
      </c>
      <c r="AM19" s="4">
        <f>'Endett. net + degré d''auto.'!AM24</f>
        <v>194.7590807686106</v>
      </c>
      <c r="AN19" s="4">
        <f>'Endett. net + degré d''auto.'!AN24</f>
        <v>-20.190079613848098</v>
      </c>
      <c r="AO19" s="4">
        <f>'Endett. net + degré d''auto.'!AO24</f>
        <v>-60.906306409395782</v>
      </c>
      <c r="AP19" s="4">
        <f>'Endett. net + degré d''auto.'!AP24</f>
        <v>84.583939849727656</v>
      </c>
      <c r="AQ19" s="4">
        <f>'Endett. net + degré d''auto.'!AQ24</f>
        <v>82.270751194548168</v>
      </c>
      <c r="AR19" s="4">
        <f>'Endett. net + degré d''auto.'!AR24</f>
        <v>-9.621057531750516</v>
      </c>
      <c r="AS19" s="4">
        <f>'Endett. net + degré d''auto.'!AS24</f>
        <v>140.0785834093854</v>
      </c>
      <c r="AT19" s="4">
        <f>'Endett. net + degré d''auto.'!AT24</f>
        <v>203.47129485061072</v>
      </c>
      <c r="AU19" s="4">
        <f>'Endett. net + degré d''auto.'!AU24</f>
        <v>-748.15070277755967</v>
      </c>
      <c r="AV19" s="4">
        <f>'Endett. net + degré d''auto.'!AV24</f>
        <v>130.93117668979707</v>
      </c>
      <c r="AW19" s="4">
        <f>'Endett. net + degré d''auto.'!AW24</f>
        <v>128.00999432907844</v>
      </c>
      <c r="AX19" s="4">
        <f>'Endett. net + degré d''auto.'!AX24</f>
        <v>46.996071762824883</v>
      </c>
      <c r="AY19" s="4">
        <f>'Endett. net + degré d''auto.'!AY24</f>
        <v>-73.293598530253874</v>
      </c>
      <c r="AZ19" s="4">
        <f>'Endett. net + degré d''auto.'!AZ24</f>
        <v>304.72608196799831</v>
      </c>
      <c r="BA19" s="4">
        <f>'Endett. net + degré d''auto.'!BA24</f>
        <v>-111.19446325530859</v>
      </c>
      <c r="BB19" s="4">
        <f>'Endett. net + degré d''auto.'!BB24</f>
        <v>196.020705621182</v>
      </c>
      <c r="BC19" s="4">
        <f>'Endett. net + degré d''auto.'!BC24</f>
        <v>-119.07811499219439</v>
      </c>
      <c r="BD19" s="4">
        <f>'Endett. net + degré d''auto.'!BD24</f>
        <v>222.27441918277373</v>
      </c>
      <c r="BE19" s="4">
        <f>'Endett. net + degré d''auto.'!BE24</f>
        <v>156.83587830652598</v>
      </c>
      <c r="BF19" s="4">
        <f t="shared" si="0"/>
        <v>2534.6103860393819</v>
      </c>
      <c r="BG19" s="4">
        <f t="shared" si="1"/>
        <v>-373.67643277525161</v>
      </c>
      <c r="BH19" s="4">
        <f t="shared" si="2"/>
        <v>1183.0713896602924</v>
      </c>
    </row>
    <row r="20" spans="1:60" x14ac:dyDescent="0.25">
      <c r="D20" s="109"/>
      <c r="BF20" s="4"/>
      <c r="BG20" s="4"/>
      <c r="BH20" s="4"/>
    </row>
    <row r="21" spans="1:60" x14ac:dyDescent="0.25">
      <c r="D21" s="109"/>
      <c r="BF21" s="4"/>
      <c r="BG21" s="4"/>
      <c r="BH21" s="4"/>
    </row>
    <row r="22" spans="1:60" x14ac:dyDescent="0.25">
      <c r="A22" s="7" t="s">
        <v>506</v>
      </c>
      <c r="D22" s="109"/>
      <c r="BF22" s="4"/>
      <c r="BG22" s="4"/>
      <c r="BH22" s="4"/>
    </row>
    <row r="23" spans="1:60" ht="15.75" thickBot="1" x14ac:dyDescent="0.3">
      <c r="D23" s="109"/>
      <c r="BF23" s="4"/>
      <c r="BG23" s="4"/>
      <c r="BH23" s="4"/>
    </row>
    <row r="24" spans="1:60" ht="15.75" thickBot="1" x14ac:dyDescent="0.3">
      <c r="A24" t="s">
        <v>547</v>
      </c>
      <c r="D24" s="108">
        <f>'Endett. net + degré d''auto.'!D41</f>
        <v>26807544.799999997</v>
      </c>
      <c r="E24" s="4">
        <f>'Endett. net + degré d''auto.'!E41</f>
        <v>94706.91</v>
      </c>
      <c r="F24" s="4">
        <f>'Endett. net + degré d''auto.'!F41</f>
        <v>48899.03</v>
      </c>
      <c r="G24" s="4">
        <f>'Endett. net + degré d''auto.'!G41</f>
        <v>-36646.30000000001</v>
      </c>
      <c r="H24" s="4">
        <f>'Endett. net + degré d''auto.'!H41</f>
        <v>83101.33</v>
      </c>
      <c r="I24" s="4">
        <f>'Endett. net + degré d''auto.'!I41</f>
        <v>1519690</v>
      </c>
      <c r="J24" s="4">
        <f>'Endett. net + degré d''auto.'!J41</f>
        <v>1383163.64</v>
      </c>
      <c r="K24" s="4">
        <f>'Endett. net + degré d''auto.'!K41</f>
        <v>612446.94000000006</v>
      </c>
      <c r="L24" s="4">
        <f>'Endett. net + degré d''auto.'!L41</f>
        <v>730866.04999999958</v>
      </c>
      <c r="M24" s="4">
        <f>'Endett. net + degré d''auto.'!M41</f>
        <v>577330.07000000007</v>
      </c>
      <c r="N24" s="4">
        <f>'Endett. net + degré d''auto.'!N41</f>
        <v>47174.29</v>
      </c>
      <c r="O24" s="4">
        <f>'Endett. net + degré d''auto.'!O41</f>
        <v>2657075.1500000004</v>
      </c>
      <c r="P24" s="4">
        <f>'Endett. net + degré d''auto.'!P41</f>
        <v>111432.7</v>
      </c>
      <c r="Q24" s="4">
        <f>'Endett. net + degré d''auto.'!Q41</f>
        <v>-13517.060000000001</v>
      </c>
      <c r="R24" s="4">
        <f>'Endett. net + degré d''auto.'!R41</f>
        <v>128421.27</v>
      </c>
      <c r="S24" s="4">
        <f>'Endett. net + degré d''auto.'!S41</f>
        <v>23997.229999999989</v>
      </c>
      <c r="T24" s="4">
        <f>'Endett. net + degré d''auto.'!T41</f>
        <v>428659.8</v>
      </c>
      <c r="U24" s="4">
        <f>'Endett. net + degré d''auto.'!U41</f>
        <v>39591.539999999994</v>
      </c>
      <c r="V24" s="4">
        <f>'Endett. net + degré d''auto.'!V41</f>
        <v>-176839.61999999997</v>
      </c>
      <c r="W24" s="4">
        <f>'Endett. net + degré d''auto.'!W41</f>
        <v>1790710.52</v>
      </c>
      <c r="X24" s="4">
        <f>'Endett. net + degré d''auto.'!X41</f>
        <v>242105.08</v>
      </c>
      <c r="Y24" s="4">
        <f>'Endett. net + degré d''auto.'!Y41</f>
        <v>1907089.9100000001</v>
      </c>
      <c r="Z24" s="4">
        <f>'Endett. net + degré d''auto.'!Z41</f>
        <v>1391229.3599999999</v>
      </c>
      <c r="AA24" s="4">
        <f>'Endett. net + degré d''auto.'!AA41</f>
        <v>62173.11</v>
      </c>
      <c r="AB24" s="4">
        <f>'Endett. net + degré d''auto.'!AB41</f>
        <v>-25602.739999999998</v>
      </c>
      <c r="AC24" s="4">
        <f>'Endett. net + degré d''auto.'!AC41</f>
        <v>-237001.88</v>
      </c>
      <c r="AD24" s="4">
        <f>'Endett. net + degré d''auto.'!AD41</f>
        <v>193252.77</v>
      </c>
      <c r="AE24" s="4">
        <f>'Endett. net + degré d''auto.'!AE41</f>
        <v>1259.4700000000071</v>
      </c>
      <c r="AF24" s="4">
        <f>'Endett. net + degré d''auto.'!AF41</f>
        <v>-68961.530000000028</v>
      </c>
      <c r="AG24" s="4">
        <f>'Endett. net + degré d''auto.'!AG41</f>
        <v>1583096.49</v>
      </c>
      <c r="AH24" s="4">
        <f>'Endett. net + degré d''auto.'!AH41</f>
        <v>1454373.33</v>
      </c>
      <c r="AI24" s="4">
        <f>'Endett. net + degré d''auto.'!AI41</f>
        <v>105011.49999999999</v>
      </c>
      <c r="AJ24" s="4">
        <f>'Endett. net + degré d''auto.'!AJ41</f>
        <v>48031.8</v>
      </c>
      <c r="AK24" s="4">
        <f>'Endett. net + degré d''auto.'!AK41</f>
        <v>1587700.44</v>
      </c>
      <c r="AL24" s="4">
        <f>'Endett. net + degré d''auto.'!AL41</f>
        <v>409090</v>
      </c>
      <c r="AM24" s="4">
        <f>'Endett. net + degré d''auto.'!AM41</f>
        <v>357901.44999999995</v>
      </c>
      <c r="AN24" s="4">
        <f>'Endett. net + degré d''auto.'!AN41</f>
        <v>36118.969999999994</v>
      </c>
      <c r="AO24" s="4">
        <f>'Endett. net + degré d''auto.'!AO41</f>
        <v>1582605.26</v>
      </c>
      <c r="AP24" s="4">
        <f>'Endett. net + degré d''auto.'!AP41</f>
        <v>294500.44000000006</v>
      </c>
      <c r="AQ24" s="4">
        <f>'Endett. net + degré d''auto.'!AQ41</f>
        <v>267147</v>
      </c>
      <c r="AR24" s="4">
        <f>'Endett. net + degré d''auto.'!AR41</f>
        <v>559842.39</v>
      </c>
      <c r="AS24" s="4">
        <f>'Endett. net + degré d''auto.'!AS41</f>
        <v>501228.54000000004</v>
      </c>
      <c r="AT24" s="4">
        <f>'Endett. net + degré d''auto.'!AT41</f>
        <v>262573.99</v>
      </c>
      <c r="AU24" s="4">
        <f>'Endett. net + degré d''auto.'!AU41</f>
        <v>-652677.78</v>
      </c>
      <c r="AV24" s="4">
        <f>'Endett. net + degré d''auto.'!AV41</f>
        <v>842520.29000000015</v>
      </c>
      <c r="AW24" s="4">
        <f>'Endett. net + degré d''auto.'!AW41</f>
        <v>451120.22000000003</v>
      </c>
      <c r="AX24" s="4">
        <f>'Endett. net + degré d''auto.'!AX41</f>
        <v>-17550.759999999998</v>
      </c>
      <c r="AY24" s="4">
        <f>'Endett. net + degré d''auto.'!AY41</f>
        <v>88780.56</v>
      </c>
      <c r="AZ24" s="4">
        <f>'Endett. net + degré d''auto.'!AZ41</f>
        <v>844453.94000000006</v>
      </c>
      <c r="BA24" s="4">
        <f>'Endett. net + degré d''auto.'!BA41</f>
        <v>14489.59</v>
      </c>
      <c r="BB24" s="4">
        <f>'Endett. net + degré d''auto.'!BB41</f>
        <v>487593.17</v>
      </c>
      <c r="BC24" s="4">
        <f>'Endett. net + degré d''auto.'!BC41</f>
        <v>65621.279999999999</v>
      </c>
      <c r="BD24" s="4">
        <f>'Endett. net + degré d''auto.'!BD41</f>
        <v>1880440.14</v>
      </c>
      <c r="BE24" s="4">
        <f>'Endett. net + degré d''auto.'!BE41</f>
        <v>237725.51</v>
      </c>
      <c r="BF24" s="4">
        <f t="shared" si="0"/>
        <v>10050263.49</v>
      </c>
      <c r="BG24" s="4">
        <f t="shared" si="1"/>
        <v>6656056.6699999999</v>
      </c>
      <c r="BH24" s="4">
        <f t="shared" si="2"/>
        <v>10101224.640000001</v>
      </c>
    </row>
    <row r="25" spans="1:60" ht="15.75" thickBot="1" x14ac:dyDescent="0.3">
      <c r="D25" s="109"/>
      <c r="BF25" s="4"/>
      <c r="BG25" s="4"/>
      <c r="BH25" s="4"/>
    </row>
    <row r="26" spans="1:60" ht="15.75" thickBot="1" x14ac:dyDescent="0.3">
      <c r="A26" t="s">
        <v>568</v>
      </c>
      <c r="D26" s="108">
        <f>'Endett. net + degré d''auto.'!D48</f>
        <v>68.628128369443161</v>
      </c>
      <c r="E26" s="4">
        <f>'Endett. net + degré d''auto.'!E48</f>
        <v>6.3245173878849563</v>
      </c>
      <c r="F26" s="4">
        <f>'Endett. net + degré d''auto.'!F48</f>
        <v>33.122256606531082</v>
      </c>
      <c r="G26" s="4">
        <f>'Endett. net + degré d''auto.'!G48</f>
        <v>-61.478611754991462</v>
      </c>
      <c r="H26" s="4">
        <f>'Endett. net + degré d''auto.'!H48</f>
        <v>67.958314660769943</v>
      </c>
      <c r="I26" s="4">
        <f>'Endett. net + degré d''auto.'!I48</f>
        <v>354.13259872492779</v>
      </c>
      <c r="J26" s="4">
        <f>'Endett. net + degré d''auto.'!J48</f>
        <v>255.005257778063</v>
      </c>
      <c r="K26" s="4">
        <f>'Endett. net + degré d''auto.'!K48</f>
        <v>99.490863177749674</v>
      </c>
      <c r="L26" s="4">
        <f>'Endett. net + degré d''auto.'!L48</f>
        <v>6.0195344027433659</v>
      </c>
      <c r="M26" s="4">
        <f>'Endett. net + degré d''auto.'!M48</f>
        <v>72.505194249985777</v>
      </c>
      <c r="N26" s="4">
        <f>'Endett. net + degré d''auto.'!N48</f>
        <v>114.31272603909832</v>
      </c>
      <c r="O26" s="4">
        <f>'Endett. net + degré d''auto.'!O48</f>
        <v>92.118045468451669</v>
      </c>
      <c r="P26" s="4">
        <f>'Endett. net + degré d''auto.'!P48</f>
        <v>91.130702369823368</v>
      </c>
      <c r="Q26" s="4">
        <f>'Endett. net + degré d''auto.'!Q48</f>
        <v>-632.52503509592896</v>
      </c>
      <c r="R26" s="4">
        <f>'Endett. net + degré d''auto.'!R48</f>
        <v>360.76329251540159</v>
      </c>
      <c r="S26" s="4">
        <f>'Endett. net + degré d''auto.'!S48</f>
        <v>-33.62513039999606</v>
      </c>
      <c r="T26" s="4">
        <f>'Endett. net + degré d''auto.'!T48</f>
        <v>173.60155932876353</v>
      </c>
      <c r="U26" s="4">
        <f>'Endett. net + degré d''auto.'!U48</f>
        <v>57.321140818622332</v>
      </c>
      <c r="V26" s="4">
        <f>'Endett. net + degré d''auto.'!V48</f>
        <v>186.11054952509824</v>
      </c>
      <c r="W26" s="4">
        <f>'Endett. net + degré d''auto.'!W48</f>
        <v>82.093375281409536</v>
      </c>
      <c r="X26" s="4">
        <f>'Endett. net + degré d''auto.'!X48</f>
        <v>400.56166799577773</v>
      </c>
      <c r="Y26" s="4">
        <f>'Endett. net + degré d''auto.'!Y48</f>
        <v>515.86463506191228</v>
      </c>
      <c r="Z26" s="4">
        <f>'Endett. net + degré d''auto.'!Z48</f>
        <v>309.42976425094497</v>
      </c>
      <c r="AA26" s="4">
        <f>'Endett. net + degré d''auto.'!AA48</f>
        <v>34.366939519257265</v>
      </c>
      <c r="AB26" s="4">
        <f>'Endett. net + degré d''auto.'!AB48</f>
        <v>-5.941894261150563</v>
      </c>
      <c r="AC26" s="4">
        <f>'Endett. net + degré d''auto.'!AC48</f>
        <v>-38.845803625202599</v>
      </c>
      <c r="AD26" s="4">
        <f>'Endett. net + degré d''auto.'!AD48</f>
        <v>-127.17553921326687</v>
      </c>
      <c r="AE26" s="4">
        <f>'Endett. net + degré d''auto.'!AE48</f>
        <v>2.8141531029598084</v>
      </c>
      <c r="AF26" s="4">
        <f>'Endett. net + degré d''auto.'!AF48</f>
        <v>-18.309560107709661</v>
      </c>
      <c r="AG26" s="4">
        <f>'Endett. net + degré d''auto.'!AG48</f>
        <v>156.59078328998251</v>
      </c>
      <c r="AH26" s="4">
        <f>'Endett. net + degré d''auto.'!AH48</f>
        <v>329.34156294730781</v>
      </c>
      <c r="AI26" s="4">
        <f>'Endett. net + degré d''auto.'!AI48</f>
        <v>93.40364938793509</v>
      </c>
      <c r="AJ26" s="4">
        <f>'Endett. net + degré d''auto.'!AJ48</f>
        <v>204.21119314304673</v>
      </c>
      <c r="AK26" s="4">
        <f>'Endett. net + degré d''auto.'!AK48</f>
        <v>102.56423368398551</v>
      </c>
      <c r="AL26" s="4">
        <f>'Endett. net + degré d''auto.'!AL48</f>
        <v>127.34279426367546</v>
      </c>
      <c r="AM26" s="4">
        <f>'Endett. net + degré d''auto.'!AM48</f>
        <v>162.79002228108334</v>
      </c>
      <c r="AN26" s="4">
        <f>'Endett. net + degré d''auto.'!AN48</f>
        <v>-4.9527141489818609</v>
      </c>
      <c r="AO26" s="4">
        <f>'Endett. net + degré d''auto.'!AO48</f>
        <v>130.50799337774328</v>
      </c>
      <c r="AP26" s="4">
        <f>'Endett. net + degré d''auto.'!AP48</f>
        <v>94.936978220135813</v>
      </c>
      <c r="AQ26" s="4">
        <f>'Endett. net + degré d''auto.'!AQ48</f>
        <v>51.50983450725272</v>
      </c>
      <c r="AR26" s="4">
        <f>'Endett. net + degré d''auto.'!AR48</f>
        <v>29.950485933646132</v>
      </c>
      <c r="AS26" s="4">
        <f>'Endett. net + degré d''auto.'!AS48</f>
        <v>443.03011098545164</v>
      </c>
      <c r="AT26" s="4">
        <f>'Endett. net + degré d''auto.'!AT48</f>
        <v>22.387795106827259</v>
      </c>
      <c r="AU26" s="4">
        <f>'Endett. net + degré d''auto.'!AU48</f>
        <v>547.04135847222176</v>
      </c>
      <c r="AV26" s="4">
        <f>'Endett. net + degré d''auto.'!AV48</f>
        <v>144.17795049433454</v>
      </c>
      <c r="AW26" s="4">
        <f>'Endett. net + degré d''auto.'!AW48</f>
        <v>131.75057296956308</v>
      </c>
      <c r="AX26" s="4" t="e">
        <f>'Endett. net + degré d''auto.'!AX48</f>
        <v>#VALUE!</v>
      </c>
      <c r="AY26" s="4">
        <f>'Endett. net + degré d''auto.'!AY48</f>
        <v>816.8762363939162</v>
      </c>
      <c r="AZ26" s="4">
        <f>'Endett. net + degré d''auto.'!AZ48</f>
        <v>6916.5378566982281</v>
      </c>
      <c r="BA26" s="4">
        <f>'Endett. net + degré d''auto.'!BA48</f>
        <v>2.5759454289452726</v>
      </c>
      <c r="BB26" s="4">
        <f>'Endett. net + degré d''auto.'!BB48</f>
        <v>46.519482090091977</v>
      </c>
      <c r="BC26" s="4">
        <f>'Endett. net + degré d''auto.'!BC48</f>
        <v>90.266585232993847</v>
      </c>
      <c r="BD26" s="4">
        <f>'Endett. net + degré d''auto.'!BD48</f>
        <v>46.733654216991503</v>
      </c>
      <c r="BE26" s="4">
        <f>'Endett. net + degré d''auto.'!BE48</f>
        <v>226.66418446596853</v>
      </c>
      <c r="BF26" s="4">
        <f t="shared" si="0"/>
        <v>1324.3811510844082</v>
      </c>
      <c r="BG26" s="4">
        <f t="shared" si="1"/>
        <v>1856.3115514917947</v>
      </c>
      <c r="BH26" s="4" t="e">
        <f t="shared" si="2"/>
        <v>#VALUE!</v>
      </c>
    </row>
    <row r="27" spans="1:60" x14ac:dyDescent="0.25">
      <c r="D27" s="109"/>
      <c r="BF27" s="4"/>
      <c r="BG27" s="4"/>
      <c r="BH27" s="4"/>
    </row>
    <row r="28" spans="1:60" ht="15.75" thickBot="1" x14ac:dyDescent="0.3">
      <c r="D28" s="109"/>
      <c r="BF28" s="4"/>
      <c r="BG28" s="4"/>
      <c r="BH28" s="4"/>
    </row>
    <row r="29" spans="1:60" ht="15.75" thickBot="1" x14ac:dyDescent="0.3">
      <c r="A29" s="7" t="s">
        <v>569</v>
      </c>
      <c r="D29" s="108">
        <f>'Quotité d''intéret + revenus det'!D25</f>
        <v>1.0238574742851905</v>
      </c>
      <c r="E29" s="4">
        <f>'Quotité d''intéret + revenus det'!E25</f>
        <v>0.8484797919802296</v>
      </c>
      <c r="F29" s="4">
        <f>'Quotité d''intéret + revenus det'!F25</f>
        <v>2.2895168611785346</v>
      </c>
      <c r="G29" s="4">
        <f>'Quotité d''intéret + revenus det'!G25</f>
        <v>3.6775254911153814</v>
      </c>
      <c r="H29" s="4">
        <f>'Quotité d''intéret + revenus det'!H25</f>
        <v>2.2411525278772428</v>
      </c>
      <c r="I29" s="4">
        <f>'Quotité d''intéret + revenus det'!I25</f>
        <v>1.8879462245960814</v>
      </c>
      <c r="J29" s="4">
        <f>'Quotité d''intéret + revenus det'!J25</f>
        <v>1.0907719262434497</v>
      </c>
      <c r="K29" s="4">
        <f>'Quotité d''intéret + revenus det'!K25</f>
        <v>0.4161348325151748</v>
      </c>
      <c r="L29" s="4">
        <f>'Quotité d''intéret + revenus det'!L25</f>
        <v>0.78342053346698237</v>
      </c>
      <c r="M29" s="4">
        <f>'Quotité d''intéret + revenus det'!M25</f>
        <v>3.2723052074910094E-2</v>
      </c>
      <c r="N29" s="4">
        <f>'Quotité d''intéret + revenus det'!N25</f>
        <v>1.4581143829227574</v>
      </c>
      <c r="O29" s="4">
        <f>'Quotité d''intéret + revenus det'!O25</f>
        <v>0.4527074770330623</v>
      </c>
      <c r="P29" s="4">
        <f>'Quotité d''intéret + revenus det'!P25</f>
        <v>1.6710087312506789</v>
      </c>
      <c r="Q29" s="4">
        <f>'Quotité d''intéret + revenus det'!Q25</f>
        <v>1.2272053234414815</v>
      </c>
      <c r="R29" s="4">
        <f>'Quotité d''intéret + revenus det'!R25</f>
        <v>4.68028023298056</v>
      </c>
      <c r="S29" s="4">
        <f>'Quotité d''intéret + revenus det'!S25</f>
        <v>7.7633467318676406</v>
      </c>
      <c r="T29" s="4">
        <f>'Quotité d''intéret + revenus det'!T25</f>
        <v>0.91843013202046797</v>
      </c>
      <c r="U29" s="4">
        <f>'Quotité d''intéret + revenus det'!U25</f>
        <v>0.41148681883666849</v>
      </c>
      <c r="V29" s="4">
        <f>'Quotité d''intéret + revenus det'!V25</f>
        <v>1.1040882074781166</v>
      </c>
      <c r="W29" s="4">
        <f>'Quotité d''intéret + revenus det'!W25</f>
        <v>0.80514399659978375</v>
      </c>
      <c r="X29" s="4">
        <f>'Quotité d''intéret + revenus det'!X25</f>
        <v>0.35772628362825037</v>
      </c>
      <c r="Y29" s="4">
        <f>'Quotité d''intéret + revenus det'!Y25</f>
        <v>1.5793460617008144</v>
      </c>
      <c r="Z29" s="4">
        <f>'Quotité d''intéret + revenus det'!Z25</f>
        <v>-0.20177957868179139</v>
      </c>
      <c r="AA29" s="4">
        <f>'Quotité d''intéret + revenus det'!AA25</f>
        <v>0.41805970083574989</v>
      </c>
      <c r="AB29" s="4">
        <f>'Quotité d''intéret + revenus det'!AB25</f>
        <v>-2.7837609535714916E-2</v>
      </c>
      <c r="AC29" s="4">
        <f>'Quotité d''intéret + revenus det'!AC25</f>
        <v>3.7873171196141064</v>
      </c>
      <c r="AD29" s="4">
        <f>'Quotité d''intéret + revenus det'!AD25</f>
        <v>1.9777100479314449</v>
      </c>
      <c r="AE29" s="4">
        <f>'Quotité d''intéret + revenus det'!AE25</f>
        <v>1.2158940637050251</v>
      </c>
      <c r="AF29" s="4">
        <f>'Quotité d''intéret + revenus det'!AF25</f>
        <v>0.32989518571079152</v>
      </c>
      <c r="AG29" s="4">
        <f>'Quotité d''intéret + revenus det'!AG25</f>
        <v>0.31539632035636261</v>
      </c>
      <c r="AH29" s="4">
        <f>'Quotité d''intéret + revenus det'!AH25</f>
        <v>0.91677066540613639</v>
      </c>
      <c r="AI29" s="4">
        <f>'Quotité d''intéret + revenus det'!AI25</f>
        <v>2.1728813101457582</v>
      </c>
      <c r="AJ29" s="4">
        <f>'Quotité d''intéret + revenus det'!AJ25</f>
        <v>0.40281783012068401</v>
      </c>
      <c r="AK29" s="4">
        <f>'Quotité d''intéret + revenus det'!AK25</f>
        <v>-0.78289867623555565</v>
      </c>
      <c r="AL29" s="4">
        <f>'Quotité d''intéret + revenus det'!AL25</f>
        <v>1.2602300235410073</v>
      </c>
      <c r="AM29" s="4">
        <f>'Quotité d''intéret + revenus det'!AM25</f>
        <v>1.8495151193136445</v>
      </c>
      <c r="AN29" s="4">
        <f>'Quotité d''intéret + revenus det'!AN25</f>
        <v>4.334173911704978</v>
      </c>
      <c r="AO29" s="4">
        <f>'Quotité d''intéret + revenus det'!AO25</f>
        <v>0.4965700625947666</v>
      </c>
      <c r="AP29" s="4">
        <f>'Quotité d''intéret + revenus det'!AP25</f>
        <v>0.86510802644755391</v>
      </c>
      <c r="AQ29" s="4">
        <f>'Quotité d''intéret + revenus det'!AQ25</f>
        <v>2.5224953663169498</v>
      </c>
      <c r="AR29" s="4">
        <f>'Quotité d''intéret + revenus det'!AR25</f>
        <v>1.3596951514864333</v>
      </c>
      <c r="AS29" s="4">
        <f>'Quotité d''intéret + revenus det'!AS25</f>
        <v>2.6026092596829549</v>
      </c>
      <c r="AT29" s="4">
        <f>'Quotité d''intéret + revenus det'!AT25</f>
        <v>2.9171149306327284</v>
      </c>
      <c r="AU29" s="4">
        <f>'Quotité d''intéret + revenus det'!AU25</f>
        <v>-3.3740344420416375</v>
      </c>
      <c r="AV29" s="4">
        <f>'Quotité d''intéret + revenus det'!AV25</f>
        <v>2.8712397487517807</v>
      </c>
      <c r="AW29" s="4">
        <f>'Quotité d''intéret + revenus det'!AW25</f>
        <v>1.0992304392010699</v>
      </c>
      <c r="AX29" s="4">
        <f>'Quotité d''intéret + revenus det'!AX25</f>
        <v>0.49859823174865714</v>
      </c>
      <c r="AY29" s="4">
        <f>'Quotité d''intéret + revenus det'!AY25</f>
        <v>0.41550846695083921</v>
      </c>
      <c r="AZ29" s="4">
        <f>'Quotité d''intéret + revenus det'!AZ25</f>
        <v>5.2144337719441634</v>
      </c>
      <c r="BA29" s="4">
        <f>'Quotité d''intéret + revenus det'!BA25</f>
        <v>6.6255852066677348E-2</v>
      </c>
      <c r="BB29" s="4">
        <f>'Quotité d''intéret + revenus det'!BB25</f>
        <v>1.1366510959441112</v>
      </c>
      <c r="BC29" s="4">
        <f>'Quotité d''intéret + revenus det'!BC25</f>
        <v>-1.1689155057866119</v>
      </c>
      <c r="BD29" s="4">
        <f>'Quotité d''intéret + revenus det'!BD25</f>
        <v>1.0877094819528663</v>
      </c>
      <c r="BE29" s="4">
        <f>'Quotité d''intéret + revenus det'!BE25</f>
        <v>0.19664155957121945</v>
      </c>
      <c r="BF29" s="4">
        <f t="shared" si="0"/>
        <v>33.759483275479205</v>
      </c>
      <c r="BG29" s="4">
        <f t="shared" si="1"/>
        <v>13.244197400937619</v>
      </c>
      <c r="BH29" s="4">
        <f t="shared" si="2"/>
        <v>25.467931875788597</v>
      </c>
    </row>
    <row r="30" spans="1:60" ht="15.75" thickBot="1" x14ac:dyDescent="0.3">
      <c r="D30" s="109"/>
      <c r="BF30" s="4"/>
      <c r="BG30" s="4"/>
      <c r="BH30" s="4"/>
    </row>
    <row r="31" spans="1:60" ht="15.75" thickBot="1" x14ac:dyDescent="0.3">
      <c r="A31" s="7" t="s">
        <v>570</v>
      </c>
      <c r="D31" s="108">
        <f>'Quotité d''intéret + revenus det'!D40</f>
        <v>162.56420450022492</v>
      </c>
      <c r="E31" s="4">
        <f>'Quotité d''intéret + revenus det'!E40</f>
        <v>416.6567853894984</v>
      </c>
      <c r="F31" s="4">
        <f>'Quotité d''intéret + revenus det'!F40</f>
        <v>239.78296412777854</v>
      </c>
      <c r="G31" s="4">
        <f>'Quotité d''intéret + revenus det'!G40</f>
        <v>359.85012774503724</v>
      </c>
      <c r="H31" s="4">
        <f>'Quotité d''intéret + revenus det'!H40</f>
        <v>228.54248661754878</v>
      </c>
      <c r="I31" s="4">
        <f>'Quotité d''intéret + revenus det'!I40</f>
        <v>155.00324872924162</v>
      </c>
      <c r="J31" s="4">
        <f>'Quotité d''intéret + revenus det'!J40</f>
        <v>175.39145208217815</v>
      </c>
      <c r="K31" s="4">
        <f>'Quotité d''intéret + revenus det'!K40</f>
        <v>102.1184803768173</v>
      </c>
      <c r="L31" s="4">
        <f>'Quotité d''intéret + revenus det'!L40</f>
        <v>145.45424888235004</v>
      </c>
      <c r="M31" s="4">
        <f>'Quotité d''intéret + revenus det'!M40</f>
        <v>87.485974225053141</v>
      </c>
      <c r="N31" s="4">
        <f>'Quotité d''intéret + revenus det'!N40</f>
        <v>165.77905527670643</v>
      </c>
      <c r="O31" s="4">
        <f>'Quotité d''intéret + revenus det'!O40</f>
        <v>161.83567681894064</v>
      </c>
      <c r="P31" s="4">
        <f>'Quotité d''intéret + revenus det'!P40</f>
        <v>166.68640425448302</v>
      </c>
      <c r="Q31" s="4">
        <f>'Quotité d''intéret + revenus det'!Q40</f>
        <v>118.19444414081059</v>
      </c>
      <c r="R31" s="4">
        <f>'Quotité d''intéret + revenus det'!R40</f>
        <v>320.19900093131122</v>
      </c>
      <c r="S31" s="4">
        <f>'Quotité d''intéret + revenus det'!S40</f>
        <v>489.91529995090542</v>
      </c>
      <c r="T31" s="4">
        <f>'Quotité d''intéret + revenus det'!T40</f>
        <v>168.83040624821382</v>
      </c>
      <c r="U31" s="4">
        <f>'Quotité d''intéret + revenus det'!U40</f>
        <v>99.086063180921826</v>
      </c>
      <c r="V31" s="4">
        <f>'Quotité d''intéret + revenus det'!V40</f>
        <v>175.74118839038806</v>
      </c>
      <c r="W31" s="4">
        <f>'Quotité d''intéret + revenus det'!W40</f>
        <v>131.21916680799492</v>
      </c>
      <c r="X31" s="4">
        <f>'Quotité d''intéret + revenus det'!X40</f>
        <v>73.243370704081713</v>
      </c>
      <c r="Y31" s="4">
        <f>'Quotité d''intéret + revenus det'!Y40</f>
        <v>142.21131952391028</v>
      </c>
      <c r="Z31" s="4">
        <f>'Quotité d''intéret + revenus det'!Z40</f>
        <v>76.934120720094754</v>
      </c>
      <c r="AA31" s="4">
        <f>'Quotité d''intéret + revenus det'!AA40</f>
        <v>173.34539838542403</v>
      </c>
      <c r="AB31" s="4">
        <f>'Quotité d''intéret + revenus det'!AB40</f>
        <v>178.65785566123941</v>
      </c>
      <c r="AC31" s="4">
        <f>'Quotité d''intéret + revenus det'!AC40</f>
        <v>391.24667918381044</v>
      </c>
      <c r="AD31" s="4">
        <f>'Quotité d''intéret + revenus det'!AD40</f>
        <v>213.63163139769048</v>
      </c>
      <c r="AE31" s="4">
        <f>'Quotité d''intéret + revenus det'!AE40</f>
        <v>152.32468350103261</v>
      </c>
      <c r="AF31" s="4">
        <f>'Quotité d''intéret + revenus det'!AF40</f>
        <v>42.908098099486381</v>
      </c>
      <c r="AG31" s="4">
        <f>'Quotité d''intéret + revenus det'!AG40</f>
        <v>65.806381020654626</v>
      </c>
      <c r="AH31" s="4">
        <f>'Quotité d''intéret + revenus det'!AH40</f>
        <v>133.14120528914381</v>
      </c>
      <c r="AI31" s="4">
        <f>'Quotité d''intéret + revenus det'!AI40</f>
        <v>154.23751633735091</v>
      </c>
      <c r="AJ31" s="4">
        <f>'Quotité d''intéret + revenus det'!AJ40</f>
        <v>144.11282836624554</v>
      </c>
      <c r="AK31" s="4">
        <f>'Quotité d''intéret + revenus det'!AK40</f>
        <v>310.81255340208327</v>
      </c>
      <c r="AL31" s="4">
        <f>'Quotité d''intéret + revenus det'!AL40</f>
        <v>171.20282424039692</v>
      </c>
      <c r="AM31" s="4">
        <f>'Quotité d''intéret + revenus det'!AM40</f>
        <v>201.54663662847435</v>
      </c>
      <c r="AN31" s="4">
        <f>'Quotité d''intéret + revenus det'!AN40</f>
        <v>478.37417649578367</v>
      </c>
      <c r="AO31" s="4">
        <f>'Quotité d''intéret + revenus det'!AO40</f>
        <v>100.67071817208439</v>
      </c>
      <c r="AP31" s="4">
        <f>'Quotité d''intéret + revenus det'!AP40</f>
        <v>130.40544599071862</v>
      </c>
      <c r="AQ31" s="4">
        <f>'Quotité d''intéret + revenus det'!AQ40</f>
        <v>234.9439528566613</v>
      </c>
      <c r="AR31" s="4">
        <f>'Quotité d''intéret + revenus det'!AR40</f>
        <v>351.5115426487007</v>
      </c>
      <c r="AS31" s="4">
        <f>'Quotité d''intéret + revenus det'!AS40</f>
        <v>350.37591742848286</v>
      </c>
      <c r="AT31" s="4">
        <f>'Quotité d''intéret + revenus det'!AT40</f>
        <v>366.60974365888882</v>
      </c>
      <c r="AU31" s="4">
        <f>'Quotité d''intéret + revenus det'!AU40</f>
        <v>-379.73341930279707</v>
      </c>
      <c r="AV31" s="4">
        <f>'Quotité d''intéret + revenus det'!AV40</f>
        <v>153.98213530760697</v>
      </c>
      <c r="AW31" s="4">
        <f>'Quotité d''intéret + revenus det'!AW40</f>
        <v>180.2461213536437</v>
      </c>
      <c r="AX31" s="4">
        <f>'Quotité d''intéret + revenus det'!AX40</f>
        <v>109.02773391198298</v>
      </c>
      <c r="AY31" s="4">
        <f>'Quotité d''intéret + revenus det'!AY40</f>
        <v>220.85902434226315</v>
      </c>
      <c r="AZ31" s="4">
        <f>'Quotité d''intéret + revenus det'!AZ40</f>
        <v>390.73692015583055</v>
      </c>
      <c r="BA31" s="4">
        <f>'Quotité d''intéret + revenus det'!BA40</f>
        <v>119.31736998069242</v>
      </c>
      <c r="BB31" s="4">
        <f>'Quotité d''intéret + revenus det'!BB40</f>
        <v>307.34334012017473</v>
      </c>
      <c r="BC31" s="4">
        <f>'Quotité d''intéret + revenus det'!BC40</f>
        <v>29.154143039161223</v>
      </c>
      <c r="BD31" s="4">
        <f>'Quotité d''intéret + revenus det'!BD40</f>
        <v>170.80996851321254</v>
      </c>
      <c r="BE31" s="4">
        <f>'Quotité d''intéret + revenus det'!BE40</f>
        <v>160.29046812619472</v>
      </c>
      <c r="BF31" s="4">
        <f t="shared" si="0"/>
        <v>3907.7724741761795</v>
      </c>
      <c r="BG31" s="4">
        <f t="shared" si="1"/>
        <v>1941.8010881901648</v>
      </c>
      <c r="BH31" s="4">
        <f t="shared" si="2"/>
        <v>4158.4873170702404</v>
      </c>
    </row>
    <row r="32" spans="1:60" ht="15.75" thickBot="1" x14ac:dyDescent="0.3">
      <c r="D32" s="109"/>
      <c r="BF32" s="4"/>
      <c r="BG32" s="4"/>
      <c r="BH32" s="4"/>
    </row>
    <row r="33" spans="1:60" ht="15.75" thickBot="1" x14ac:dyDescent="0.3">
      <c r="A33" s="7" t="s">
        <v>528</v>
      </c>
      <c r="D33" s="108">
        <f>'Quotité d''invest + fin.'!D26</f>
        <v>13.335641376180407</v>
      </c>
      <c r="E33" s="4">
        <f>'Quotité d''invest + fin.'!E26</f>
        <v>35.502363925276789</v>
      </c>
      <c r="F33" s="4">
        <f>'Quotité d''invest + fin.'!F26</f>
        <v>26.200577942309071</v>
      </c>
      <c r="G33" s="4">
        <f>'Quotité d''invest + fin.'!G26</f>
        <v>16.372229755564181</v>
      </c>
      <c r="H33" s="4">
        <f>'Quotité d''invest + fin.'!H26</f>
        <v>6.5831928528404928</v>
      </c>
      <c r="I33" s="4">
        <f>'Quotité d''invest + fin.'!I26</f>
        <v>4.1412099961623312</v>
      </c>
      <c r="J33" s="4">
        <f>'Quotité d''invest + fin.'!J26</f>
        <v>13.314910652804981</v>
      </c>
      <c r="K33" s="4">
        <f>'Quotité d''invest + fin.'!K26</f>
        <v>9.8713248903999382</v>
      </c>
      <c r="L33" s="4">
        <f>'Quotité d''invest + fin.'!L26</f>
        <v>13.199076852414121</v>
      </c>
      <c r="M33" s="4">
        <f>'Quotité d''invest + fin.'!M26</f>
        <v>12.063696546930395</v>
      </c>
      <c r="N33" s="4">
        <f>'Quotité d''invest + fin.'!N26</f>
        <v>7.9822997986830444</v>
      </c>
      <c r="O33" s="4">
        <f>'Quotité d''invest + fin.'!O26</f>
        <v>12.643522838198418</v>
      </c>
      <c r="P33" s="4">
        <f>'Quotité d''invest + fin.'!P26</f>
        <v>7.6258001203970656</v>
      </c>
      <c r="Q33" s="4">
        <f>'Quotité d''invest + fin.'!Q26</f>
        <v>0.51480289589517092</v>
      </c>
      <c r="R33" s="4">
        <f>'Quotité d''invest + fin.'!R26</f>
        <v>2.5437823828976209</v>
      </c>
      <c r="S33" s="4">
        <f>'Quotité d''invest + fin.'!S26</f>
        <v>1.0611970319045687</v>
      </c>
      <c r="T33" s="4">
        <f>'Quotité d''invest + fin.'!T26</f>
        <v>9.491875744909068</v>
      </c>
      <c r="U33" s="4">
        <f>'Quotité d''invest + fin.'!U26</f>
        <v>34.437065475522274</v>
      </c>
      <c r="V33" s="4">
        <f>'Quotité d''invest + fin.'!V26</f>
        <v>2.8453074237403331</v>
      </c>
      <c r="W33" s="4">
        <f>'Quotité d''invest + fin.'!W26</f>
        <v>26.264154431136827</v>
      </c>
      <c r="X33" s="4">
        <f>'Quotité d''invest + fin.'!X26</f>
        <v>8.8903498300921378</v>
      </c>
      <c r="Y33" s="4">
        <f>'Quotité d''invest + fin.'!Y26</f>
        <v>16.500842170970888</v>
      </c>
      <c r="Z33" s="4">
        <f>'Quotité d''invest + fin.'!Z26</f>
        <v>1.7846432049182781</v>
      </c>
      <c r="AA33" s="4">
        <f>'Quotité d''invest + fin.'!AA26</f>
        <v>31.08916386240233</v>
      </c>
      <c r="AB33" s="4">
        <f>'Quotité d''invest + fin.'!AB26</f>
        <v>48.258348323578041</v>
      </c>
      <c r="AC33" s="4">
        <f>'Quotité d''invest + fin.'!AC26</f>
        <v>22.97984646825131</v>
      </c>
      <c r="AD33" s="4">
        <f>'Quotité d''invest + fin.'!AD26</f>
        <v>7.0334579632961542</v>
      </c>
      <c r="AE33" s="4">
        <f>'Quotité d''invest + fin.'!AE26</f>
        <v>17.963307018529768</v>
      </c>
      <c r="AF33" s="4">
        <f>'Quotité d''invest + fin.'!AF26</f>
        <v>18.973024587848151</v>
      </c>
      <c r="AG33" s="4">
        <f>'Quotité d''invest + fin.'!AG26</f>
        <v>12.364190844295104</v>
      </c>
      <c r="AH33" s="4">
        <f>'Quotité d''invest + fin.'!AH26</f>
        <v>4.4508532492310575</v>
      </c>
      <c r="AI33" s="4">
        <f>'Quotité d''invest + fin.'!AI26</f>
        <v>16.901466133995687</v>
      </c>
      <c r="AJ33" s="4">
        <f>'Quotité d''invest + fin.'!AJ26</f>
        <v>26.864511157775461</v>
      </c>
      <c r="AK33" s="4">
        <f>'Quotité d''invest + fin.'!AK26</f>
        <v>27.372832686568099</v>
      </c>
      <c r="AL33" s="4">
        <f>'Quotité d''invest + fin.'!AL26</f>
        <v>11.66202939788054</v>
      </c>
      <c r="AM33" s="4">
        <f>'Quotité d''invest + fin.'!AM26</f>
        <v>6.8958441068622491</v>
      </c>
      <c r="AN33" s="4">
        <f>'Quotité d''invest + fin.'!AN26</f>
        <v>2.7301015572762677</v>
      </c>
      <c r="AO33" s="4">
        <f>'Quotité d''invest + fin.'!AO26</f>
        <v>14.430008498222621</v>
      </c>
      <c r="AP33" s="4">
        <f>'Quotité d''invest + fin.'!AP26</f>
        <v>10.44502216880157</v>
      </c>
      <c r="AQ33" s="4">
        <f>'Quotité d''invest + fin.'!AQ26</f>
        <v>20.491512725494022</v>
      </c>
      <c r="AR33" s="4">
        <f>'Quotité d''invest + fin.'!AR26</f>
        <v>30.19594050423348</v>
      </c>
      <c r="AS33" s="4">
        <f>'Quotité d''invest + fin.'!AS26</f>
        <v>6.2366595389617352</v>
      </c>
      <c r="AT33" s="4">
        <f>'Quotité d''invest + fin.'!AT26</f>
        <v>25.577772784488985</v>
      </c>
      <c r="AU33" s="4">
        <f>'Quotité d''invest + fin.'!AU26</f>
        <v>4.995129002984668</v>
      </c>
      <c r="AV33" s="4">
        <f>'Quotité d''invest + fin.'!AV26</f>
        <v>6.3659604787936264</v>
      </c>
      <c r="AW33" s="4">
        <f>'Quotité d''invest + fin.'!AW26</f>
        <v>10.781669924119571</v>
      </c>
      <c r="AX33" s="4">
        <f>'Quotité d''invest + fin.'!AX26</f>
        <v>0</v>
      </c>
      <c r="AY33" s="4">
        <f>'Quotité d''invest + fin.'!AY26</f>
        <v>2.0163475290277586</v>
      </c>
      <c r="AZ33" s="4">
        <f>'Quotité d''invest + fin.'!AZ26</f>
        <v>0.26821479850216179</v>
      </c>
      <c r="BA33" s="4">
        <f>'Quotité d''invest + fin.'!BA26</f>
        <v>31.923343678630626</v>
      </c>
      <c r="BB33" s="4">
        <f>'Quotité d''invest + fin.'!BB26</f>
        <v>17.257989119578053</v>
      </c>
      <c r="BC33" s="4">
        <f>'Quotité d''invest + fin.'!BC26</f>
        <v>9.6127306122730705</v>
      </c>
      <c r="BD33" s="4">
        <f>'Quotité d''invest + fin.'!BD26</f>
        <v>15.215112494000183</v>
      </c>
      <c r="BE33" s="4">
        <f>'Quotité d''invest + fin.'!BE26</f>
        <v>4.6669623149691937</v>
      </c>
      <c r="BF33" s="4">
        <f t="shared" si="0"/>
        <v>242.65839155798668</v>
      </c>
      <c r="BG33" s="4">
        <f t="shared" si="1"/>
        <v>234.05400481518436</v>
      </c>
      <c r="BH33" s="4">
        <f t="shared" si="2"/>
        <v>259.14118392166847</v>
      </c>
    </row>
    <row r="34" spans="1:60" ht="15.75" thickBot="1" x14ac:dyDescent="0.3">
      <c r="D34" s="109"/>
      <c r="BF34" s="4"/>
      <c r="BG34" s="4"/>
      <c r="BH34" s="4"/>
    </row>
    <row r="35" spans="1:60" ht="15.75" thickBot="1" x14ac:dyDescent="0.3">
      <c r="A35" s="7" t="s">
        <v>571</v>
      </c>
      <c r="D35" s="108">
        <f>'Quotité d''invest + fin.'!D43</f>
        <v>7.2238194707936438</v>
      </c>
      <c r="E35" s="4">
        <f>'Quotité d''invest + fin.'!E43</f>
        <v>12.203435862324911</v>
      </c>
      <c r="F35" s="4">
        <f>'Quotité d''invest + fin.'!F43</f>
        <v>10.278100069656135</v>
      </c>
      <c r="G35" s="4">
        <f>'Quotité d''invest + fin.'!G43</f>
        <v>8.6208897099087736</v>
      </c>
      <c r="H35" s="4">
        <f>'Quotité d''invest + fin.'!H43</f>
        <v>7.2793622256621102</v>
      </c>
      <c r="I35" s="4">
        <f>'Quotité d''invest + fin.'!I43</f>
        <v>8.1056501662418601</v>
      </c>
      <c r="J35" s="4">
        <f>'Quotité d''invest + fin.'!J43</f>
        <v>8.7582243194685692</v>
      </c>
      <c r="K35" s="4">
        <f>'Quotité d''invest + fin.'!K43</f>
        <v>5.3260062089300719</v>
      </c>
      <c r="L35" s="4">
        <f>'Quotité d''invest + fin.'!L43</f>
        <v>6.5322799108753093</v>
      </c>
      <c r="M35" s="4">
        <f>'Quotité d''invest + fin.'!M43</f>
        <v>3.1081503664685335</v>
      </c>
      <c r="N35" s="4">
        <f>'Quotité d''invest + fin.'!N43</f>
        <v>11.268007507538853</v>
      </c>
      <c r="O35" s="4">
        <f>'Quotité d''invest + fin.'!O43</f>
        <v>4.964769270713326</v>
      </c>
      <c r="P35" s="4">
        <f>'Quotité d''invest + fin.'!P43</f>
        <v>7.9802590071076329</v>
      </c>
      <c r="Q35" s="4">
        <f>'Quotité d''invest + fin.'!Q43</f>
        <v>4.2120315419686865</v>
      </c>
      <c r="R35" s="4">
        <f>'Quotité d''invest + fin.'!R43</f>
        <v>14.534052638644521</v>
      </c>
      <c r="S35" s="4">
        <f>'Quotité d''invest + fin.'!S43</f>
        <v>20.570183084208384</v>
      </c>
      <c r="T35" s="4">
        <f>'Quotité d''invest + fin.'!T43</f>
        <v>4.7855704517033253</v>
      </c>
      <c r="U35" s="4">
        <f>'Quotité d''invest + fin.'!U43</f>
        <v>4.691093058745393</v>
      </c>
      <c r="V35" s="4">
        <f>'Quotité d''invest + fin.'!V43</f>
        <v>8.3175715893797832</v>
      </c>
      <c r="W35" s="4">
        <f>'Quotité d''invest + fin.'!W43</f>
        <v>8.3047120778870518</v>
      </c>
      <c r="X35" s="4">
        <f>'Quotité d''invest + fin.'!X43</f>
        <v>5.2842631856088067</v>
      </c>
      <c r="Y35" s="4">
        <f>'Quotité d''invest + fin.'!Y43</f>
        <v>5.2333510497259912</v>
      </c>
      <c r="Z35" s="4">
        <f>'Quotité d''invest + fin.'!Z43</f>
        <v>3.0133852887150465</v>
      </c>
      <c r="AA35" s="4">
        <f>'Quotité d''invest + fin.'!AA43</f>
        <v>10.505942177918199</v>
      </c>
      <c r="AB35" s="4">
        <f>'Quotité d''invest + fin.'!AB43</f>
        <v>7.4803036632314537E-2</v>
      </c>
      <c r="AC35" s="4">
        <f>'Quotité d''invest + fin.'!AC43</f>
        <v>11.862496579226287</v>
      </c>
      <c r="AD35" s="4">
        <f>'Quotité d''invest + fin.'!AD43</f>
        <v>7.6380603341696123</v>
      </c>
      <c r="AE35" s="4">
        <f>'Quotité d''invest + fin.'!AE43</f>
        <v>7.1470278984000064</v>
      </c>
      <c r="AF35" s="4">
        <f>'Quotité d''invest + fin.'!AF43</f>
        <v>3.5445525512676204</v>
      </c>
      <c r="AG35" s="4">
        <f>'Quotité d''invest + fin.'!AG43</f>
        <v>6.6472385812941663</v>
      </c>
      <c r="AH35" s="4">
        <f>'Quotité d''invest + fin.'!AH43</f>
        <v>6.9809461818046437</v>
      </c>
      <c r="AI35" s="4">
        <f>'Quotité d''invest + fin.'!AI43</f>
        <v>7.0811587297964538</v>
      </c>
      <c r="AJ35" s="4">
        <f>'Quotité d''invest + fin.'!AJ43</f>
        <v>8.0361433161509463</v>
      </c>
      <c r="AK35" s="4">
        <f>'Quotité d''invest + fin.'!AK43</f>
        <v>11.343976391742308</v>
      </c>
      <c r="AL35" s="4">
        <f>'Quotité d''invest + fin.'!AL43</f>
        <v>8.5843198196084813</v>
      </c>
      <c r="AM35" s="4">
        <f>'Quotité d''invest + fin.'!AM43</f>
        <v>6.6981519849277165</v>
      </c>
      <c r="AN35" s="4">
        <f>'Quotité d''invest + fin.'!AN43</f>
        <v>14.456535505258996</v>
      </c>
      <c r="AO35" s="4">
        <f>'Quotité d''invest + fin.'!AO43</f>
        <v>6.8693825855335806</v>
      </c>
      <c r="AP35" s="4">
        <f>'Quotité d''invest + fin.'!AP43</f>
        <v>3.059197659170477</v>
      </c>
      <c r="AQ35" s="4">
        <f>'Quotité d''invest + fin.'!AQ43</f>
        <v>15.234088720505213</v>
      </c>
      <c r="AR35" s="4">
        <f>'Quotité d''invest + fin.'!AR43</f>
        <v>6.9986571926984</v>
      </c>
      <c r="AS35" s="4">
        <f>'Quotité d''invest + fin.'!AS43</f>
        <v>13.594989198031174</v>
      </c>
      <c r="AT35" s="4">
        <f>'Quotité d''invest + fin.'!AT43</f>
        <v>13.10397897505011</v>
      </c>
      <c r="AU35" s="4">
        <f>'Quotité d''invest + fin.'!AU43</f>
        <v>-18.985669164989865</v>
      </c>
      <c r="AV35" s="4">
        <f>'Quotité d''invest + fin.'!AV43</f>
        <v>8.3482947113693537</v>
      </c>
      <c r="AW35" s="4">
        <f>'Quotité d''invest + fin.'!AW43</f>
        <v>5.0832856953231982</v>
      </c>
      <c r="AX35" s="4">
        <f>'Quotité d''invest + fin.'!AX43</f>
        <v>5.6648183886511401</v>
      </c>
      <c r="AY35" s="4">
        <f>'Quotité d''invest + fin.'!AY43</f>
        <v>20.866683677610133</v>
      </c>
      <c r="AZ35" s="4">
        <f>'Quotité d''invest + fin.'!AZ43</f>
        <v>16.994183458078545</v>
      </c>
      <c r="BA35" s="4">
        <f>'Quotité d''invest + fin.'!BA43</f>
        <v>1.9040778410504007</v>
      </c>
      <c r="BB35" s="4">
        <f>'Quotité d''invest + fin.'!BB43</f>
        <v>12.456698407514462</v>
      </c>
      <c r="BC35" s="4">
        <f>'Quotité d''invest + fin.'!BC43</f>
        <v>0.68208437356229634</v>
      </c>
      <c r="BD35" s="4">
        <f>'Quotité d''invest + fin.'!BD43</f>
        <v>8.7171603904142216</v>
      </c>
      <c r="BE35" s="4">
        <f>'Quotité d''invest + fin.'!BE43</f>
        <v>4.2076064210692738</v>
      </c>
      <c r="BF35" s="4">
        <f t="shared" si="0"/>
        <v>159.84034906743324</v>
      </c>
      <c r="BG35" s="4">
        <f t="shared" si="1"/>
        <v>83.049368910710086</v>
      </c>
      <c r="BH35" s="4">
        <f t="shared" si="2"/>
        <v>165.8825022321796</v>
      </c>
    </row>
    <row r="36" spans="1:60" ht="15.75" thickBot="1" x14ac:dyDescent="0.3">
      <c r="D36" s="109"/>
      <c r="BF36" s="4"/>
      <c r="BG36" s="4"/>
      <c r="BH36" s="4"/>
    </row>
    <row r="37" spans="1:60" ht="15.75" thickBot="1" x14ac:dyDescent="0.3">
      <c r="A37" s="7" t="s">
        <v>542</v>
      </c>
      <c r="D37" s="108">
        <f>'Quotité d''autofinancement'!D19</f>
        <v>3877.4635864115558</v>
      </c>
      <c r="E37" s="4">
        <f>'Quotité d''autofinancement'!E19</f>
        <v>4626.9891341077091</v>
      </c>
      <c r="F37" s="4">
        <f>'Quotité d''autofinancement'!F19</f>
        <v>5034.6189433962272</v>
      </c>
      <c r="G37" s="4">
        <f>'Quotité d''autofinancement'!G19</f>
        <v>5318.3268656716418</v>
      </c>
      <c r="H37" s="4">
        <f>'Quotité d''autofinancement'!H19</f>
        <v>350.03608200455545</v>
      </c>
      <c r="I37" s="4">
        <f>'Quotité d''autofinancement'!I19</f>
        <v>2574.1748927038625</v>
      </c>
      <c r="J37" s="4">
        <f>'Quotité d''autofinancement'!J19</f>
        <v>4824.1050881913297</v>
      </c>
      <c r="K37" s="4">
        <f>'Quotité d''autofinancement'!K19</f>
        <v>231.31353318250385</v>
      </c>
      <c r="L37" s="4">
        <f>'Quotité d''autofinancement'!L19</f>
        <v>7647.2388091994544</v>
      </c>
      <c r="M37" s="4">
        <f>'Quotité d''autofinancement'!M19</f>
        <v>2411.2005077262693</v>
      </c>
      <c r="N37" s="4">
        <f>'Quotité d''autofinancement'!N19</f>
        <v>5615.5704273504271</v>
      </c>
      <c r="O37" s="4">
        <f>'Quotité d''autofinancement'!O19</f>
        <v>3736.5309144745902</v>
      </c>
      <c r="P37" s="4">
        <f>'Quotité d''autofinancement'!P19</f>
        <v>2155.3878810408924</v>
      </c>
      <c r="Q37" s="4">
        <f>'Quotité d''autofinancement'!Q19</f>
        <v>371.23702702702752</v>
      </c>
      <c r="R37" s="4">
        <f>'Quotité d''autofinancement'!R19</f>
        <v>4166.1333729216149</v>
      </c>
      <c r="S37" s="4">
        <f>'Quotité d''autofinancement'!S19</f>
        <v>5055.3510404624276</v>
      </c>
      <c r="T37" s="4">
        <f>'Quotité d''autofinancement'!T19</f>
        <v>-293.50108450704295</v>
      </c>
      <c r="U37" s="4">
        <f>'Quotité d''autofinancement'!U19</f>
        <v>1098.6011895910783</v>
      </c>
      <c r="V37" s="4">
        <f>'Quotité d''autofinancement'!V19</f>
        <v>4437.8079772727278</v>
      </c>
      <c r="W37" s="4">
        <f>'Quotité d''autofinancement'!W19</f>
        <v>3353.0253236296066</v>
      </c>
      <c r="X37" s="4">
        <f>'Quotité d''autofinancement'!X19</f>
        <v>-4060.5290322580645</v>
      </c>
      <c r="Y37" s="4">
        <f>'Quotité d''autofinancement'!Y19</f>
        <v>5071.0574488188968</v>
      </c>
      <c r="Z37" s="4">
        <f>'Quotité d''autofinancement'!Z19</f>
        <v>-6892.6266799468804</v>
      </c>
      <c r="AA37" s="4">
        <f>'Quotité d''autofinancement'!AA19</f>
        <v>771.03020833333358</v>
      </c>
      <c r="AB37" s="4">
        <f>'Quotité d''autofinancement'!AB19</f>
        <v>-2185.9687162162168</v>
      </c>
      <c r="AC37" s="4">
        <f>'Quotité d''autofinancement'!AC19</f>
        <v>2605.1226061776065</v>
      </c>
      <c r="AD37" s="4">
        <f>'Quotité d''autofinancement'!AD19</f>
        <v>6584.7793009985735</v>
      </c>
      <c r="AE37" s="4">
        <f>'Quotité d''autofinancement'!AE19</f>
        <v>2529.334166666667</v>
      </c>
      <c r="AF37" s="4">
        <f>'Quotité d''autofinancement'!AF19</f>
        <v>-5360.0178285714292</v>
      </c>
      <c r="AG37" s="4">
        <f>'Quotité d''autofinancement'!AG19</f>
        <v>-750.88087480356205</v>
      </c>
      <c r="AH37" s="4">
        <f>'Quotité d''autofinancement'!AH19</f>
        <v>3222.1741201550381</v>
      </c>
      <c r="AI37" s="4">
        <f>'Quotité d''autofinancement'!AI19</f>
        <v>-397.60418918918975</v>
      </c>
      <c r="AJ37" s="4">
        <f>'Quotité d''autofinancement'!AJ19</f>
        <v>-7795.5673643410864</v>
      </c>
      <c r="AK37" s="4">
        <f>'Quotité d''autofinancement'!AK19</f>
        <v>6756.4859122157586</v>
      </c>
      <c r="AL37" s="4">
        <f>'Quotité d''autofinancement'!AL19</f>
        <v>3814.9989520426288</v>
      </c>
      <c r="AM37" s="4">
        <f>'Quotité d''autofinancement'!AM19</f>
        <v>5240.079779591837</v>
      </c>
      <c r="AN37" s="4">
        <f>'Quotité d''autofinancement'!AN19</f>
        <v>-589.51401709401625</v>
      </c>
      <c r="AO37" s="4">
        <f>'Quotité d''autofinancement'!AO19</f>
        <v>-3589.2832405063295</v>
      </c>
      <c r="AP37" s="4">
        <f>'Quotité d''autofinancement'!AP19</f>
        <v>2172.7414174454834</v>
      </c>
      <c r="AQ37" s="4">
        <f>'Quotité d''autofinancement'!AQ19</f>
        <v>1991.08214849921</v>
      </c>
      <c r="AR37" s="4">
        <f>'Quotité d''autofinancement'!AR19</f>
        <v>-241.33007009345835</v>
      </c>
      <c r="AS37" s="4">
        <f>'Quotité d''autofinancement'!AS19</f>
        <v>4222.7966347469228</v>
      </c>
      <c r="AT37" s="4">
        <f>'Quotité d''autofinancement'!AT19</f>
        <v>5016.4866437007868</v>
      </c>
      <c r="AU37" s="4">
        <f>'Quotité d''autofinancement'!AU19</f>
        <v>-3585.4748355263159</v>
      </c>
      <c r="AV37" s="4">
        <f>'Quotité d''autofinancement'!AV19</f>
        <v>3200.1412728026535</v>
      </c>
      <c r="AW37" s="4">
        <f>'Quotité d''autofinancement'!AW19</f>
        <v>3816.6880816326534</v>
      </c>
      <c r="AX37" s="4">
        <f>'Quotité d''autofinancement'!AX19</f>
        <v>967.56216216216217</v>
      </c>
      <c r="AY37" s="4">
        <f>'Quotité d''autofinancement'!AY19</f>
        <v>-1874.5164411764702</v>
      </c>
      <c r="AZ37" s="4">
        <f>'Quotité d''autofinancement'!AZ19</f>
        <v>9023.5559398939295</v>
      </c>
      <c r="BA37" s="4">
        <f>'Quotité d''autofinancement'!BA19</f>
        <v>-2267.2166153846151</v>
      </c>
      <c r="BB37" s="4">
        <f>'Quotité d''autofinancement'!BB19</f>
        <v>5430.8875023299161</v>
      </c>
      <c r="BC37" s="4">
        <f>'Quotité d''autofinancement'!BC19</f>
        <v>-3131.8499456521736</v>
      </c>
      <c r="BD37" s="4">
        <f>'Quotité d''autofinancement'!BD19</f>
        <v>6514.5999242189928</v>
      </c>
      <c r="BE37" s="4">
        <f>'Quotité d''autofinancement'!BE19</f>
        <v>3543.5540429338103</v>
      </c>
      <c r="BF37" s="4">
        <f t="shared" si="0"/>
        <v>62714.147925446894</v>
      </c>
      <c r="BG37" s="4">
        <f t="shared" si="1"/>
        <v>-6659.696834176314</v>
      </c>
      <c r="BH37" s="4">
        <f t="shared" si="2"/>
        <v>46432.475248783368</v>
      </c>
    </row>
    <row r="38" spans="1:60" ht="15.75" thickBot="1" x14ac:dyDescent="0.3">
      <c r="A38" s="7"/>
      <c r="D38" s="109"/>
      <c r="BF38" s="4"/>
      <c r="BG38" s="4"/>
      <c r="BH38" s="4"/>
    </row>
    <row r="39" spans="1:60" ht="15.75" thickBot="1" x14ac:dyDescent="0.3">
      <c r="A39" s="7" t="s">
        <v>546</v>
      </c>
      <c r="D39" s="108">
        <f>'Quotité d''autofinancement'!D28</f>
        <v>7.4116388127881354</v>
      </c>
      <c r="E39" s="4">
        <f>'Quotité d''autofinancement'!E28</f>
        <v>3.8116824937548004</v>
      </c>
      <c r="F39" s="4">
        <f>'Quotité d''autofinancement'!F28</f>
        <v>4.7387482103117939</v>
      </c>
      <c r="G39" s="4">
        <f>'Quotité d''autofinancement'!G28</f>
        <v>-2.3877662923057339</v>
      </c>
      <c r="H39" s="4">
        <f>'Quotité d''autofinancement'!H28</f>
        <v>4.2849444960067586</v>
      </c>
      <c r="I39" s="4">
        <f>'Quotité d''autofinancement'!I28</f>
        <v>9.768621569453769</v>
      </c>
      <c r="J39" s="4">
        <f>'Quotité d''autofinancement'!J28</f>
        <v>10.281045420739494</v>
      </c>
      <c r="K39" s="4">
        <f>'Quotité d''autofinancement'!K28</f>
        <v>5.9217098990906782</v>
      </c>
      <c r="L39" s="4">
        <f>'Quotité d''autofinancement'!L28</f>
        <v>0.74670384242260235</v>
      </c>
      <c r="M39" s="4">
        <f>'Quotité d''autofinancement'!M28</f>
        <v>7.5209109907606857</v>
      </c>
      <c r="N39" s="4">
        <f>'Quotité d''autofinancement'!N28</f>
        <v>9.1101568857320778</v>
      </c>
      <c r="O39" s="4">
        <f>'Quotité d''autofinancement'!O28</f>
        <v>9.7415339044175457</v>
      </c>
      <c r="P39" s="4">
        <f>'Quotité d''autofinancement'!P28</f>
        <v>6.0037470706513512</v>
      </c>
      <c r="Q39" s="4">
        <f>'Quotité d''autofinancement'!Q28</f>
        <v>-3.21201139124316</v>
      </c>
      <c r="R39" s="4">
        <f>'Quotité d''autofinancement'!R28</f>
        <v>13.334393747379576</v>
      </c>
      <c r="S39" s="4">
        <f>'Quotité d''autofinancement'!S28</f>
        <v>2.8665771004792586</v>
      </c>
      <c r="T39" s="4">
        <f>'Quotité d''autofinancement'!T28</f>
        <v>14.200202301133489</v>
      </c>
      <c r="U39" s="4">
        <f>'Quotité d''autofinancement'!U28</f>
        <v>4.1846741672967651</v>
      </c>
      <c r="V39" s="4">
        <f>'Quotité d''autofinancement'!V28</f>
        <v>-8.1936659869717907</v>
      </c>
      <c r="W39" s="4">
        <f>'Quotité d''autofinancement'!W28</f>
        <v>14.286016885500469</v>
      </c>
      <c r="X39" s="4">
        <f>'Quotité d''autofinancement'!X28</f>
        <v>29.439457257236946</v>
      </c>
      <c r="Y39" s="4">
        <f>'Quotité d''autofinancement'!Y28</f>
        <v>25.364288153637983</v>
      </c>
      <c r="Z39" s="4">
        <f>'Quotité d''autofinancement'!Z28</f>
        <v>12.622905279336694</v>
      </c>
      <c r="AA39" s="4">
        <f>'Quotité d''autofinancement'!AA28</f>
        <v>12.905247467381061</v>
      </c>
      <c r="AB39" s="4">
        <f>'Quotité d''autofinancement'!AB28</f>
        <v>-3.7541168246743655</v>
      </c>
      <c r="AC39" s="4">
        <f>'Quotité d''autofinancement'!AC28</f>
        <v>-21.580616265758756</v>
      </c>
      <c r="AD39" s="4">
        <f>'Quotité d''autofinancement'!AD28</f>
        <v>5.7647557502629283</v>
      </c>
      <c r="AE39" s="4">
        <f>'Quotité d''autofinancement'!AE28</f>
        <v>5.1151253908940639E-2</v>
      </c>
      <c r="AF39" s="4">
        <f>'Quotité d''autofinancement'!AF28</f>
        <v>-2.5528983148964572</v>
      </c>
      <c r="AG39" s="4">
        <f>'Quotité d''autofinancement'!AG28</f>
        <v>16.266854660724878</v>
      </c>
      <c r="AH39" s="4">
        <f>'Quotité d''autofinancement'!AH28</f>
        <v>11.472886701072632</v>
      </c>
      <c r="AI39" s="4">
        <f>'Quotité d''autofinancement'!AI28</f>
        <v>9.6292632550609785</v>
      </c>
      <c r="AJ39" s="4">
        <f>'Quotité d''autofinancement'!AJ28</f>
        <v>6.7063654287098124</v>
      </c>
      <c r="AK39" s="4">
        <f>'Quotité d''autofinancement'!AK28</f>
        <v>27.408232616335006</v>
      </c>
      <c r="AL39" s="4">
        <f>'Quotité d''autofinancement'!AL28</f>
        <v>7.3257193652631001</v>
      </c>
      <c r="AM39" s="4">
        <f>'Quotité d''autofinancement'!AM28</f>
        <v>6.6133161765500423</v>
      </c>
      <c r="AN39" s="4">
        <f>'Quotité d''autofinancement'!AN28</f>
        <v>10.7330106483892</v>
      </c>
      <c r="AO39" s="4">
        <f>'Quotité d''autofinancement'!AO28</f>
        <v>16.828898617111705</v>
      </c>
      <c r="AP39" s="4">
        <f>'Quotité d''autofinancement'!AP28</f>
        <v>7.5884951525113262</v>
      </c>
      <c r="AQ39" s="4">
        <f>'Quotité d''autofinancement'!AQ28</f>
        <v>15.367778098642512</v>
      </c>
      <c r="AR39" s="4">
        <f>'Quotité d''autofinancement'!AR28</f>
        <v>17.479264638012214</v>
      </c>
      <c r="AS39" s="4">
        <f>'Quotité d''autofinancement'!AS28</f>
        <v>30.939130751037474</v>
      </c>
      <c r="AT39" s="4">
        <f>'Quotité d''autofinancement'!AT28</f>
        <v>10.777379708567366</v>
      </c>
      <c r="AU39" s="4">
        <f>'Quotité d''autofinancement'!AU28</f>
        <v>132.69461144558551</v>
      </c>
      <c r="AV39" s="4">
        <f>'Quotité d''autofinancement'!AV28</f>
        <v>9.9042838265167443</v>
      </c>
      <c r="AW39" s="4">
        <f>'Quotité d''autofinancement'!AW28</f>
        <v>13.580218609021802</v>
      </c>
      <c r="AX39" s="4">
        <f>'Quotité d''autofinancement'!AX28</f>
        <v>-2.7138907536952348</v>
      </c>
      <c r="AY39" s="4">
        <f>'Quotité d''autofinancement'!AY28</f>
        <v>9.7898082541743712</v>
      </c>
      <c r="AZ39" s="4">
        <f>'Quotité d''autofinancement'!AZ28</f>
        <v>16.674639073004894</v>
      </c>
      <c r="BA39" s="4">
        <f>'Quotité d''autofinancement'!BA28</f>
        <v>0.83508331655675128</v>
      </c>
      <c r="BB39" s="4">
        <f>'Quotité d''autofinancement'!BB28</f>
        <v>14.4671149592699</v>
      </c>
      <c r="BC39" s="4">
        <f>'Quotité d''autofinancement'!BC28</f>
        <v>8.7003066659065205</v>
      </c>
      <c r="BD39" s="4">
        <f>'Quotité d''autofinancement'!BD28</f>
        <v>4.8008594684639228</v>
      </c>
      <c r="BE39" s="4">
        <f>'Quotité d''autofinancement'!BE28</f>
        <v>9.4295697870005064</v>
      </c>
      <c r="BF39" s="4">
        <f t="shared" si="0"/>
        <v>107.00822531461043</v>
      </c>
      <c r="BG39" s="4">
        <f t="shared" si="1"/>
        <v>102.33554380200327</v>
      </c>
      <c r="BH39" s="4">
        <f t="shared" si="2"/>
        <v>369.22383042422558</v>
      </c>
    </row>
    <row r="40" spans="1:60" ht="15.75" thickBot="1" x14ac:dyDescent="0.3">
      <c r="D40" s="109"/>
      <c r="BF40" s="4"/>
      <c r="BG40" s="4"/>
      <c r="BH40" s="4"/>
    </row>
    <row r="41" spans="1:60" ht="15.75" thickBot="1" x14ac:dyDescent="0.3">
      <c r="A41" s="7" t="s">
        <v>550</v>
      </c>
      <c r="D41" s="108">
        <f>'Quotité d''autofinancement'!D48</f>
        <v>-0.33279874236351298</v>
      </c>
      <c r="E41" s="4">
        <f>'Quotité d''autofinancement'!E48</f>
        <v>-2.4964074522437216</v>
      </c>
      <c r="F41" s="4">
        <f>'Quotité d''autofinancement'!F48</f>
        <v>0.99969458931170407</v>
      </c>
      <c r="G41" s="4">
        <f>'Quotité d''autofinancement'!G48</f>
        <v>-1.4334158854397732</v>
      </c>
      <c r="H41" s="4">
        <f>'Quotité d''autofinancement'!H48</f>
        <v>-0.97030939612440681</v>
      </c>
      <c r="I41" s="4">
        <f>'Quotité d''autofinancement'!I48</f>
        <v>-0.20929052935674172</v>
      </c>
      <c r="J41" s="4">
        <f>'Quotité d''autofinancement'!J48</f>
        <v>0.77268207431713676</v>
      </c>
      <c r="K41" s="4">
        <f>'Quotité d''autofinancement'!K48</f>
        <v>-0.18509044143047937</v>
      </c>
      <c r="L41" s="4">
        <f>'Quotité d''autofinancement'!L48</f>
        <v>1.0357422298970582</v>
      </c>
      <c r="M41" s="4">
        <f>'Quotité d''autofinancement'!M48</f>
        <v>-4.0841089020371184</v>
      </c>
      <c r="N41" s="4">
        <f>'Quotité d''autofinancement'!N48</f>
        <v>-6.716151350325644</v>
      </c>
      <c r="O41" s="4">
        <f>'Quotité d''autofinancement'!O48</f>
        <v>0.39669751274013126</v>
      </c>
      <c r="P41" s="4">
        <f>'Quotité d''autofinancement'!P48</f>
        <v>1.024461524181471</v>
      </c>
      <c r="Q41" s="4">
        <f>'Quotité d''autofinancement'!Q48</f>
        <v>-10.665580161136228</v>
      </c>
      <c r="R41" s="4">
        <f>'Quotité d''autofinancement'!R48</f>
        <v>2.4709986696896702</v>
      </c>
      <c r="S41" s="4">
        <f>'Quotité d''autofinancement'!S48</f>
        <v>6.0166478710700551</v>
      </c>
      <c r="T41" s="4">
        <f>'Quotité d''autofinancement'!T48</f>
        <v>0.13484448905300334</v>
      </c>
      <c r="U41" s="4">
        <f>'Quotité d''autofinancement'!U48</f>
        <v>0.86209453427385885</v>
      </c>
      <c r="V41" s="4">
        <f>'Quotité d''autofinancement'!V48</f>
        <v>1.1271616942025855</v>
      </c>
      <c r="W41" s="4">
        <f>'Quotité d''autofinancement'!W48</f>
        <v>-5.3267136734209193E-2</v>
      </c>
      <c r="X41" s="4">
        <f>'Quotité d''autofinancement'!X48</f>
        <v>-16.270092777556179</v>
      </c>
      <c r="Y41" s="4">
        <f>'Quotité d''autofinancement'!Y48</f>
        <v>1.374281497143977</v>
      </c>
      <c r="Z41" s="4">
        <f>'Quotité d''autofinancement'!Z48</f>
        <v>-4.2092708420717484</v>
      </c>
      <c r="AA41" s="4">
        <f>'Quotité d''autofinancement'!AA48</f>
        <v>-4.9188489540738018</v>
      </c>
      <c r="AB41" s="4">
        <f>'Quotité d''autofinancement'!AB48</f>
        <v>-5.2876093734946723</v>
      </c>
      <c r="AC41" s="4">
        <f>'Quotité d''autofinancement'!AC48</f>
        <v>2.9637614330045343</v>
      </c>
      <c r="AD41" s="4">
        <f>'Quotité d''autofinancement'!AD48</f>
        <v>-2.2803126913958844</v>
      </c>
      <c r="AE41" s="4">
        <f>'Quotité d''autofinancement'!AE48</f>
        <v>1.8929037261041406</v>
      </c>
      <c r="AF41" s="4">
        <f>'Quotité d''autofinancement'!AF48</f>
        <v>-7.3638522736423688</v>
      </c>
      <c r="AG41" s="4">
        <f>'Quotité d''autofinancement'!AG48</f>
        <v>-1.3146719419748425</v>
      </c>
      <c r="AH41" s="4">
        <f>'Quotité d''autofinancement'!AH48</f>
        <v>0.22932602985961703</v>
      </c>
      <c r="AI41" s="4">
        <f>'Quotité d''autofinancement'!AI48</f>
        <v>2.7479368248990101</v>
      </c>
      <c r="AJ41" s="4">
        <f>'Quotité d''autofinancement'!AJ48</f>
        <v>-6.078960493000479</v>
      </c>
      <c r="AK41" s="4">
        <f>'Quotité d''autofinancement'!AK48</f>
        <v>-0.45070889207795234</v>
      </c>
      <c r="AL41" s="4">
        <f>'Quotité d''autofinancement'!AL48</f>
        <v>-0.93702393404891604</v>
      </c>
      <c r="AM41" s="4">
        <f>'Quotité d''autofinancement'!AM48</f>
        <v>2.0808811227256716</v>
      </c>
      <c r="AN41" s="4">
        <f>'Quotité d''autofinancement'!AN48</f>
        <v>2.0470168115738883</v>
      </c>
      <c r="AO41" s="4">
        <f>'Quotité d''autofinancement'!AO48</f>
        <v>0.90503764826942501</v>
      </c>
      <c r="AP41" s="4">
        <f>'Quotité d''autofinancement'!AP48</f>
        <v>1.0639881486642302</v>
      </c>
      <c r="AQ41" s="4">
        <f>'Quotité d''autofinancement'!AQ48</f>
        <v>1.8621032331068081</v>
      </c>
      <c r="AR41" s="4">
        <f>'Quotité d''autofinancement'!AR48</f>
        <v>-7.378193409888044</v>
      </c>
      <c r="AS41" s="4">
        <f>'Quotité d''autofinancement'!AS48</f>
        <v>-0.65747982353804768</v>
      </c>
      <c r="AT41" s="4">
        <f>'Quotité d''autofinancement'!AT48</f>
        <v>0.52343046550579364</v>
      </c>
      <c r="AU41" s="4">
        <f>'Quotité d''autofinancement'!AU48</f>
        <v>-1.8397398704213253</v>
      </c>
      <c r="AV41" s="4">
        <f>'Quotité d''autofinancement'!AV48</f>
        <v>3.5777743873464529</v>
      </c>
      <c r="AW41" s="4">
        <f>'Quotité d''autofinancement'!AW48</f>
        <v>0.3565528848678125</v>
      </c>
      <c r="AX41" s="4">
        <f>'Quotité d''autofinancement'!AX48</f>
        <v>-2.8014109792682031</v>
      </c>
      <c r="AY41" s="4">
        <f>'Quotité d''autofinancement'!AY48</f>
        <v>-4.4582010159162193</v>
      </c>
      <c r="AZ41" s="4">
        <f>'Quotité d''autofinancement'!AZ48</f>
        <v>3.8111718736754092</v>
      </c>
      <c r="BA41" s="4">
        <f>'Quotité d''autofinancement'!BA48</f>
        <v>-1.8043733284177792</v>
      </c>
      <c r="BB41" s="4">
        <f>'Quotité d''autofinancement'!BB48</f>
        <v>-0.41092010977502635</v>
      </c>
      <c r="BC41" s="4">
        <f>'Quotité d''autofinancement'!BC48</f>
        <v>-2.9287604243636527</v>
      </c>
      <c r="BD41" s="4">
        <f>'Quotité d''autofinancement'!BD48</f>
        <v>-3.5671956398097899</v>
      </c>
      <c r="BE41" s="4">
        <f>'Quotité d''autofinancement'!BE48</f>
        <v>-1.4119604705076432</v>
      </c>
      <c r="BF41" s="4">
        <f t="shared" si="0"/>
        <v>-11.972596066091645</v>
      </c>
      <c r="BG41" s="4">
        <f t="shared" si="1"/>
        <v>-38.515409836198707</v>
      </c>
      <c r="BH41" s="4">
        <f t="shared" si="2"/>
        <v>-12.418011322297108</v>
      </c>
    </row>
    <row r="42" spans="1:60" ht="15.75" thickBot="1" x14ac:dyDescent="0.3">
      <c r="D42" s="109"/>
      <c r="BF42" s="4"/>
      <c r="BG42" s="4"/>
      <c r="BH42" s="4"/>
    </row>
    <row r="43" spans="1:60" ht="15.75" thickBot="1" x14ac:dyDescent="0.3">
      <c r="A43" s="7" t="s">
        <v>572</v>
      </c>
      <c r="D43" s="108">
        <f>'Quotient excédent du bilan'!D18</f>
        <v>48.368462681219789</v>
      </c>
      <c r="E43" s="4">
        <f>'Quotient excédent du bilan'!E18</f>
        <v>94.507173413018364</v>
      </c>
      <c r="F43" s="4">
        <f>'Quotient excédent du bilan'!F18</f>
        <v>20.895479823559445</v>
      </c>
      <c r="G43" s="4">
        <f>'Quotient excédent du bilan'!G18</f>
        <v>-13.423240399201308</v>
      </c>
      <c r="H43" s="4">
        <f>'Quotient excédent du bilan'!H18</f>
        <v>113.88572121696605</v>
      </c>
      <c r="I43" s="4">
        <f>'Quotient excédent du bilan'!I18</f>
        <v>52.760902721430426</v>
      </c>
      <c r="J43" s="4">
        <f>'Quotient excédent du bilan'!J18</f>
        <v>25.900610591628002</v>
      </c>
      <c r="K43" s="4">
        <f>'Quotient excédent du bilan'!K18</f>
        <v>45.631305615684866</v>
      </c>
      <c r="L43" s="4">
        <f>'Quotient excédent du bilan'!L18</f>
        <v>10.09658669841382</v>
      </c>
      <c r="M43" s="4">
        <f>'Quotient excédent du bilan'!M18</f>
        <v>33.204423719881241</v>
      </c>
      <c r="N43" s="4">
        <f>'Quotient excédent du bilan'!N18</f>
        <v>182.83646974919569</v>
      </c>
      <c r="O43" s="4">
        <f>'Quotient excédent du bilan'!O18</f>
        <v>1.8498164163999706</v>
      </c>
      <c r="P43" s="4">
        <f>'Quotient excédent du bilan'!P18</f>
        <v>69.344142527986008</v>
      </c>
      <c r="Q43" s="4">
        <f>'Quotient excédent du bilan'!Q18</f>
        <v>22.515572134779745</v>
      </c>
      <c r="R43" s="4">
        <f>'Quotient excédent du bilan'!R18</f>
        <v>22.891545228706779</v>
      </c>
      <c r="S43" s="4">
        <f>'Quotient excédent du bilan'!S18</f>
        <v>-25.959985564057131</v>
      </c>
      <c r="T43" s="4">
        <f>'Quotient excédent du bilan'!T18</f>
        <v>51.980358075538206</v>
      </c>
      <c r="U43" s="4">
        <f>'Quotient excédent du bilan'!U18</f>
        <v>63.582305950274488</v>
      </c>
      <c r="V43" s="4">
        <f>'Quotient excédent du bilan'!V18</f>
        <v>21.809772878242249</v>
      </c>
      <c r="W43" s="4">
        <f>'Quotient excédent du bilan'!W18</f>
        <v>19.8058456494987</v>
      </c>
      <c r="X43" s="4">
        <f>'Quotient excédent du bilan'!X18</f>
        <v>321.54919365328232</v>
      </c>
      <c r="Y43" s="4">
        <f>'Quotient excédent du bilan'!Y18</f>
        <v>57.975008547246496</v>
      </c>
      <c r="Z43" s="4">
        <f>'Quotient excédent du bilan'!Z18</f>
        <v>279.30738770473522</v>
      </c>
      <c r="AA43" s="4">
        <f>'Quotient excédent du bilan'!AA18</f>
        <v>122.67753948582441</v>
      </c>
      <c r="AB43" s="4">
        <f>'Quotient excédent du bilan'!AB18</f>
        <v>320.34232456451883</v>
      </c>
      <c r="AC43" s="4">
        <f>'Quotient excédent du bilan'!AC18</f>
        <v>65.878587317691469</v>
      </c>
      <c r="AD43" s="4">
        <f>'Quotient excédent du bilan'!AD18</f>
        <v>39.946865622080821</v>
      </c>
      <c r="AE43" s="4">
        <f>'Quotient excédent du bilan'!AE18</f>
        <v>88.68959064582927</v>
      </c>
      <c r="AF43" s="4">
        <f>'Quotient excédent du bilan'!AF18</f>
        <v>372.0517101780045</v>
      </c>
      <c r="AG43" s="4">
        <f>'Quotient excédent du bilan'!AG18</f>
        <v>66.542604444477732</v>
      </c>
      <c r="AH43" s="4">
        <f>'Quotient excédent du bilan'!AH18</f>
        <v>26.316209619240677</v>
      </c>
      <c r="AI43" s="4">
        <f>'Quotient excédent du bilan'!AI18</f>
        <v>191.06840237360754</v>
      </c>
      <c r="AJ43" s="4">
        <f>'Quotient excédent du bilan'!AJ18</f>
        <v>449.37872286371123</v>
      </c>
      <c r="AK43" s="4">
        <f>'Quotient excédent du bilan'!AK18</f>
        <v>13.666500690444819</v>
      </c>
      <c r="AL43" s="4">
        <f>'Quotient excédent du bilan'!AL18</f>
        <v>157.97175374572731</v>
      </c>
      <c r="AM43" s="4">
        <f>'Quotient excédent du bilan'!AM18</f>
        <v>79.94100209512554</v>
      </c>
      <c r="AN43" s="4">
        <f>'Quotient excédent du bilan'!AN18</f>
        <v>150.37838941960365</v>
      </c>
      <c r="AO43" s="4">
        <f>'Quotient excédent du bilan'!AO18</f>
        <v>99.304434849224904</v>
      </c>
      <c r="AP43" s="4">
        <f>'Quotient excédent du bilan'!AP18</f>
        <v>112.73817710372096</v>
      </c>
      <c r="AQ43" s="4">
        <f>'Quotient excédent du bilan'!AQ18</f>
        <v>81.407869657171204</v>
      </c>
      <c r="AR43" s="4">
        <f>'Quotient excédent du bilan'!AR18</f>
        <v>234.98525184569857</v>
      </c>
      <c r="AS43" s="4">
        <f>'Quotient excédent du bilan'!AS18</f>
        <v>16.421376639009601</v>
      </c>
      <c r="AT43" s="4">
        <f>'Quotient excédent du bilan'!AT18</f>
        <v>21.46746794980556</v>
      </c>
      <c r="AU43" s="4">
        <f>'Quotient excédent du bilan'!AU18</f>
        <v>2054.8460956405661</v>
      </c>
      <c r="AV43" s="4">
        <f>'Quotient excédent du bilan'!AV18</f>
        <v>84.806700061033723</v>
      </c>
      <c r="AW43" s="4">
        <f>'Quotient excédent du bilan'!AW18</f>
        <v>26.290797694806312</v>
      </c>
      <c r="AX43" s="4">
        <f>'Quotient excédent du bilan'!AX18</f>
        <v>44.140322442637363</v>
      </c>
      <c r="AY43" s="4">
        <f>'Quotient excédent du bilan'!AY18</f>
        <v>68.163193982647527</v>
      </c>
      <c r="AZ43" s="4">
        <f>'Quotient excédent du bilan'!AZ18</f>
        <v>42.213396726175354</v>
      </c>
      <c r="BA43" s="4">
        <f>'Quotient excédent du bilan'!BA18</f>
        <v>185.4106261785609</v>
      </c>
      <c r="BB43" s="4">
        <f>'Quotient excédent du bilan'!BB18</f>
        <v>79.162078836686433</v>
      </c>
      <c r="BC43" s="4">
        <f>'Quotient excédent du bilan'!BC18</f>
        <v>159.6252147706852</v>
      </c>
      <c r="BD43" s="4">
        <f>'Quotient excédent du bilan'!BD18</f>
        <v>6.1688861369143968</v>
      </c>
      <c r="BE43" s="4">
        <f>'Quotient excédent du bilan'!BE18</f>
        <v>54.259629466556028</v>
      </c>
      <c r="BF43" s="4">
        <f t="shared" si="0"/>
        <v>814.11480644794574</v>
      </c>
      <c r="BG43" s="4">
        <f t="shared" si="1"/>
        <v>2401.7241470202503</v>
      </c>
      <c r="BH43" s="4">
        <f t="shared" si="2"/>
        <v>3773.3691659328006</v>
      </c>
    </row>
  </sheetData>
  <mergeCells count="2">
    <mergeCell ref="A8:D8"/>
    <mergeCell ref="A10:D10"/>
  </mergeCells>
  <pageMargins left="0.7" right="0.7" top="0.75" bottom="0.75" header="0.3" footer="0.3"/>
  <pageSetup paperSize="9" scale="93"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5" tint="0.59999389629810485"/>
  </sheetPr>
  <dimension ref="A1:H45"/>
  <sheetViews>
    <sheetView zoomScale="115" zoomScaleNormal="115" workbookViewId="0">
      <selection activeCell="C9" sqref="C9"/>
    </sheetView>
  </sheetViews>
  <sheetFormatPr baseColWidth="10" defaultColWidth="11.42578125" defaultRowHeight="15" x14ac:dyDescent="0.25"/>
  <cols>
    <col min="1" max="1" width="44.140625" customWidth="1"/>
    <col min="3" max="3" width="12.5703125" customWidth="1"/>
    <col min="4" max="4" width="20.42578125" customWidth="1"/>
    <col min="5" max="5" width="9.42578125" customWidth="1"/>
  </cols>
  <sheetData>
    <row r="1" spans="1:8" ht="18.75" x14ac:dyDescent="0.3">
      <c r="A1" s="181"/>
      <c r="B1" s="181"/>
      <c r="C1" s="181"/>
      <c r="D1" s="181"/>
    </row>
    <row r="2" spans="1:8" ht="18.75" x14ac:dyDescent="0.3">
      <c r="A2" s="188" t="s">
        <v>855</v>
      </c>
      <c r="B2" s="188"/>
      <c r="C2" s="188"/>
      <c r="D2" s="188"/>
      <c r="E2" s="181"/>
      <c r="F2" s="181"/>
      <c r="G2" s="181"/>
      <c r="H2" s="181"/>
    </row>
    <row r="3" spans="1:8" ht="18.75" x14ac:dyDescent="0.3">
      <c r="A3" s="123"/>
      <c r="B3" s="123"/>
      <c r="C3" s="123"/>
      <c r="D3" s="123"/>
      <c r="E3" s="123"/>
      <c r="F3" s="123"/>
      <c r="G3" s="123"/>
      <c r="H3" s="123"/>
    </row>
    <row r="4" spans="1:8" ht="15.75" thickBot="1" x14ac:dyDescent="0.3">
      <c r="B4" s="189" t="s">
        <v>797</v>
      </c>
      <c r="C4" s="189"/>
      <c r="D4" s="189"/>
    </row>
    <row r="5" spans="1:8" ht="15.75" thickBot="1" x14ac:dyDescent="0.3">
      <c r="A5" s="124" t="s">
        <v>573</v>
      </c>
      <c r="B5" s="175" t="s">
        <v>71</v>
      </c>
      <c r="C5" s="176"/>
      <c r="D5" s="177"/>
      <c r="F5" s="92"/>
    </row>
    <row r="6" spans="1:8" ht="15.75" thickBot="1" x14ac:dyDescent="0.3">
      <c r="E6" s="7"/>
    </row>
    <row r="7" spans="1:8" ht="15.75" thickBot="1" x14ac:dyDescent="0.3">
      <c r="A7" s="185" t="s">
        <v>566</v>
      </c>
      <c r="B7" s="186"/>
      <c r="C7" s="186"/>
      <c r="D7" s="187"/>
    </row>
    <row r="8" spans="1:8" x14ac:dyDescent="0.25">
      <c r="H8" s="109"/>
    </row>
    <row r="9" spans="1:8" x14ac:dyDescent="0.25">
      <c r="H9" s="109"/>
    </row>
    <row r="10" spans="1:8" x14ac:dyDescent="0.25">
      <c r="A10" s="7" t="s">
        <v>495</v>
      </c>
      <c r="H10" s="109"/>
    </row>
    <row r="11" spans="1:8" ht="15.75" thickBot="1" x14ac:dyDescent="0.3">
      <c r="H11" s="109"/>
    </row>
    <row r="12" spans="1:8" ht="15.75" thickBot="1" x14ac:dyDescent="0.3">
      <c r="A12" s="127" t="s">
        <v>584</v>
      </c>
      <c r="D12" s="108">
        <f>HLOOKUP($B$5,Récapitulatif!E10:BE43,6,0)</f>
        <v>835119.4</v>
      </c>
      <c r="E12" s="7"/>
      <c r="H12" s="109"/>
    </row>
    <row r="13" spans="1:8" ht="15.75" thickBot="1" x14ac:dyDescent="0.3">
      <c r="A13" t="s">
        <v>449</v>
      </c>
      <c r="D13" s="108">
        <f>D12/HLOOKUP(B5,Récapitulatif!E10:BE11,2,0)</f>
        <v>8699.1604166666675</v>
      </c>
      <c r="E13" s="7"/>
      <c r="H13" s="109"/>
    </row>
    <row r="14" spans="1:8" ht="15.75" thickBot="1" x14ac:dyDescent="0.3">
      <c r="D14" s="4"/>
      <c r="H14" s="109"/>
    </row>
    <row r="15" spans="1:8" ht="15.75" thickBot="1" x14ac:dyDescent="0.3">
      <c r="A15" s="127" t="s">
        <v>585</v>
      </c>
      <c r="D15" s="108">
        <f>HLOOKUP($B$5,Récapitulatif!E10:BE43,8,0)</f>
        <v>74018.900000000023</v>
      </c>
      <c r="H15" s="109"/>
    </row>
    <row r="16" spans="1:8" ht="15.75" thickBot="1" x14ac:dyDescent="0.3">
      <c r="A16" t="s">
        <v>449</v>
      </c>
      <c r="D16" s="108">
        <f>D15/HLOOKUP(B5,Récapitulatif!E10:BE11,2,0)</f>
        <v>771.03020833333358</v>
      </c>
      <c r="H16" s="109"/>
    </row>
    <row r="17" spans="1:8" ht="15.75" thickBot="1" x14ac:dyDescent="0.3">
      <c r="D17" s="4"/>
      <c r="H17" s="109"/>
    </row>
    <row r="18" spans="1:8" ht="15.75" thickBot="1" x14ac:dyDescent="0.3">
      <c r="A18" t="s">
        <v>504</v>
      </c>
      <c r="D18" s="108">
        <f>HLOOKUP($B$5,Récapitulatif!E10:BE43,10,0)</f>
        <v>25.256630561181879</v>
      </c>
      <c r="H18" s="109"/>
    </row>
    <row r="19" spans="1:8" x14ac:dyDescent="0.25">
      <c r="D19" s="4"/>
      <c r="H19" s="109"/>
    </row>
    <row r="20" spans="1:8" x14ac:dyDescent="0.25">
      <c r="A20" s="7" t="s">
        <v>506</v>
      </c>
      <c r="D20" s="4"/>
      <c r="H20" s="109"/>
    </row>
    <row r="21" spans="1:8" ht="15.75" thickBot="1" x14ac:dyDescent="0.3">
      <c r="D21" s="4"/>
      <c r="H21" s="109"/>
    </row>
    <row r="22" spans="1:8" ht="15.75" thickBot="1" x14ac:dyDescent="0.3">
      <c r="A22" t="s">
        <v>547</v>
      </c>
      <c r="D22" s="108">
        <f>HLOOKUP($B$5,Récapitulatif!E10:BE43,15,0)</f>
        <v>62173.11</v>
      </c>
      <c r="E22" s="7"/>
      <c r="H22" s="109"/>
    </row>
    <row r="23" spans="1:8" ht="15.75" thickBot="1" x14ac:dyDescent="0.3">
      <c r="D23" s="4"/>
      <c r="H23" s="109"/>
    </row>
    <row r="24" spans="1:8" ht="15.75" thickBot="1" x14ac:dyDescent="0.3">
      <c r="A24" t="s">
        <v>568</v>
      </c>
      <c r="D24" s="108">
        <f>HLOOKUP($B$5,Récapitulatif!E10:BE43,17,0)</f>
        <v>34.366939519257265</v>
      </c>
      <c r="H24" s="109"/>
    </row>
    <row r="25" spans="1:8" ht="15.75" thickBot="1" x14ac:dyDescent="0.3">
      <c r="D25" s="4"/>
    </row>
    <row r="26" spans="1:8" ht="15.75" thickBot="1" x14ac:dyDescent="0.3">
      <c r="A26" s="7" t="s">
        <v>569</v>
      </c>
      <c r="D26" s="108">
        <f>HLOOKUP($B$5,Récapitulatif!E10:BE43,20,0)</f>
        <v>0.41805970083574989</v>
      </c>
    </row>
    <row r="27" spans="1:8" ht="15.75" thickBot="1" x14ac:dyDescent="0.3">
      <c r="D27" s="4"/>
    </row>
    <row r="28" spans="1:8" ht="15.75" thickBot="1" x14ac:dyDescent="0.3">
      <c r="A28" s="7" t="s">
        <v>570</v>
      </c>
      <c r="D28" s="108">
        <f>HLOOKUP($B$5,Récapitulatif!E10:BE43,22,0)</f>
        <v>173.34539838542403</v>
      </c>
    </row>
    <row r="29" spans="1:8" ht="15.75" thickBot="1" x14ac:dyDescent="0.3">
      <c r="D29" s="4"/>
    </row>
    <row r="30" spans="1:8" ht="15.75" thickBot="1" x14ac:dyDescent="0.3">
      <c r="A30" s="7" t="s">
        <v>528</v>
      </c>
      <c r="D30" s="108">
        <f>HLOOKUP($B$5,Récapitulatif!E10:BE43,24,0)</f>
        <v>31.08916386240233</v>
      </c>
    </row>
    <row r="31" spans="1:8" ht="15.75" thickBot="1" x14ac:dyDescent="0.3">
      <c r="B31" s="92"/>
      <c r="D31" s="4"/>
    </row>
    <row r="32" spans="1:8" ht="15.75" thickBot="1" x14ac:dyDescent="0.3">
      <c r="A32" s="7" t="s">
        <v>571</v>
      </c>
      <c r="D32" s="108">
        <f>HLOOKUP($B$5,Récapitulatif!E10:BE43,26,0)</f>
        <v>10.505942177918199</v>
      </c>
    </row>
    <row r="33" spans="1:4" ht="15.75" thickBot="1" x14ac:dyDescent="0.3">
      <c r="D33" s="4"/>
    </row>
    <row r="34" spans="1:4" ht="15.75" thickBot="1" x14ac:dyDescent="0.3">
      <c r="A34" s="7" t="s">
        <v>542</v>
      </c>
      <c r="D34" s="108">
        <f>HLOOKUP($B$5,Récapitulatif!E10:BE43,28,0)</f>
        <v>771.03020833333358</v>
      </c>
    </row>
    <row r="35" spans="1:4" ht="15.75" thickBot="1" x14ac:dyDescent="0.3">
      <c r="D35" s="109"/>
    </row>
    <row r="36" spans="1:4" ht="15.75" thickBot="1" x14ac:dyDescent="0.3">
      <c r="A36" s="7" t="s">
        <v>546</v>
      </c>
      <c r="D36" s="108">
        <f>HLOOKUP($B$5,Récapitulatif!E10:BE43,30,0)</f>
        <v>12.905247467381061</v>
      </c>
    </row>
    <row r="37" spans="1:4" ht="15.75" thickBot="1" x14ac:dyDescent="0.3">
      <c r="D37" s="109"/>
    </row>
    <row r="38" spans="1:4" ht="15.75" thickBot="1" x14ac:dyDescent="0.3">
      <c r="A38" s="7" t="s">
        <v>550</v>
      </c>
      <c r="D38" s="108">
        <f>HLOOKUP($B$5,Récapitulatif!E10:BE43,32,0)</f>
        <v>-4.9188489540738018</v>
      </c>
    </row>
    <row r="39" spans="1:4" ht="15.75" thickBot="1" x14ac:dyDescent="0.3">
      <c r="D39" s="4"/>
    </row>
    <row r="40" spans="1:4" ht="15.75" thickBot="1" x14ac:dyDescent="0.3">
      <c r="A40" s="7" t="s">
        <v>572</v>
      </c>
      <c r="D40" s="108">
        <f>HLOOKUP($B$5,Récapitulatif!E10:BE43,34,0)</f>
        <v>122.67753948582441</v>
      </c>
    </row>
    <row r="42" spans="1:4" x14ac:dyDescent="0.25">
      <c r="A42" s="127"/>
    </row>
    <row r="45" spans="1:4" x14ac:dyDescent="0.25">
      <c r="A45" s="126"/>
      <c r="B45" s="163"/>
      <c r="C45" s="125"/>
    </row>
  </sheetData>
  <dataConsolidate/>
  <mergeCells count="6">
    <mergeCell ref="B5:D5"/>
    <mergeCell ref="A7:D7"/>
    <mergeCell ref="E2:H2"/>
    <mergeCell ref="A1:D1"/>
    <mergeCell ref="A2:D2"/>
    <mergeCell ref="B4:D4"/>
  </mergeCells>
  <pageMargins left="0.23622047244094491" right="0.23622047244094491" top="0.35433070866141736" bottom="0.35433070866141736" header="0.31496062992125984" footer="0.31496062992125984"/>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400-000000000000}">
          <x14:formula1>
            <xm:f>Récapitulatif!$E$10:$BE$10</xm:f>
          </x14:formula1>
          <xm:sqref>B5:D5</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F0"/>
  </sheetPr>
  <dimension ref="A1:S167"/>
  <sheetViews>
    <sheetView zoomScaleNormal="100" workbookViewId="0">
      <pane xSplit="4" ySplit="3" topLeftCell="G58" activePane="bottomRight" state="frozen"/>
      <selection pane="topRight" activeCell="E1" sqref="E1"/>
      <selection pane="bottomLeft" activeCell="A4" sqref="A4"/>
      <selection pane="bottomRight" activeCell="Q73" sqref="Q73"/>
    </sheetView>
  </sheetViews>
  <sheetFormatPr baseColWidth="10" defaultColWidth="11.42578125" defaultRowHeight="15" x14ac:dyDescent="0.25"/>
  <cols>
    <col min="1" max="2" width="5.7109375" customWidth="1"/>
    <col min="3" max="3" width="9" customWidth="1"/>
    <col min="4" max="4" width="63.5703125" customWidth="1"/>
    <col min="5" max="16" width="16.28515625" customWidth="1"/>
    <col min="17" max="17" width="18.42578125" customWidth="1"/>
    <col min="18" max="18" width="16.28515625" customWidth="1"/>
  </cols>
  <sheetData>
    <row r="1" spans="1:19" ht="26.25" x14ac:dyDescent="0.4">
      <c r="A1" s="32" t="s">
        <v>837</v>
      </c>
      <c r="B1" s="7"/>
      <c r="C1" s="7"/>
      <c r="D1" s="7"/>
    </row>
    <row r="2" spans="1:19" ht="21" x14ac:dyDescent="0.35">
      <c r="A2" s="167" t="s">
        <v>746</v>
      </c>
      <c r="E2" s="45">
        <v>1</v>
      </c>
      <c r="F2" s="45">
        <v>2</v>
      </c>
      <c r="G2" s="45">
        <v>3</v>
      </c>
      <c r="H2" s="45">
        <v>4</v>
      </c>
      <c r="I2" s="45">
        <v>5</v>
      </c>
      <c r="J2" s="45">
        <v>6</v>
      </c>
      <c r="K2" s="45">
        <v>7</v>
      </c>
      <c r="L2" s="45">
        <v>8</v>
      </c>
      <c r="M2" s="45">
        <v>9</v>
      </c>
      <c r="N2" s="45">
        <v>10</v>
      </c>
      <c r="O2" s="45">
        <v>11</v>
      </c>
      <c r="P2" s="45">
        <v>12</v>
      </c>
      <c r="Q2" s="45">
        <v>13</v>
      </c>
      <c r="R2" s="45">
        <f>SUM(E2:Q2)</f>
        <v>91</v>
      </c>
    </row>
    <row r="3" spans="1:19" x14ac:dyDescent="0.25">
      <c r="E3" s="33" t="s">
        <v>56</v>
      </c>
      <c r="F3" s="33" t="s">
        <v>18</v>
      </c>
      <c r="G3" s="33" t="s">
        <v>57</v>
      </c>
      <c r="H3" s="33" t="s">
        <v>750</v>
      </c>
      <c r="I3" s="33" t="s">
        <v>33</v>
      </c>
      <c r="J3" s="33" t="s">
        <v>28</v>
      </c>
      <c r="K3" s="33" t="s">
        <v>751</v>
      </c>
      <c r="L3" s="33" t="s">
        <v>16</v>
      </c>
      <c r="M3" s="33" t="s">
        <v>752</v>
      </c>
      <c r="N3" s="33" t="s">
        <v>753</v>
      </c>
      <c r="O3" s="33" t="s">
        <v>59</v>
      </c>
      <c r="P3" s="33" t="s">
        <v>754</v>
      </c>
      <c r="Q3" s="33" t="s">
        <v>755</v>
      </c>
      <c r="R3" s="36" t="s">
        <v>65</v>
      </c>
    </row>
    <row r="4" spans="1:19" ht="21" x14ac:dyDescent="0.35">
      <c r="A4" s="74">
        <v>3</v>
      </c>
      <c r="B4" s="74"/>
      <c r="C4" s="74"/>
      <c r="D4" s="74" t="s">
        <v>60</v>
      </c>
      <c r="E4" s="75">
        <f>E5+E15+E27+E31+E39+E43+E53+E56+E64</f>
        <v>864003.27</v>
      </c>
      <c r="F4" s="75">
        <f t="shared" ref="F4:R4" si="0">F5+F15+F27+F31+F39+F43+F53+F56+F64</f>
        <v>94687.73</v>
      </c>
      <c r="G4" s="75">
        <f t="shared" si="0"/>
        <v>99116.09</v>
      </c>
      <c r="H4" s="75">
        <f t="shared" si="0"/>
        <v>39108.31</v>
      </c>
      <c r="I4" s="75">
        <f t="shared" si="0"/>
        <v>252355.27000000002</v>
      </c>
      <c r="J4" s="75">
        <f t="shared" si="0"/>
        <v>1673386.83</v>
      </c>
      <c r="K4" s="75">
        <f t="shared" si="0"/>
        <v>86285.049999999988</v>
      </c>
      <c r="L4" s="75">
        <f t="shared" si="0"/>
        <v>169842.86000000002</v>
      </c>
      <c r="M4" s="75">
        <f t="shared" si="0"/>
        <v>0</v>
      </c>
      <c r="N4" s="75">
        <f t="shared" si="0"/>
        <v>28273.79</v>
      </c>
      <c r="O4" s="75">
        <f t="shared" si="0"/>
        <v>156496.59000000003</v>
      </c>
      <c r="P4" s="75">
        <f t="shared" si="0"/>
        <v>200007.37</v>
      </c>
      <c r="Q4" s="75">
        <f t="shared" si="0"/>
        <v>410782.54000000004</v>
      </c>
      <c r="R4" s="75">
        <f t="shared" si="0"/>
        <v>4074345.6999999997</v>
      </c>
      <c r="S4">
        <v>2</v>
      </c>
    </row>
    <row r="5" spans="1:19" x14ac:dyDescent="0.25">
      <c r="A5" s="76"/>
      <c r="B5" s="76">
        <v>30</v>
      </c>
      <c r="C5" s="76"/>
      <c r="D5" s="76" t="s">
        <v>61</v>
      </c>
      <c r="E5" s="77">
        <f>E6+E7+E8+E9+E10+E11+E12+E13</f>
        <v>196954.45</v>
      </c>
      <c r="F5" s="77">
        <f t="shared" ref="F5:R5" si="1">F6+F7+F8+F9+F10+F11+F12+F13</f>
        <v>10898.15</v>
      </c>
      <c r="G5" s="77">
        <f t="shared" si="1"/>
        <v>13014.199999999999</v>
      </c>
      <c r="H5" s="77">
        <f t="shared" si="1"/>
        <v>10274.549999999999</v>
      </c>
      <c r="I5" s="77">
        <f t="shared" si="1"/>
        <v>38973.700000000004</v>
      </c>
      <c r="J5" s="77">
        <f t="shared" si="1"/>
        <v>384564.65</v>
      </c>
      <c r="K5" s="77">
        <f t="shared" si="1"/>
        <v>12584.449999999999</v>
      </c>
      <c r="L5" s="77">
        <f t="shared" si="1"/>
        <v>34085.15</v>
      </c>
      <c r="M5" s="77">
        <f t="shared" si="1"/>
        <v>0</v>
      </c>
      <c r="N5" s="77">
        <f t="shared" si="1"/>
        <v>6371.6</v>
      </c>
      <c r="O5" s="77">
        <f t="shared" si="1"/>
        <v>27172.7</v>
      </c>
      <c r="P5" s="77">
        <f t="shared" si="1"/>
        <v>9887.7000000000007</v>
      </c>
      <c r="Q5" s="77">
        <f t="shared" si="1"/>
        <v>50808.95</v>
      </c>
      <c r="R5" s="77">
        <f t="shared" si="1"/>
        <v>795590.25000000012</v>
      </c>
      <c r="S5">
        <v>3</v>
      </c>
    </row>
    <row r="6" spans="1:19" x14ac:dyDescent="0.25">
      <c r="C6">
        <v>300</v>
      </c>
      <c r="D6" t="s">
        <v>80</v>
      </c>
      <c r="E6" s="4">
        <v>27583.8</v>
      </c>
      <c r="F6" s="4">
        <v>10898.15</v>
      </c>
      <c r="G6" s="4">
        <v>5691</v>
      </c>
      <c r="H6" s="4">
        <v>3015</v>
      </c>
      <c r="I6" s="4">
        <v>13880</v>
      </c>
      <c r="J6" s="4">
        <v>54744.65</v>
      </c>
      <c r="K6" s="4">
        <v>3362</v>
      </c>
      <c r="L6" s="4">
        <v>15172.65</v>
      </c>
      <c r="M6" s="4"/>
      <c r="N6" s="4">
        <v>1192.5</v>
      </c>
      <c r="O6" s="4">
        <v>22734.75</v>
      </c>
      <c r="P6" s="4">
        <v>1920</v>
      </c>
      <c r="Q6" s="4">
        <v>9595.9500000000007</v>
      </c>
      <c r="R6" s="4">
        <f t="shared" ref="R6:R13" si="2">SUM(E6:Q6)</f>
        <v>169790.45</v>
      </c>
      <c r="S6">
        <v>4</v>
      </c>
    </row>
    <row r="7" spans="1:19" x14ac:dyDescent="0.25">
      <c r="C7">
        <v>301</v>
      </c>
      <c r="D7" t="s">
        <v>81</v>
      </c>
      <c r="E7" s="4">
        <v>145332.95000000001</v>
      </c>
      <c r="F7" s="4">
        <v>0</v>
      </c>
      <c r="G7" s="4">
        <v>6568.4</v>
      </c>
      <c r="H7" s="4">
        <v>6200</v>
      </c>
      <c r="I7" s="4">
        <v>19957</v>
      </c>
      <c r="J7" s="4">
        <v>225542.7</v>
      </c>
      <c r="K7" s="4">
        <v>7750</v>
      </c>
      <c r="L7" s="4">
        <v>16377.6</v>
      </c>
      <c r="M7" s="4"/>
      <c r="N7" s="4">
        <v>4940</v>
      </c>
      <c r="O7" s="4">
        <v>613.4</v>
      </c>
      <c r="P7" s="4">
        <v>7517.5</v>
      </c>
      <c r="Q7" s="4">
        <v>31863.200000000001</v>
      </c>
      <c r="R7" s="4">
        <f t="shared" si="2"/>
        <v>472662.75000000006</v>
      </c>
      <c r="S7">
        <v>5</v>
      </c>
    </row>
    <row r="8" spans="1:19" x14ac:dyDescent="0.25">
      <c r="C8">
        <v>302</v>
      </c>
      <c r="D8" t="s">
        <v>82</v>
      </c>
      <c r="E8" s="4">
        <v>0</v>
      </c>
      <c r="F8" s="4">
        <v>0</v>
      </c>
      <c r="G8" s="4">
        <v>0</v>
      </c>
      <c r="H8" s="4">
        <v>0</v>
      </c>
      <c r="I8" s="4">
        <v>0</v>
      </c>
      <c r="J8" s="4">
        <v>0</v>
      </c>
      <c r="K8" s="4">
        <v>0</v>
      </c>
      <c r="L8" s="4">
        <v>0</v>
      </c>
      <c r="M8" s="4"/>
      <c r="N8" s="4">
        <v>0</v>
      </c>
      <c r="O8" s="4">
        <v>0</v>
      </c>
      <c r="P8" s="4">
        <v>0</v>
      </c>
      <c r="Q8" s="4">
        <v>0</v>
      </c>
      <c r="R8" s="4">
        <f t="shared" si="2"/>
        <v>0</v>
      </c>
      <c r="S8">
        <v>6</v>
      </c>
    </row>
    <row r="9" spans="1:19" x14ac:dyDescent="0.25">
      <c r="C9">
        <v>303</v>
      </c>
      <c r="D9" t="s">
        <v>83</v>
      </c>
      <c r="E9" s="4">
        <v>1281.25</v>
      </c>
      <c r="F9" s="4">
        <v>0</v>
      </c>
      <c r="G9" s="4">
        <v>0</v>
      </c>
      <c r="H9" s="4">
        <v>0</v>
      </c>
      <c r="I9" s="4">
        <v>0</v>
      </c>
      <c r="J9" s="4">
        <v>0</v>
      </c>
      <c r="K9" s="4">
        <v>0</v>
      </c>
      <c r="L9" s="4">
        <v>0</v>
      </c>
      <c r="M9" s="4"/>
      <c r="N9" s="4">
        <v>0</v>
      </c>
      <c r="O9" s="4">
        <v>0</v>
      </c>
      <c r="P9" s="4">
        <v>0</v>
      </c>
      <c r="Q9" s="4">
        <v>0</v>
      </c>
      <c r="R9" s="4">
        <f t="shared" si="2"/>
        <v>1281.25</v>
      </c>
      <c r="S9">
        <v>7</v>
      </c>
    </row>
    <row r="10" spans="1:19" x14ac:dyDescent="0.25">
      <c r="C10">
        <v>304</v>
      </c>
      <c r="D10" t="s">
        <v>583</v>
      </c>
      <c r="E10" s="4">
        <v>0</v>
      </c>
      <c r="F10" s="4">
        <v>0</v>
      </c>
      <c r="G10" s="4">
        <v>0</v>
      </c>
      <c r="H10" s="4">
        <v>0</v>
      </c>
      <c r="I10" s="4">
        <v>0</v>
      </c>
      <c r="J10" s="4">
        <v>7275.6</v>
      </c>
      <c r="K10" s="4">
        <v>0</v>
      </c>
      <c r="L10" s="4">
        <v>0</v>
      </c>
      <c r="M10" s="4"/>
      <c r="N10" s="4">
        <v>0</v>
      </c>
      <c r="O10" s="4">
        <v>0</v>
      </c>
      <c r="P10" s="4">
        <v>0</v>
      </c>
      <c r="Q10" s="4">
        <v>0</v>
      </c>
      <c r="R10" s="4">
        <f t="shared" si="2"/>
        <v>7275.6</v>
      </c>
      <c r="S10">
        <v>8</v>
      </c>
    </row>
    <row r="11" spans="1:19" x14ac:dyDescent="0.25">
      <c r="C11">
        <v>305</v>
      </c>
      <c r="D11" t="s">
        <v>84</v>
      </c>
      <c r="E11" s="4">
        <v>16339.2</v>
      </c>
      <c r="F11" s="4">
        <v>0</v>
      </c>
      <c r="G11" s="4">
        <v>754.8</v>
      </c>
      <c r="H11" s="4">
        <v>1059.55</v>
      </c>
      <c r="I11" s="4">
        <v>4010.05</v>
      </c>
      <c r="J11" s="4">
        <v>75228.100000000006</v>
      </c>
      <c r="K11" s="4">
        <v>1100.9000000000001</v>
      </c>
      <c r="L11" s="4">
        <v>2534.9</v>
      </c>
      <c r="M11" s="4"/>
      <c r="N11" s="4">
        <v>239.1</v>
      </c>
      <c r="O11" s="4">
        <v>3003.55</v>
      </c>
      <c r="P11" s="4">
        <v>111.6</v>
      </c>
      <c r="Q11" s="4">
        <v>8949.7999999999993</v>
      </c>
      <c r="R11" s="4">
        <f t="shared" si="2"/>
        <v>113331.55000000002</v>
      </c>
      <c r="S11">
        <v>9</v>
      </c>
    </row>
    <row r="12" spans="1:19" x14ac:dyDescent="0.25">
      <c r="C12">
        <v>306</v>
      </c>
      <c r="D12" t="s">
        <v>85</v>
      </c>
      <c r="E12" s="4">
        <v>0</v>
      </c>
      <c r="F12" s="4">
        <v>0</v>
      </c>
      <c r="G12" s="4">
        <v>0</v>
      </c>
      <c r="H12" s="4">
        <v>0</v>
      </c>
      <c r="I12" s="4">
        <v>0</v>
      </c>
      <c r="J12" s="4">
        <v>0</v>
      </c>
      <c r="K12" s="4">
        <v>0</v>
      </c>
      <c r="L12" s="4">
        <v>0</v>
      </c>
      <c r="M12" s="4"/>
      <c r="N12" s="4">
        <v>0</v>
      </c>
      <c r="O12" s="4">
        <v>0</v>
      </c>
      <c r="P12" s="4">
        <v>0</v>
      </c>
      <c r="Q12" s="4">
        <v>0</v>
      </c>
      <c r="R12" s="4">
        <f t="shared" si="2"/>
        <v>0</v>
      </c>
      <c r="S12">
        <v>10</v>
      </c>
    </row>
    <row r="13" spans="1:19" x14ac:dyDescent="0.25">
      <c r="C13">
        <v>309</v>
      </c>
      <c r="D13" t="s">
        <v>86</v>
      </c>
      <c r="E13" s="4">
        <v>6417.25</v>
      </c>
      <c r="F13" s="4">
        <v>0</v>
      </c>
      <c r="G13" s="4">
        <v>0</v>
      </c>
      <c r="H13" s="4">
        <v>0</v>
      </c>
      <c r="I13" s="4">
        <v>1126.6500000000001</v>
      </c>
      <c r="J13" s="4">
        <v>21773.599999999999</v>
      </c>
      <c r="K13" s="4">
        <v>371.55</v>
      </c>
      <c r="L13" s="4">
        <v>0</v>
      </c>
      <c r="M13" s="4"/>
      <c r="N13" s="4">
        <v>0</v>
      </c>
      <c r="O13" s="4">
        <v>821</v>
      </c>
      <c r="P13" s="4">
        <v>338.6</v>
      </c>
      <c r="Q13" s="4">
        <v>400</v>
      </c>
      <c r="R13" s="4">
        <f t="shared" si="2"/>
        <v>31248.649999999998</v>
      </c>
      <c r="S13">
        <v>11</v>
      </c>
    </row>
    <row r="14" spans="1:19" x14ac:dyDescent="0.25">
      <c r="E14" s="4"/>
      <c r="F14" s="4"/>
      <c r="G14" s="4"/>
      <c r="H14" s="4"/>
      <c r="I14" s="4"/>
      <c r="J14" s="4"/>
      <c r="K14" s="4"/>
      <c r="L14" s="4"/>
      <c r="M14" s="4"/>
      <c r="N14" s="4"/>
      <c r="O14" s="4"/>
      <c r="P14" s="4"/>
      <c r="Q14" s="4"/>
      <c r="R14" s="4"/>
      <c r="S14">
        <v>12</v>
      </c>
    </row>
    <row r="15" spans="1:19" x14ac:dyDescent="0.25">
      <c r="B15" s="76">
        <v>31</v>
      </c>
      <c r="C15" s="76"/>
      <c r="D15" s="76" t="s">
        <v>87</v>
      </c>
      <c r="E15" s="77">
        <f>E16+E17+E18+E19+E20+E21+E22+E23+E24+E25</f>
        <v>276396.94</v>
      </c>
      <c r="F15" s="77">
        <f t="shared" ref="F15:R15" si="3">F16+F17+F18+F19+F20+F21+F22+F23+F24+F25</f>
        <v>53968.6</v>
      </c>
      <c r="G15" s="77">
        <f t="shared" si="3"/>
        <v>53638.15</v>
      </c>
      <c r="H15" s="77">
        <f t="shared" si="3"/>
        <v>27087.439999999999</v>
      </c>
      <c r="I15" s="77">
        <f t="shared" si="3"/>
        <v>104485.87</v>
      </c>
      <c r="J15" s="77">
        <f t="shared" si="3"/>
        <v>492061.65</v>
      </c>
      <c r="K15" s="77">
        <f t="shared" si="3"/>
        <v>47754.299999999996</v>
      </c>
      <c r="L15" s="77">
        <f t="shared" si="3"/>
        <v>72164.210000000006</v>
      </c>
      <c r="M15" s="77">
        <f t="shared" si="3"/>
        <v>0</v>
      </c>
      <c r="N15" s="77">
        <f t="shared" si="3"/>
        <v>14547.24</v>
      </c>
      <c r="O15" s="77">
        <f t="shared" si="3"/>
        <v>88734.5</v>
      </c>
      <c r="P15" s="77">
        <f t="shared" si="3"/>
        <v>73019.639999999985</v>
      </c>
      <c r="Q15" s="77">
        <f t="shared" si="3"/>
        <v>157809.04</v>
      </c>
      <c r="R15" s="77">
        <f t="shared" si="3"/>
        <v>1461667.58</v>
      </c>
      <c r="S15">
        <v>13</v>
      </c>
    </row>
    <row r="16" spans="1:19" x14ac:dyDescent="0.25">
      <c r="C16">
        <v>310</v>
      </c>
      <c r="D16" t="s">
        <v>88</v>
      </c>
      <c r="E16" s="4">
        <v>37014.35</v>
      </c>
      <c r="F16" s="4">
        <v>11383.75</v>
      </c>
      <c r="G16" s="4">
        <v>1976.1</v>
      </c>
      <c r="H16" s="4">
        <v>1375.14</v>
      </c>
      <c r="I16" s="4">
        <v>6433.25</v>
      </c>
      <c r="J16" s="4">
        <v>7535.05</v>
      </c>
      <c r="K16" s="4">
        <v>5349.8</v>
      </c>
      <c r="L16" s="4">
        <v>8397.4</v>
      </c>
      <c r="M16" s="4"/>
      <c r="N16" s="4">
        <v>2854.2</v>
      </c>
      <c r="O16" s="4">
        <v>722.3</v>
      </c>
      <c r="P16" s="4">
        <v>8803.65</v>
      </c>
      <c r="Q16" s="4">
        <v>1094.1500000000001</v>
      </c>
      <c r="R16" s="4">
        <f t="shared" ref="R16:R25" si="4">SUM(E16:Q16)</f>
        <v>92939.139999999985</v>
      </c>
      <c r="S16">
        <v>14</v>
      </c>
    </row>
    <row r="17" spans="2:19" x14ac:dyDescent="0.25">
      <c r="C17">
        <v>311</v>
      </c>
      <c r="D17" t="s">
        <v>452</v>
      </c>
      <c r="E17" s="4">
        <v>3423</v>
      </c>
      <c r="F17" s="4">
        <v>0</v>
      </c>
      <c r="G17" s="4">
        <v>288.89999999999998</v>
      </c>
      <c r="H17" s="4">
        <v>0</v>
      </c>
      <c r="I17" s="4">
        <v>370</v>
      </c>
      <c r="J17" s="4">
        <v>17109.400000000001</v>
      </c>
      <c r="K17" s="4">
        <v>700</v>
      </c>
      <c r="L17" s="4">
        <v>1702.3</v>
      </c>
      <c r="M17" s="4"/>
      <c r="N17" s="4">
        <v>538.5</v>
      </c>
      <c r="O17" s="4">
        <v>0</v>
      </c>
      <c r="P17" s="4">
        <v>0</v>
      </c>
      <c r="Q17" s="4">
        <v>2724.45</v>
      </c>
      <c r="R17" s="4">
        <f t="shared" si="4"/>
        <v>26856.550000000003</v>
      </c>
      <c r="S17">
        <v>15</v>
      </c>
    </row>
    <row r="18" spans="2:19" x14ac:dyDescent="0.25">
      <c r="C18">
        <v>312</v>
      </c>
      <c r="D18" t="s">
        <v>90</v>
      </c>
      <c r="E18" s="4">
        <v>13048.95</v>
      </c>
      <c r="F18" s="4">
        <v>0</v>
      </c>
      <c r="G18" s="4">
        <v>0</v>
      </c>
      <c r="H18" s="4">
        <v>0</v>
      </c>
      <c r="I18" s="4">
        <v>1113.6500000000001</v>
      </c>
      <c r="J18" s="4">
        <v>137462.45000000001</v>
      </c>
      <c r="K18" s="4">
        <v>2772.65</v>
      </c>
      <c r="L18" s="4">
        <v>0</v>
      </c>
      <c r="M18" s="4"/>
      <c r="N18" s="4">
        <v>692.7</v>
      </c>
      <c r="O18" s="4">
        <v>37151.300000000003</v>
      </c>
      <c r="P18" s="4">
        <v>0</v>
      </c>
      <c r="Q18" s="4">
        <v>10364.799999999999</v>
      </c>
      <c r="R18" s="4">
        <f t="shared" si="4"/>
        <v>202606.5</v>
      </c>
      <c r="S18">
        <v>16</v>
      </c>
    </row>
    <row r="19" spans="2:19" x14ac:dyDescent="0.25">
      <c r="C19">
        <v>313</v>
      </c>
      <c r="D19" t="s">
        <v>91</v>
      </c>
      <c r="E19" s="4">
        <v>195902.24</v>
      </c>
      <c r="F19" s="4">
        <v>38019.85</v>
      </c>
      <c r="G19" s="4">
        <v>45204.01</v>
      </c>
      <c r="H19" s="4">
        <v>18259</v>
      </c>
      <c r="I19" s="4">
        <v>89864.87</v>
      </c>
      <c r="J19" s="4">
        <v>174482.3</v>
      </c>
      <c r="K19" s="4">
        <v>36336</v>
      </c>
      <c r="L19" s="4">
        <v>62064.51</v>
      </c>
      <c r="M19" s="4"/>
      <c r="N19" s="4">
        <v>10108.94</v>
      </c>
      <c r="O19" s="4">
        <v>29626.25</v>
      </c>
      <c r="P19" s="4">
        <v>58044.89</v>
      </c>
      <c r="Q19" s="4">
        <v>92115.89</v>
      </c>
      <c r="R19" s="4">
        <f t="shared" si="4"/>
        <v>850028.75</v>
      </c>
      <c r="S19">
        <v>17</v>
      </c>
    </row>
    <row r="20" spans="2:19" x14ac:dyDescent="0.25">
      <c r="C20">
        <v>314</v>
      </c>
      <c r="D20" t="s">
        <v>92</v>
      </c>
      <c r="E20" s="4">
        <v>4252</v>
      </c>
      <c r="F20" s="4">
        <v>4565</v>
      </c>
      <c r="G20" s="4">
        <v>3761.75</v>
      </c>
      <c r="H20" s="4">
        <v>6289.1</v>
      </c>
      <c r="I20" s="4">
        <v>5579.05</v>
      </c>
      <c r="J20" s="4">
        <v>151932.04999999999</v>
      </c>
      <c r="K20" s="4">
        <v>1187.8499999999999</v>
      </c>
      <c r="L20" s="4">
        <v>0</v>
      </c>
      <c r="M20" s="4"/>
      <c r="N20" s="4">
        <v>0</v>
      </c>
      <c r="O20" s="4">
        <f>27334.3-6528.55</f>
        <v>20805.75</v>
      </c>
      <c r="P20" s="4">
        <v>3513.9</v>
      </c>
      <c r="Q20" s="4">
        <v>42621.65</v>
      </c>
      <c r="R20" s="4">
        <f t="shared" si="4"/>
        <v>244508.09999999998</v>
      </c>
      <c r="S20">
        <v>18</v>
      </c>
    </row>
    <row r="21" spans="2:19" x14ac:dyDescent="0.25">
      <c r="C21">
        <v>315</v>
      </c>
      <c r="D21" t="s">
        <v>93</v>
      </c>
      <c r="E21" s="4">
        <v>15557</v>
      </c>
      <c r="F21" s="4">
        <v>0</v>
      </c>
      <c r="G21" s="4">
        <v>868.5</v>
      </c>
      <c r="H21" s="4">
        <v>0</v>
      </c>
      <c r="I21" s="4">
        <v>869</v>
      </c>
      <c r="J21" s="4">
        <v>0</v>
      </c>
      <c r="K21" s="4">
        <v>908</v>
      </c>
      <c r="L21" s="4">
        <v>0</v>
      </c>
      <c r="M21" s="4"/>
      <c r="N21" s="4">
        <v>0</v>
      </c>
      <c r="O21" s="4">
        <v>0</v>
      </c>
      <c r="P21" s="4">
        <v>590</v>
      </c>
      <c r="Q21" s="4">
        <v>323.10000000000002</v>
      </c>
      <c r="R21" s="4">
        <f t="shared" si="4"/>
        <v>19115.599999999999</v>
      </c>
      <c r="S21">
        <v>19</v>
      </c>
    </row>
    <row r="22" spans="2:19" x14ac:dyDescent="0.25">
      <c r="C22">
        <v>316</v>
      </c>
      <c r="D22" t="s">
        <v>94</v>
      </c>
      <c r="E22" s="4">
        <v>2023.45</v>
      </c>
      <c r="F22" s="4">
        <v>0</v>
      </c>
      <c r="G22" s="4">
        <v>950</v>
      </c>
      <c r="H22" s="4">
        <v>0</v>
      </c>
      <c r="I22" s="4">
        <v>0</v>
      </c>
      <c r="J22" s="4">
        <v>0</v>
      </c>
      <c r="K22" s="4">
        <v>0</v>
      </c>
      <c r="L22" s="4">
        <v>0</v>
      </c>
      <c r="M22" s="4"/>
      <c r="N22" s="4">
        <v>0</v>
      </c>
      <c r="O22" s="4">
        <v>0</v>
      </c>
      <c r="P22" s="4">
        <v>0</v>
      </c>
      <c r="Q22" s="4">
        <v>0</v>
      </c>
      <c r="R22" s="4">
        <f t="shared" si="4"/>
        <v>2973.45</v>
      </c>
      <c r="S22">
        <v>20</v>
      </c>
    </row>
    <row r="23" spans="2:19" x14ac:dyDescent="0.25">
      <c r="C23">
        <v>317</v>
      </c>
      <c r="D23" t="s">
        <v>95</v>
      </c>
      <c r="E23" s="4">
        <v>4935.95</v>
      </c>
      <c r="F23" s="4">
        <v>0</v>
      </c>
      <c r="G23" s="4">
        <v>0</v>
      </c>
      <c r="H23" s="4">
        <v>0</v>
      </c>
      <c r="I23" s="4">
        <v>0</v>
      </c>
      <c r="J23" s="4">
        <v>3540.4</v>
      </c>
      <c r="K23" s="4">
        <v>0</v>
      </c>
      <c r="L23" s="4">
        <v>0</v>
      </c>
      <c r="M23" s="4"/>
      <c r="N23" s="4">
        <v>352.9</v>
      </c>
      <c r="O23" s="4">
        <v>158.9</v>
      </c>
      <c r="P23" s="4">
        <v>0</v>
      </c>
      <c r="Q23" s="4">
        <v>565</v>
      </c>
      <c r="R23" s="4">
        <f t="shared" si="4"/>
        <v>9553.15</v>
      </c>
      <c r="S23">
        <v>21</v>
      </c>
    </row>
    <row r="24" spans="2:19" x14ac:dyDescent="0.25">
      <c r="C24">
        <v>318</v>
      </c>
      <c r="D24" t="s">
        <v>96</v>
      </c>
      <c r="E24" s="4">
        <v>240</v>
      </c>
      <c r="F24" s="4">
        <v>0</v>
      </c>
      <c r="G24" s="4">
        <v>0</v>
      </c>
      <c r="H24" s="4">
        <v>0</v>
      </c>
      <c r="I24" s="4">
        <v>0</v>
      </c>
      <c r="J24" s="4">
        <v>0</v>
      </c>
      <c r="K24" s="4">
        <v>0</v>
      </c>
      <c r="L24" s="4">
        <v>0</v>
      </c>
      <c r="M24" s="4"/>
      <c r="N24" s="4">
        <v>0</v>
      </c>
      <c r="O24" s="4">
        <v>0</v>
      </c>
      <c r="P24" s="4">
        <v>0</v>
      </c>
      <c r="Q24" s="4">
        <v>8000</v>
      </c>
      <c r="R24" s="4">
        <f t="shared" si="4"/>
        <v>8240</v>
      </c>
      <c r="S24">
        <v>22</v>
      </c>
    </row>
    <row r="25" spans="2:19" x14ac:dyDescent="0.25">
      <c r="C25">
        <v>319</v>
      </c>
      <c r="D25" t="s">
        <v>97</v>
      </c>
      <c r="E25" s="4">
        <v>0</v>
      </c>
      <c r="F25" s="4">
        <v>0</v>
      </c>
      <c r="G25" s="4">
        <v>588.89</v>
      </c>
      <c r="H25" s="4">
        <v>1164.2</v>
      </c>
      <c r="I25" s="4">
        <v>256.05</v>
      </c>
      <c r="J25" s="4">
        <v>0</v>
      </c>
      <c r="K25" s="4">
        <v>500</v>
      </c>
      <c r="L25" s="4">
        <v>0</v>
      </c>
      <c r="M25" s="4"/>
      <c r="N25" s="4">
        <v>0</v>
      </c>
      <c r="O25" s="4">
        <v>270</v>
      </c>
      <c r="P25" s="4">
        <v>2067.1999999999998</v>
      </c>
      <c r="Q25" s="4">
        <v>0</v>
      </c>
      <c r="R25" s="4">
        <f t="shared" si="4"/>
        <v>4846.34</v>
      </c>
      <c r="S25">
        <v>23</v>
      </c>
    </row>
    <row r="26" spans="2:19" x14ac:dyDescent="0.25">
      <c r="E26" s="4"/>
      <c r="F26" s="4"/>
      <c r="G26" s="4"/>
      <c r="H26" s="4"/>
      <c r="I26" s="4"/>
      <c r="J26" s="4"/>
      <c r="K26" s="4"/>
      <c r="L26" s="4"/>
      <c r="M26" s="4"/>
      <c r="N26" s="4"/>
      <c r="O26" s="4"/>
      <c r="P26" s="4"/>
      <c r="Q26" s="4"/>
      <c r="R26" s="4"/>
      <c r="S26">
        <v>24</v>
      </c>
    </row>
    <row r="27" spans="2:19" x14ac:dyDescent="0.25">
      <c r="B27" s="76">
        <v>33</v>
      </c>
      <c r="C27" s="76"/>
      <c r="D27" s="76" t="s">
        <v>98</v>
      </c>
      <c r="E27" s="77">
        <f>E28+E29</f>
        <v>65732.7</v>
      </c>
      <c r="F27" s="77">
        <f t="shared" ref="F27:R27" si="5">F28+F29</f>
        <v>11268</v>
      </c>
      <c r="G27" s="77">
        <f t="shared" si="5"/>
        <v>3218.95</v>
      </c>
      <c r="H27" s="77">
        <f t="shared" si="5"/>
        <v>0</v>
      </c>
      <c r="I27" s="77">
        <f t="shared" si="5"/>
        <v>31218</v>
      </c>
      <c r="J27" s="77">
        <f t="shared" si="5"/>
        <v>41330</v>
      </c>
      <c r="K27" s="77">
        <f t="shared" si="5"/>
        <v>0</v>
      </c>
      <c r="L27" s="77">
        <f t="shared" si="5"/>
        <v>0</v>
      </c>
      <c r="M27" s="77">
        <f t="shared" si="5"/>
        <v>0</v>
      </c>
      <c r="N27" s="77">
        <f t="shared" si="5"/>
        <v>0</v>
      </c>
      <c r="O27" s="77">
        <f t="shared" si="5"/>
        <v>22000</v>
      </c>
      <c r="P27" s="77">
        <f t="shared" si="5"/>
        <v>32530</v>
      </c>
      <c r="Q27" s="77">
        <f t="shared" si="5"/>
        <v>0</v>
      </c>
      <c r="R27" s="77">
        <f t="shared" si="5"/>
        <v>207297.65</v>
      </c>
      <c r="S27">
        <v>25</v>
      </c>
    </row>
    <row r="28" spans="2:19" x14ac:dyDescent="0.25">
      <c r="C28">
        <v>330</v>
      </c>
      <c r="D28" t="s">
        <v>100</v>
      </c>
      <c r="E28" s="4">
        <v>65732.7</v>
      </c>
      <c r="F28" s="4">
        <v>11268</v>
      </c>
      <c r="G28" s="4">
        <v>3218.95</v>
      </c>
      <c r="H28" s="4">
        <v>0</v>
      </c>
      <c r="I28" s="4">
        <v>31218</v>
      </c>
      <c r="J28" s="4">
        <v>41330</v>
      </c>
      <c r="K28" s="4">
        <v>0</v>
      </c>
      <c r="L28" s="4">
        <v>0</v>
      </c>
      <c r="M28" s="4"/>
      <c r="N28" s="4">
        <v>0</v>
      </c>
      <c r="O28" s="4">
        <v>22000</v>
      </c>
      <c r="P28" s="4">
        <v>32530</v>
      </c>
      <c r="Q28" s="4">
        <v>0</v>
      </c>
      <c r="R28" s="4">
        <f>SUM(E28:Q28)</f>
        <v>207297.65</v>
      </c>
      <c r="S28">
        <v>26</v>
      </c>
    </row>
    <row r="29" spans="2:19" x14ac:dyDescent="0.25">
      <c r="C29">
        <v>332</v>
      </c>
      <c r="D29" t="s">
        <v>99</v>
      </c>
      <c r="E29" s="4">
        <v>0</v>
      </c>
      <c r="F29" s="4">
        <v>0</v>
      </c>
      <c r="G29" s="4">
        <v>0</v>
      </c>
      <c r="H29" s="4">
        <v>0</v>
      </c>
      <c r="I29" s="4">
        <v>0</v>
      </c>
      <c r="J29" s="4">
        <v>0</v>
      </c>
      <c r="K29" s="4">
        <v>0</v>
      </c>
      <c r="L29" s="4">
        <v>0</v>
      </c>
      <c r="M29" s="4"/>
      <c r="N29" s="4">
        <v>0</v>
      </c>
      <c r="O29" s="4">
        <v>0</v>
      </c>
      <c r="P29" s="4">
        <v>0</v>
      </c>
      <c r="Q29" s="4">
        <v>0</v>
      </c>
      <c r="R29" s="4">
        <f>SUM(E29:Q29)</f>
        <v>0</v>
      </c>
      <c r="S29">
        <v>27</v>
      </c>
    </row>
    <row r="30" spans="2:19" x14ac:dyDescent="0.25">
      <c r="E30" s="4"/>
      <c r="F30" s="4"/>
      <c r="G30" s="4"/>
      <c r="H30" s="4"/>
      <c r="I30" s="4"/>
      <c r="J30" s="4"/>
      <c r="K30" s="4"/>
      <c r="L30" s="4"/>
      <c r="M30" s="4"/>
      <c r="N30" s="4"/>
      <c r="O30" s="4"/>
      <c r="P30" s="4"/>
      <c r="Q30" s="4"/>
      <c r="R30" s="4"/>
      <c r="S30">
        <v>28</v>
      </c>
    </row>
    <row r="31" spans="2:19" x14ac:dyDescent="0.25">
      <c r="B31" s="76">
        <v>34</v>
      </c>
      <c r="C31" s="76"/>
      <c r="D31" s="76" t="s">
        <v>101</v>
      </c>
      <c r="E31" s="77">
        <f>E32+E33+E34+E35+E36+E37</f>
        <v>97326.98</v>
      </c>
      <c r="F31" s="77">
        <f t="shared" ref="F31:R31" si="6">F32+F33+F34+F35+F36+F37</f>
        <v>2612</v>
      </c>
      <c r="G31" s="77">
        <f t="shared" si="6"/>
        <v>14900.099999999999</v>
      </c>
      <c r="H31" s="77">
        <f t="shared" si="6"/>
        <v>0</v>
      </c>
      <c r="I31" s="77">
        <f t="shared" si="6"/>
        <v>22884.25</v>
      </c>
      <c r="J31" s="77">
        <f t="shared" si="6"/>
        <v>117707.35</v>
      </c>
      <c r="K31" s="77">
        <f t="shared" si="6"/>
        <v>2244.1000000000004</v>
      </c>
      <c r="L31" s="77">
        <f t="shared" si="6"/>
        <v>2136.6</v>
      </c>
      <c r="M31" s="77">
        <f t="shared" si="6"/>
        <v>0</v>
      </c>
      <c r="N31" s="77">
        <f t="shared" si="6"/>
        <v>0</v>
      </c>
      <c r="O31" s="77">
        <f t="shared" si="6"/>
        <v>8015.0999999999995</v>
      </c>
      <c r="P31" s="77">
        <f t="shared" si="6"/>
        <v>18886.68</v>
      </c>
      <c r="Q31" s="77">
        <f t="shared" si="6"/>
        <v>27404.149999999998</v>
      </c>
      <c r="R31" s="77">
        <f t="shared" si="6"/>
        <v>314117.31</v>
      </c>
      <c r="S31">
        <v>29</v>
      </c>
    </row>
    <row r="32" spans="2:19" x14ac:dyDescent="0.25">
      <c r="C32">
        <v>340</v>
      </c>
      <c r="D32" t="s">
        <v>102</v>
      </c>
      <c r="E32" s="4">
        <v>28720.799999999999</v>
      </c>
      <c r="F32" s="4">
        <v>2612</v>
      </c>
      <c r="G32" s="4">
        <v>2645.65</v>
      </c>
      <c r="H32" s="4">
        <v>0</v>
      </c>
      <c r="I32" s="4">
        <v>5169.1000000000004</v>
      </c>
      <c r="J32" s="4">
        <v>24349.1</v>
      </c>
      <c r="K32" s="4">
        <v>1533.4</v>
      </c>
      <c r="L32" s="4">
        <v>0</v>
      </c>
      <c r="M32" s="4"/>
      <c r="N32" s="4">
        <v>0</v>
      </c>
      <c r="O32" s="4">
        <v>0</v>
      </c>
      <c r="P32" s="4">
        <v>13075.33</v>
      </c>
      <c r="Q32" s="4">
        <v>1812.8</v>
      </c>
      <c r="R32" s="4">
        <f t="shared" ref="R32:R37" si="7">SUM(E32:Q32)</f>
        <v>79918.179999999993</v>
      </c>
      <c r="S32">
        <v>30</v>
      </c>
    </row>
    <row r="33" spans="2:19" x14ac:dyDescent="0.25">
      <c r="C33">
        <v>341</v>
      </c>
      <c r="D33" t="s">
        <v>103</v>
      </c>
      <c r="E33" s="4">
        <v>0</v>
      </c>
      <c r="F33" s="4">
        <v>0</v>
      </c>
      <c r="G33" s="4">
        <v>0</v>
      </c>
      <c r="H33" s="4">
        <v>0</v>
      </c>
      <c r="I33" s="4">
        <v>0</v>
      </c>
      <c r="J33" s="4">
        <v>0</v>
      </c>
      <c r="K33" s="4">
        <v>0</v>
      </c>
      <c r="L33" s="4">
        <v>0</v>
      </c>
      <c r="M33" s="4"/>
      <c r="N33" s="4">
        <v>0</v>
      </c>
      <c r="O33" s="4">
        <v>0</v>
      </c>
      <c r="P33" s="4">
        <v>0</v>
      </c>
      <c r="Q33" s="4">
        <v>0</v>
      </c>
      <c r="R33" s="4">
        <f t="shared" si="7"/>
        <v>0</v>
      </c>
      <c r="S33">
        <v>31</v>
      </c>
    </row>
    <row r="34" spans="2:19" x14ac:dyDescent="0.25">
      <c r="C34">
        <v>342</v>
      </c>
      <c r="D34" t="s">
        <v>104</v>
      </c>
      <c r="E34" s="4">
        <v>0</v>
      </c>
      <c r="F34" s="4">
        <v>0</v>
      </c>
      <c r="G34" s="4">
        <v>0</v>
      </c>
      <c r="H34" s="4">
        <v>0</v>
      </c>
      <c r="I34" s="4">
        <v>0</v>
      </c>
      <c r="J34" s="4">
        <v>0</v>
      </c>
      <c r="K34" s="4">
        <v>0</v>
      </c>
      <c r="L34" s="4">
        <v>0</v>
      </c>
      <c r="M34" s="4"/>
      <c r="N34" s="4">
        <v>0</v>
      </c>
      <c r="O34" s="4">
        <v>0</v>
      </c>
      <c r="P34" s="4">
        <v>0</v>
      </c>
      <c r="Q34" s="4">
        <v>0</v>
      </c>
      <c r="R34" s="4">
        <f t="shared" si="7"/>
        <v>0</v>
      </c>
      <c r="S34">
        <v>32</v>
      </c>
    </row>
    <row r="35" spans="2:19" x14ac:dyDescent="0.25">
      <c r="C35">
        <v>343</v>
      </c>
      <c r="D35" t="s">
        <v>105</v>
      </c>
      <c r="E35" s="4">
        <v>60159.45</v>
      </c>
      <c r="F35" s="4">
        <v>0</v>
      </c>
      <c r="G35" s="4">
        <v>11048.8</v>
      </c>
      <c r="H35" s="4">
        <v>0</v>
      </c>
      <c r="I35" s="4">
        <v>17715.150000000001</v>
      </c>
      <c r="J35" s="4">
        <v>90648.6</v>
      </c>
      <c r="K35" s="4">
        <v>0</v>
      </c>
      <c r="L35" s="4">
        <v>0</v>
      </c>
      <c r="M35" s="4"/>
      <c r="N35" s="4">
        <v>0</v>
      </c>
      <c r="O35" s="4">
        <v>7580.9</v>
      </c>
      <c r="P35" s="4">
        <v>4047.9</v>
      </c>
      <c r="Q35" s="4">
        <v>23562.3</v>
      </c>
      <c r="R35" s="4">
        <f t="shared" si="7"/>
        <v>214763.09999999998</v>
      </c>
      <c r="S35">
        <v>33</v>
      </c>
    </row>
    <row r="36" spans="2:19" x14ac:dyDescent="0.25">
      <c r="C36">
        <v>344</v>
      </c>
      <c r="D36" t="s">
        <v>106</v>
      </c>
      <c r="E36" s="4">
        <v>3255.58</v>
      </c>
      <c r="F36" s="4">
        <v>0</v>
      </c>
      <c r="G36" s="4">
        <v>0</v>
      </c>
      <c r="H36" s="4">
        <v>0</v>
      </c>
      <c r="I36" s="4">
        <v>0</v>
      </c>
      <c r="J36" s="4">
        <v>0</v>
      </c>
      <c r="K36" s="4">
        <v>0</v>
      </c>
      <c r="L36" s="4">
        <v>0</v>
      </c>
      <c r="M36" s="4"/>
      <c r="N36" s="4">
        <v>0</v>
      </c>
      <c r="O36" s="4">
        <v>0</v>
      </c>
      <c r="P36" s="4">
        <v>1763.45</v>
      </c>
      <c r="Q36" s="4">
        <v>0</v>
      </c>
      <c r="R36" s="4">
        <f t="shared" si="7"/>
        <v>5019.03</v>
      </c>
      <c r="S36">
        <v>34</v>
      </c>
    </row>
    <row r="37" spans="2:19" x14ac:dyDescent="0.25">
      <c r="C37">
        <v>349</v>
      </c>
      <c r="D37" t="s">
        <v>107</v>
      </c>
      <c r="E37" s="4">
        <v>5191.1499999999996</v>
      </c>
      <c r="F37" s="4">
        <v>0</v>
      </c>
      <c r="G37" s="4">
        <v>1205.6500000000001</v>
      </c>
      <c r="H37" s="4">
        <v>0</v>
      </c>
      <c r="I37" s="4">
        <v>0</v>
      </c>
      <c r="J37" s="4">
        <v>2709.65</v>
      </c>
      <c r="K37" s="4">
        <v>710.7</v>
      </c>
      <c r="L37" s="4">
        <v>2136.6</v>
      </c>
      <c r="M37" s="4"/>
      <c r="N37" s="4">
        <v>0</v>
      </c>
      <c r="O37" s="4">
        <v>434.2</v>
      </c>
      <c r="P37" s="4">
        <v>0</v>
      </c>
      <c r="Q37" s="4">
        <v>2029.05</v>
      </c>
      <c r="R37" s="4">
        <f t="shared" si="7"/>
        <v>14417</v>
      </c>
      <c r="S37">
        <v>35</v>
      </c>
    </row>
    <row r="38" spans="2:19" x14ac:dyDescent="0.25">
      <c r="E38" s="4"/>
      <c r="F38" s="4"/>
      <c r="G38" s="4"/>
      <c r="H38" s="4"/>
      <c r="I38" s="4"/>
      <c r="J38" s="4"/>
      <c r="K38" s="4"/>
      <c r="L38" s="4"/>
      <c r="M38" s="4"/>
      <c r="N38" s="4"/>
      <c r="O38" s="4"/>
      <c r="P38" s="4"/>
      <c r="Q38" s="4"/>
      <c r="R38" s="4"/>
      <c r="S38">
        <v>36</v>
      </c>
    </row>
    <row r="39" spans="2:19" x14ac:dyDescent="0.25">
      <c r="B39" s="76">
        <v>35</v>
      </c>
      <c r="C39" s="76"/>
      <c r="D39" s="76" t="s">
        <v>109</v>
      </c>
      <c r="E39" s="77">
        <f>E40+E41</f>
        <v>157</v>
      </c>
      <c r="F39" s="77">
        <f t="shared" ref="F39:R39" si="8">F40+F41</f>
        <v>0</v>
      </c>
      <c r="G39" s="77">
        <f t="shared" si="8"/>
        <v>400.39</v>
      </c>
      <c r="H39" s="77">
        <f t="shared" si="8"/>
        <v>126.77</v>
      </c>
      <c r="I39" s="77">
        <f t="shared" si="8"/>
        <v>25300</v>
      </c>
      <c r="J39" s="77">
        <f t="shared" si="8"/>
        <v>234871.18</v>
      </c>
      <c r="K39" s="77">
        <f t="shared" si="8"/>
        <v>4.3499999999999996</v>
      </c>
      <c r="L39" s="77">
        <f t="shared" si="8"/>
        <v>13179.8</v>
      </c>
      <c r="M39" s="77">
        <f t="shared" si="8"/>
        <v>0</v>
      </c>
      <c r="N39" s="77">
        <f t="shared" si="8"/>
        <v>0</v>
      </c>
      <c r="O39" s="77">
        <f t="shared" si="8"/>
        <v>190.54</v>
      </c>
      <c r="P39" s="77">
        <f t="shared" si="8"/>
        <v>-5374.25</v>
      </c>
      <c r="Q39" s="77">
        <f t="shared" si="8"/>
        <v>0</v>
      </c>
      <c r="R39" s="77">
        <f t="shared" si="8"/>
        <v>268855.77999999997</v>
      </c>
      <c r="S39">
        <v>37</v>
      </c>
    </row>
    <row r="40" spans="2:19" x14ac:dyDescent="0.25">
      <c r="C40">
        <v>350</v>
      </c>
      <c r="D40" t="s">
        <v>109</v>
      </c>
      <c r="E40" s="4">
        <v>0</v>
      </c>
      <c r="F40" s="4">
        <v>0</v>
      </c>
      <c r="G40" s="4">
        <v>0</v>
      </c>
      <c r="H40" s="4">
        <v>0</v>
      </c>
      <c r="I40" s="4">
        <v>0</v>
      </c>
      <c r="J40" s="4">
        <v>0</v>
      </c>
      <c r="K40" s="4">
        <v>0</v>
      </c>
      <c r="L40" s="4">
        <v>0</v>
      </c>
      <c r="M40" s="4"/>
      <c r="N40" s="4">
        <v>0</v>
      </c>
      <c r="O40" s="4">
        <v>0</v>
      </c>
      <c r="P40" s="4">
        <v>0</v>
      </c>
      <c r="Q40" s="4">
        <v>0</v>
      </c>
      <c r="R40" s="4">
        <f t="shared" ref="R40:R41" si="9">SUM(E40:Q40)</f>
        <v>0</v>
      </c>
      <c r="S40">
        <v>38</v>
      </c>
    </row>
    <row r="41" spans="2:19" x14ac:dyDescent="0.25">
      <c r="C41">
        <v>351</v>
      </c>
      <c r="D41" t="s">
        <v>108</v>
      </c>
      <c r="E41" s="4">
        <v>157</v>
      </c>
      <c r="F41" s="4">
        <v>0</v>
      </c>
      <c r="G41" s="4">
        <v>400.39</v>
      </c>
      <c r="H41" s="4">
        <v>126.77</v>
      </c>
      <c r="I41" s="4">
        <v>25300</v>
      </c>
      <c r="J41" s="4">
        <v>234871.18</v>
      </c>
      <c r="K41" s="4">
        <v>4.3499999999999996</v>
      </c>
      <c r="L41" s="4">
        <v>13179.8</v>
      </c>
      <c r="M41" s="4"/>
      <c r="N41" s="4">
        <v>0</v>
      </c>
      <c r="O41" s="4">
        <v>190.54</v>
      </c>
      <c r="P41" s="4">
        <v>-5374.25</v>
      </c>
      <c r="Q41" s="4">
        <v>0</v>
      </c>
      <c r="R41" s="4">
        <f t="shared" si="9"/>
        <v>268855.77999999997</v>
      </c>
      <c r="S41">
        <v>39</v>
      </c>
    </row>
    <row r="42" spans="2:19" x14ac:dyDescent="0.25">
      <c r="E42" s="4"/>
      <c r="F42" s="4"/>
      <c r="G42" s="4"/>
      <c r="H42" s="4"/>
      <c r="I42" s="4"/>
      <c r="J42" s="4"/>
      <c r="K42" s="4"/>
      <c r="L42" s="4"/>
      <c r="M42" s="4"/>
      <c r="N42" s="4"/>
      <c r="O42" s="4"/>
      <c r="P42" s="4"/>
      <c r="Q42" s="4"/>
      <c r="R42" s="4"/>
      <c r="S42">
        <v>40</v>
      </c>
    </row>
    <row r="43" spans="2:19" x14ac:dyDescent="0.25">
      <c r="B43" s="76">
        <v>36</v>
      </c>
      <c r="C43" s="76"/>
      <c r="D43" s="76" t="s">
        <v>110</v>
      </c>
      <c r="E43" s="77">
        <f>E44+E45+E46+E47+E48+E49+E50+E51</f>
        <v>53156.9</v>
      </c>
      <c r="F43" s="77">
        <f t="shared" ref="F43:R43" si="10">F44+F45+F46+F47+F48+F49+F50+F51</f>
        <v>13274.8</v>
      </c>
      <c r="G43" s="77">
        <f t="shared" si="10"/>
        <v>10944.3</v>
      </c>
      <c r="H43" s="77">
        <f t="shared" si="10"/>
        <v>1619.55</v>
      </c>
      <c r="I43" s="77">
        <f t="shared" si="10"/>
        <v>29493.45</v>
      </c>
      <c r="J43" s="77">
        <f t="shared" si="10"/>
        <v>52852</v>
      </c>
      <c r="K43" s="77">
        <f t="shared" si="10"/>
        <v>12564.85</v>
      </c>
      <c r="L43" s="77">
        <f t="shared" si="10"/>
        <v>47239.3</v>
      </c>
      <c r="M43" s="77">
        <f t="shared" si="10"/>
        <v>0</v>
      </c>
      <c r="N43" s="77">
        <f t="shared" si="10"/>
        <v>7354.95</v>
      </c>
      <c r="O43" s="77">
        <f t="shared" si="10"/>
        <v>10383.75</v>
      </c>
      <c r="P43" s="77">
        <f t="shared" si="10"/>
        <v>44191.4</v>
      </c>
      <c r="Q43" s="77">
        <f t="shared" si="10"/>
        <v>26250</v>
      </c>
      <c r="R43" s="77">
        <f t="shared" si="10"/>
        <v>309325.25</v>
      </c>
      <c r="S43">
        <v>41</v>
      </c>
    </row>
    <row r="44" spans="2:19" x14ac:dyDescent="0.25">
      <c r="C44">
        <v>360</v>
      </c>
      <c r="D44" t="s">
        <v>111</v>
      </c>
      <c r="E44" s="4">
        <v>4177.1000000000004</v>
      </c>
      <c r="F44" s="4">
        <v>0</v>
      </c>
      <c r="G44" s="4">
        <v>0</v>
      </c>
      <c r="H44" s="4">
        <v>0</v>
      </c>
      <c r="I44" s="4">
        <v>0</v>
      </c>
      <c r="J44" s="4">
        <v>2000</v>
      </c>
      <c r="K44" s="4">
        <v>0</v>
      </c>
      <c r="L44" s="4">
        <v>0</v>
      </c>
      <c r="M44" s="4"/>
      <c r="N44" s="4">
        <v>0</v>
      </c>
      <c r="O44" s="4">
        <v>0</v>
      </c>
      <c r="P44" s="4">
        <v>0</v>
      </c>
      <c r="Q44" s="4">
        <v>0</v>
      </c>
      <c r="R44" s="4">
        <f t="shared" ref="R44:R51" si="11">SUM(E44:Q44)</f>
        <v>6177.1</v>
      </c>
      <c r="S44">
        <v>42</v>
      </c>
    </row>
    <row r="45" spans="2:19" x14ac:dyDescent="0.25">
      <c r="C45">
        <v>361</v>
      </c>
      <c r="D45" t="s">
        <v>112</v>
      </c>
      <c r="E45" s="4">
        <v>2008.55</v>
      </c>
      <c r="F45" s="4">
        <v>0</v>
      </c>
      <c r="G45" s="4">
        <v>0</v>
      </c>
      <c r="H45" s="4">
        <v>0</v>
      </c>
      <c r="I45" s="4">
        <v>5800</v>
      </c>
      <c r="J45" s="4">
        <v>0</v>
      </c>
      <c r="K45" s="4">
        <v>0</v>
      </c>
      <c r="L45" s="4">
        <v>0</v>
      </c>
      <c r="M45" s="4"/>
      <c r="N45" s="4">
        <v>7354.95</v>
      </c>
      <c r="O45" s="4">
        <v>0</v>
      </c>
      <c r="P45" s="4">
        <v>708.65</v>
      </c>
      <c r="Q45" s="4">
        <v>25000</v>
      </c>
      <c r="R45" s="4">
        <f t="shared" si="11"/>
        <v>40872.15</v>
      </c>
      <c r="S45">
        <v>43</v>
      </c>
    </row>
    <row r="46" spans="2:19" x14ac:dyDescent="0.25">
      <c r="C46">
        <v>362</v>
      </c>
      <c r="D46" t="s">
        <v>113</v>
      </c>
      <c r="E46" s="4">
        <v>0</v>
      </c>
      <c r="F46" s="4">
        <v>0</v>
      </c>
      <c r="G46" s="4">
        <v>0</v>
      </c>
      <c r="H46" s="4">
        <v>0</v>
      </c>
      <c r="I46" s="4">
        <v>0</v>
      </c>
      <c r="J46" s="4">
        <v>0</v>
      </c>
      <c r="K46" s="4">
        <v>0</v>
      </c>
      <c r="L46" s="4">
        <v>0</v>
      </c>
      <c r="M46" s="4"/>
      <c r="N46" s="4">
        <v>0</v>
      </c>
      <c r="O46" s="4">
        <v>0</v>
      </c>
      <c r="P46" s="4">
        <v>0</v>
      </c>
      <c r="Q46" s="4">
        <v>0</v>
      </c>
      <c r="R46" s="4">
        <f t="shared" si="11"/>
        <v>0</v>
      </c>
      <c r="S46">
        <v>44</v>
      </c>
    </row>
    <row r="47" spans="2:19" x14ac:dyDescent="0.25">
      <c r="C47">
        <v>363</v>
      </c>
      <c r="D47" t="s">
        <v>114</v>
      </c>
      <c r="E47" s="4">
        <v>46971.25</v>
      </c>
      <c r="F47" s="4">
        <v>13274.8</v>
      </c>
      <c r="G47" s="4">
        <v>10944.3</v>
      </c>
      <c r="H47" s="4">
        <v>1619.55</v>
      </c>
      <c r="I47" s="4">
        <v>23693.45</v>
      </c>
      <c r="J47" s="4">
        <v>50852</v>
      </c>
      <c r="K47" s="4">
        <v>12564.85</v>
      </c>
      <c r="L47" s="4">
        <v>47239.3</v>
      </c>
      <c r="M47" s="4"/>
      <c r="N47" s="4">
        <v>0</v>
      </c>
      <c r="O47" s="4">
        <v>10383.75</v>
      </c>
      <c r="P47" s="4">
        <v>43482.75</v>
      </c>
      <c r="Q47" s="4">
        <v>1250</v>
      </c>
      <c r="R47" s="4">
        <f t="shared" si="11"/>
        <v>262276</v>
      </c>
      <c r="S47">
        <v>45</v>
      </c>
    </row>
    <row r="48" spans="2:19" x14ac:dyDescent="0.25">
      <c r="C48">
        <v>364</v>
      </c>
      <c r="D48" t="s">
        <v>115</v>
      </c>
      <c r="E48" s="4">
        <v>0</v>
      </c>
      <c r="F48" s="4">
        <v>0</v>
      </c>
      <c r="G48" s="4">
        <v>0</v>
      </c>
      <c r="H48" s="4">
        <v>0</v>
      </c>
      <c r="I48" s="4">
        <v>0</v>
      </c>
      <c r="J48" s="4">
        <v>0</v>
      </c>
      <c r="K48" s="4">
        <v>0</v>
      </c>
      <c r="L48" s="4">
        <v>0</v>
      </c>
      <c r="M48" s="4"/>
      <c r="N48" s="4">
        <v>0</v>
      </c>
      <c r="O48" s="4">
        <v>0</v>
      </c>
      <c r="P48" s="4">
        <v>0</v>
      </c>
      <c r="Q48" s="4">
        <v>0</v>
      </c>
      <c r="R48" s="4">
        <f t="shared" si="11"/>
        <v>0</v>
      </c>
      <c r="S48">
        <v>46</v>
      </c>
    </row>
    <row r="49" spans="2:19" x14ac:dyDescent="0.25">
      <c r="C49">
        <v>365</v>
      </c>
      <c r="D49" t="s">
        <v>116</v>
      </c>
      <c r="E49" s="4">
        <v>0</v>
      </c>
      <c r="F49" s="4">
        <v>0</v>
      </c>
      <c r="G49" s="4">
        <v>0</v>
      </c>
      <c r="H49" s="4">
        <v>0</v>
      </c>
      <c r="I49" s="4">
        <v>0</v>
      </c>
      <c r="J49" s="4">
        <v>0</v>
      </c>
      <c r="K49" s="4">
        <v>0</v>
      </c>
      <c r="L49" s="4">
        <v>0</v>
      </c>
      <c r="M49" s="4"/>
      <c r="N49" s="4">
        <v>0</v>
      </c>
      <c r="O49" s="4">
        <v>0</v>
      </c>
      <c r="P49" s="4">
        <v>0</v>
      </c>
      <c r="Q49" s="4">
        <v>0</v>
      </c>
      <c r="R49" s="4">
        <f t="shared" si="11"/>
        <v>0</v>
      </c>
      <c r="S49">
        <v>47</v>
      </c>
    </row>
    <row r="50" spans="2:19" x14ac:dyDescent="0.25">
      <c r="C50">
        <v>366</v>
      </c>
      <c r="D50" t="s">
        <v>117</v>
      </c>
      <c r="E50" s="4">
        <v>0</v>
      </c>
      <c r="F50" s="4">
        <v>0</v>
      </c>
      <c r="G50" s="4">
        <v>0</v>
      </c>
      <c r="H50" s="4">
        <v>0</v>
      </c>
      <c r="I50" s="4">
        <v>0</v>
      </c>
      <c r="J50" s="4">
        <v>0</v>
      </c>
      <c r="K50" s="4">
        <v>0</v>
      </c>
      <c r="L50" s="4">
        <v>0</v>
      </c>
      <c r="M50" s="4"/>
      <c r="N50" s="4">
        <v>0</v>
      </c>
      <c r="O50" s="4">
        <v>0</v>
      </c>
      <c r="P50" s="4">
        <v>0</v>
      </c>
      <c r="Q50" s="4">
        <v>0</v>
      </c>
      <c r="R50" s="4">
        <f t="shared" si="11"/>
        <v>0</v>
      </c>
      <c r="S50">
        <v>48</v>
      </c>
    </row>
    <row r="51" spans="2:19" x14ac:dyDescent="0.25">
      <c r="C51">
        <v>369</v>
      </c>
      <c r="D51" t="s">
        <v>118</v>
      </c>
      <c r="E51" s="4">
        <v>0</v>
      </c>
      <c r="F51" s="4">
        <v>0</v>
      </c>
      <c r="G51" s="4">
        <v>0</v>
      </c>
      <c r="H51" s="4">
        <v>0</v>
      </c>
      <c r="I51" s="4">
        <v>0</v>
      </c>
      <c r="J51" s="4">
        <v>0</v>
      </c>
      <c r="K51" s="4">
        <v>0</v>
      </c>
      <c r="L51" s="4">
        <v>0</v>
      </c>
      <c r="M51" s="4"/>
      <c r="N51" s="4">
        <v>0</v>
      </c>
      <c r="O51" s="4">
        <v>0</v>
      </c>
      <c r="P51" s="4">
        <v>0</v>
      </c>
      <c r="Q51" s="4">
        <v>0</v>
      </c>
      <c r="R51" s="4">
        <f t="shared" si="11"/>
        <v>0</v>
      </c>
      <c r="S51">
        <v>49</v>
      </c>
    </row>
    <row r="52" spans="2:19" x14ac:dyDescent="0.25">
      <c r="E52" s="4"/>
      <c r="F52" s="4"/>
      <c r="G52" s="4"/>
      <c r="H52" s="4"/>
      <c r="I52" s="4"/>
      <c r="J52" s="4"/>
      <c r="K52" s="4"/>
      <c r="L52" s="4"/>
      <c r="M52" s="4"/>
      <c r="N52" s="4"/>
      <c r="O52" s="4"/>
      <c r="P52" s="4"/>
      <c r="Q52" s="4"/>
      <c r="R52" s="4"/>
      <c r="S52">
        <v>50</v>
      </c>
    </row>
    <row r="53" spans="2:19" x14ac:dyDescent="0.25">
      <c r="B53" s="76">
        <v>37</v>
      </c>
      <c r="C53" s="76"/>
      <c r="D53" s="76" t="s">
        <v>119</v>
      </c>
      <c r="E53" s="77">
        <f>E54</f>
        <v>71878</v>
      </c>
      <c r="F53" s="77">
        <f t="shared" ref="F53:R53" si="12">F54</f>
        <v>0</v>
      </c>
      <c r="G53" s="77">
        <f t="shared" si="12"/>
        <v>0</v>
      </c>
      <c r="H53" s="77">
        <f t="shared" si="12"/>
        <v>0</v>
      </c>
      <c r="I53" s="77">
        <f t="shared" si="12"/>
        <v>0</v>
      </c>
      <c r="J53" s="77">
        <f t="shared" si="12"/>
        <v>0</v>
      </c>
      <c r="K53" s="77">
        <f t="shared" si="12"/>
        <v>11133</v>
      </c>
      <c r="L53" s="77">
        <f t="shared" si="12"/>
        <v>0</v>
      </c>
      <c r="M53" s="77">
        <f t="shared" si="12"/>
        <v>0</v>
      </c>
      <c r="N53" s="77">
        <f t="shared" si="12"/>
        <v>0</v>
      </c>
      <c r="O53" s="77">
        <f t="shared" si="12"/>
        <v>0</v>
      </c>
      <c r="P53" s="77">
        <f t="shared" si="12"/>
        <v>0</v>
      </c>
      <c r="Q53" s="77">
        <f t="shared" si="12"/>
        <v>148510.39999999999</v>
      </c>
      <c r="R53" s="77">
        <f t="shared" si="12"/>
        <v>231521.4</v>
      </c>
      <c r="S53">
        <v>51</v>
      </c>
    </row>
    <row r="54" spans="2:19" x14ac:dyDescent="0.25">
      <c r="C54">
        <v>370</v>
      </c>
      <c r="D54" t="s">
        <v>120</v>
      </c>
      <c r="E54" s="4">
        <v>71878</v>
      </c>
      <c r="F54" s="4">
        <v>0</v>
      </c>
      <c r="G54" s="4">
        <v>0</v>
      </c>
      <c r="H54" s="4">
        <v>0</v>
      </c>
      <c r="I54" s="4">
        <v>0</v>
      </c>
      <c r="J54" s="4">
        <v>0</v>
      </c>
      <c r="K54" s="4">
        <v>11133</v>
      </c>
      <c r="L54" s="4">
        <v>0</v>
      </c>
      <c r="M54" s="4"/>
      <c r="N54" s="4">
        <v>0</v>
      </c>
      <c r="O54" s="4">
        <v>0</v>
      </c>
      <c r="P54" s="4">
        <v>0</v>
      </c>
      <c r="Q54" s="4">
        <v>148510.39999999999</v>
      </c>
      <c r="R54" s="4">
        <f>SUM(E54:Q54)</f>
        <v>231521.4</v>
      </c>
      <c r="S54">
        <v>52</v>
      </c>
    </row>
    <row r="55" spans="2:19" x14ac:dyDescent="0.25">
      <c r="E55" s="4"/>
      <c r="F55" s="4"/>
      <c r="G55" s="4"/>
      <c r="H55" s="4"/>
      <c r="I55" s="4"/>
      <c r="J55" s="4"/>
      <c r="K55" s="4"/>
      <c r="L55" s="4"/>
      <c r="M55" s="4"/>
      <c r="N55" s="4"/>
      <c r="O55" s="4"/>
      <c r="P55" s="4"/>
      <c r="Q55" s="4"/>
      <c r="R55" s="4"/>
      <c r="S55">
        <v>53</v>
      </c>
    </row>
    <row r="56" spans="2:19" x14ac:dyDescent="0.25">
      <c r="B56" s="76">
        <v>38</v>
      </c>
      <c r="C56" s="76"/>
      <c r="D56" s="76" t="s">
        <v>121</v>
      </c>
      <c r="E56" s="77">
        <f>E57+E58+E59+E60+E61+E62</f>
        <v>0</v>
      </c>
      <c r="F56" s="77">
        <f t="shared" ref="F56:R56" si="13">F57+F58+F59+F60+F61+F62</f>
        <v>2666.18</v>
      </c>
      <c r="G56" s="77">
        <f t="shared" si="13"/>
        <v>0</v>
      </c>
      <c r="H56" s="77">
        <f t="shared" si="13"/>
        <v>0</v>
      </c>
      <c r="I56" s="77">
        <f t="shared" si="13"/>
        <v>0</v>
      </c>
      <c r="J56" s="77">
        <f t="shared" si="13"/>
        <v>350000</v>
      </c>
      <c r="K56" s="77">
        <f t="shared" si="13"/>
        <v>0</v>
      </c>
      <c r="L56" s="77">
        <f t="shared" si="13"/>
        <v>0</v>
      </c>
      <c r="M56" s="77">
        <f t="shared" si="13"/>
        <v>0</v>
      </c>
      <c r="N56" s="77">
        <f t="shared" si="13"/>
        <v>0</v>
      </c>
      <c r="O56" s="77">
        <f t="shared" si="13"/>
        <v>0</v>
      </c>
      <c r="P56" s="77">
        <f t="shared" si="13"/>
        <v>0</v>
      </c>
      <c r="Q56" s="77">
        <f t="shared" si="13"/>
        <v>0</v>
      </c>
      <c r="R56" s="77">
        <f t="shared" si="13"/>
        <v>352666.18</v>
      </c>
      <c r="S56">
        <v>54</v>
      </c>
    </row>
    <row r="57" spans="2:19" x14ac:dyDescent="0.25">
      <c r="C57">
        <v>380</v>
      </c>
      <c r="D57" t="s">
        <v>122</v>
      </c>
      <c r="E57" s="4">
        <v>0</v>
      </c>
      <c r="F57" s="4">
        <v>0</v>
      </c>
      <c r="G57" s="4">
        <v>0</v>
      </c>
      <c r="H57" s="4">
        <v>0</v>
      </c>
      <c r="I57" s="4">
        <v>0</v>
      </c>
      <c r="J57" s="4">
        <v>0</v>
      </c>
      <c r="K57" s="4">
        <v>0</v>
      </c>
      <c r="L57" s="4">
        <v>0</v>
      </c>
      <c r="M57" s="4"/>
      <c r="N57" s="4">
        <v>0</v>
      </c>
      <c r="O57" s="4">
        <v>0</v>
      </c>
      <c r="P57" s="4">
        <v>0</v>
      </c>
      <c r="Q57" s="4">
        <v>0</v>
      </c>
      <c r="R57" s="4">
        <f t="shared" ref="R57:R62" si="14">SUM(E57:Q57)</f>
        <v>0</v>
      </c>
      <c r="S57">
        <v>55</v>
      </c>
    </row>
    <row r="58" spans="2:19" x14ac:dyDescent="0.25">
      <c r="C58">
        <v>381</v>
      </c>
      <c r="D58" t="s">
        <v>123</v>
      </c>
      <c r="E58" s="4">
        <v>0</v>
      </c>
      <c r="F58" s="4">
        <v>0</v>
      </c>
      <c r="G58" s="4">
        <v>0</v>
      </c>
      <c r="H58" s="4">
        <v>0</v>
      </c>
      <c r="I58" s="4">
        <v>0</v>
      </c>
      <c r="J58" s="4">
        <v>0</v>
      </c>
      <c r="K58" s="4">
        <v>0</v>
      </c>
      <c r="L58" s="4">
        <v>0</v>
      </c>
      <c r="M58" s="4"/>
      <c r="N58" s="4">
        <v>0</v>
      </c>
      <c r="O58" s="4">
        <v>0</v>
      </c>
      <c r="P58" s="4">
        <v>0</v>
      </c>
      <c r="Q58" s="4">
        <v>0</v>
      </c>
      <c r="R58" s="4">
        <f t="shared" si="14"/>
        <v>0</v>
      </c>
      <c r="S58">
        <v>56</v>
      </c>
    </row>
    <row r="59" spans="2:19" x14ac:dyDescent="0.25">
      <c r="C59">
        <v>384</v>
      </c>
      <c r="D59" t="s">
        <v>124</v>
      </c>
      <c r="E59" s="4">
        <v>0</v>
      </c>
      <c r="F59" s="4">
        <v>0</v>
      </c>
      <c r="G59" s="4">
        <v>0</v>
      </c>
      <c r="H59" s="4">
        <v>0</v>
      </c>
      <c r="I59" s="4">
        <v>0</v>
      </c>
      <c r="J59" s="4">
        <v>0</v>
      </c>
      <c r="K59" s="4">
        <v>0</v>
      </c>
      <c r="L59" s="4">
        <v>0</v>
      </c>
      <c r="M59" s="4"/>
      <c r="N59" s="4">
        <v>0</v>
      </c>
      <c r="O59" s="4">
        <v>0</v>
      </c>
      <c r="P59" s="4">
        <v>0</v>
      </c>
      <c r="Q59" s="4">
        <v>0</v>
      </c>
      <c r="R59" s="4">
        <f t="shared" si="14"/>
        <v>0</v>
      </c>
      <c r="S59">
        <v>57</v>
      </c>
    </row>
    <row r="60" spans="2:19" x14ac:dyDescent="0.25">
      <c r="C60">
        <v>385</v>
      </c>
      <c r="D60" t="s">
        <v>125</v>
      </c>
      <c r="E60" s="4">
        <v>0</v>
      </c>
      <c r="F60" s="4">
        <v>0</v>
      </c>
      <c r="G60" s="4">
        <v>0</v>
      </c>
      <c r="H60" s="4">
        <v>0</v>
      </c>
      <c r="I60" s="4">
        <v>0</v>
      </c>
      <c r="J60" s="4">
        <v>0</v>
      </c>
      <c r="K60" s="4">
        <v>0</v>
      </c>
      <c r="L60" s="4">
        <v>0</v>
      </c>
      <c r="M60" s="4"/>
      <c r="N60" s="4">
        <v>0</v>
      </c>
      <c r="O60" s="4">
        <v>0</v>
      </c>
      <c r="P60" s="4">
        <v>0</v>
      </c>
      <c r="Q60" s="4">
        <v>0</v>
      </c>
      <c r="R60" s="4">
        <f t="shared" si="14"/>
        <v>0</v>
      </c>
      <c r="S60">
        <v>58</v>
      </c>
    </row>
    <row r="61" spans="2:19" x14ac:dyDescent="0.25">
      <c r="C61">
        <v>386</v>
      </c>
      <c r="D61" t="s">
        <v>126</v>
      </c>
      <c r="E61" s="4">
        <v>0</v>
      </c>
      <c r="F61" s="4">
        <v>0</v>
      </c>
      <c r="G61" s="4">
        <v>0</v>
      </c>
      <c r="H61" s="4">
        <v>0</v>
      </c>
      <c r="I61" s="4">
        <v>0</v>
      </c>
      <c r="J61" s="4">
        <v>0</v>
      </c>
      <c r="K61" s="4">
        <v>0</v>
      </c>
      <c r="L61" s="4">
        <v>0</v>
      </c>
      <c r="M61" s="4"/>
      <c r="N61" s="4">
        <v>0</v>
      </c>
      <c r="O61" s="4">
        <v>0</v>
      </c>
      <c r="P61" s="4">
        <v>0</v>
      </c>
      <c r="Q61" s="4">
        <v>0</v>
      </c>
      <c r="R61" s="4">
        <f t="shared" si="14"/>
        <v>0</v>
      </c>
      <c r="S61">
        <v>59</v>
      </c>
    </row>
    <row r="62" spans="2:19" x14ac:dyDescent="0.25">
      <c r="C62">
        <v>389</v>
      </c>
      <c r="D62" t="s">
        <v>290</v>
      </c>
      <c r="E62" s="4">
        <v>0</v>
      </c>
      <c r="F62" s="4">
        <v>2666.18</v>
      </c>
      <c r="G62" s="4">
        <v>0</v>
      </c>
      <c r="H62" s="4">
        <v>0</v>
      </c>
      <c r="I62" s="4">
        <v>0</v>
      </c>
      <c r="J62" s="4">
        <v>350000</v>
      </c>
      <c r="K62" s="4">
        <v>0</v>
      </c>
      <c r="L62" s="4">
        <v>0</v>
      </c>
      <c r="M62" s="4"/>
      <c r="N62" s="4">
        <v>0</v>
      </c>
      <c r="O62" s="4">
        <v>0</v>
      </c>
      <c r="P62" s="4">
        <v>0</v>
      </c>
      <c r="Q62" s="4">
        <v>0</v>
      </c>
      <c r="R62" s="4">
        <f t="shared" si="14"/>
        <v>352666.18</v>
      </c>
      <c r="S62">
        <v>60</v>
      </c>
    </row>
    <row r="63" spans="2:19" x14ac:dyDescent="0.25">
      <c r="E63" s="4"/>
      <c r="F63" s="4"/>
      <c r="G63" s="4"/>
      <c r="H63" s="4"/>
      <c r="I63" s="4"/>
      <c r="J63" s="4"/>
      <c r="K63" s="4"/>
      <c r="L63" s="4"/>
      <c r="M63" s="4"/>
      <c r="N63" s="4"/>
      <c r="O63" s="4"/>
      <c r="P63" s="4"/>
      <c r="Q63" s="4"/>
      <c r="R63" s="4"/>
      <c r="S63">
        <v>61</v>
      </c>
    </row>
    <row r="64" spans="2:19" x14ac:dyDescent="0.25">
      <c r="B64" s="76">
        <v>39</v>
      </c>
      <c r="C64" s="76"/>
      <c r="D64" s="76" t="s">
        <v>128</v>
      </c>
      <c r="E64" s="77">
        <f>E65+E66+E67+E68+E69+E70+E71+E72</f>
        <v>102400.29999999999</v>
      </c>
      <c r="F64" s="77">
        <f t="shared" ref="F64:R64" si="15">F65+F66+F67+F68+F69+F70+F71+F72</f>
        <v>0</v>
      </c>
      <c r="G64" s="77">
        <f t="shared" si="15"/>
        <v>3000</v>
      </c>
      <c r="H64" s="77">
        <f t="shared" si="15"/>
        <v>0</v>
      </c>
      <c r="I64" s="77">
        <f t="shared" si="15"/>
        <v>0</v>
      </c>
      <c r="J64" s="77">
        <f t="shared" si="15"/>
        <v>0</v>
      </c>
      <c r="K64" s="77">
        <f t="shared" si="15"/>
        <v>0</v>
      </c>
      <c r="L64" s="77">
        <f t="shared" si="15"/>
        <v>1037.8</v>
      </c>
      <c r="M64" s="77">
        <f t="shared" si="15"/>
        <v>0</v>
      </c>
      <c r="N64" s="77">
        <f t="shared" si="15"/>
        <v>0</v>
      </c>
      <c r="O64" s="77">
        <f t="shared" si="15"/>
        <v>0</v>
      </c>
      <c r="P64" s="77">
        <f t="shared" si="15"/>
        <v>26866.2</v>
      </c>
      <c r="Q64" s="77">
        <f t="shared" si="15"/>
        <v>0</v>
      </c>
      <c r="R64" s="77">
        <f t="shared" si="15"/>
        <v>133304.29999999999</v>
      </c>
      <c r="S64">
        <v>62</v>
      </c>
    </row>
    <row r="65" spans="1:19" x14ac:dyDescent="0.25">
      <c r="C65">
        <v>390</v>
      </c>
      <c r="D65" t="s">
        <v>129</v>
      </c>
      <c r="E65" s="4">
        <v>17765.150000000001</v>
      </c>
      <c r="F65" s="4">
        <v>0</v>
      </c>
      <c r="G65" s="4">
        <v>0</v>
      </c>
      <c r="H65" s="4">
        <v>0</v>
      </c>
      <c r="I65" s="4">
        <v>0</v>
      </c>
      <c r="J65" s="4">
        <v>0</v>
      </c>
      <c r="K65" s="4">
        <v>0</v>
      </c>
      <c r="L65" s="4">
        <v>0</v>
      </c>
      <c r="M65" s="4"/>
      <c r="N65" s="4">
        <v>0</v>
      </c>
      <c r="O65" s="4">
        <v>0</v>
      </c>
      <c r="P65" s="4">
        <v>0</v>
      </c>
      <c r="Q65" s="4">
        <v>0</v>
      </c>
      <c r="R65" s="4">
        <f t="shared" ref="R65:R73" si="16">SUM(E65:Q65)</f>
        <v>17765.150000000001</v>
      </c>
      <c r="S65">
        <v>63</v>
      </c>
    </row>
    <row r="66" spans="1:19" x14ac:dyDescent="0.25">
      <c r="C66">
        <v>391</v>
      </c>
      <c r="D66" t="s">
        <v>130</v>
      </c>
      <c r="E66" s="4">
        <v>84547.15</v>
      </c>
      <c r="F66" s="4">
        <v>0</v>
      </c>
      <c r="G66" s="4">
        <v>3000</v>
      </c>
      <c r="H66" s="4">
        <v>0</v>
      </c>
      <c r="I66" s="4">
        <v>0</v>
      </c>
      <c r="J66" s="4">
        <v>0</v>
      </c>
      <c r="K66" s="4">
        <v>0</v>
      </c>
      <c r="L66" s="4">
        <v>1037.8</v>
      </c>
      <c r="M66" s="4"/>
      <c r="N66" s="4">
        <v>0</v>
      </c>
      <c r="O66" s="4">
        <v>0</v>
      </c>
      <c r="P66" s="4">
        <v>26866.2</v>
      </c>
      <c r="Q66" s="4">
        <v>0</v>
      </c>
      <c r="R66" s="4">
        <f t="shared" si="16"/>
        <v>115451.15</v>
      </c>
      <c r="S66">
        <v>64</v>
      </c>
    </row>
    <row r="67" spans="1:19" x14ac:dyDescent="0.25">
      <c r="C67">
        <v>392</v>
      </c>
      <c r="D67" t="s">
        <v>131</v>
      </c>
      <c r="E67" s="4">
        <v>0</v>
      </c>
      <c r="F67" s="4">
        <v>0</v>
      </c>
      <c r="G67" s="4">
        <v>0</v>
      </c>
      <c r="H67" s="4">
        <v>0</v>
      </c>
      <c r="I67" s="4">
        <v>0</v>
      </c>
      <c r="J67" s="4">
        <v>0</v>
      </c>
      <c r="K67" s="4">
        <v>0</v>
      </c>
      <c r="L67" s="4">
        <v>0</v>
      </c>
      <c r="M67" s="4"/>
      <c r="N67" s="4">
        <v>0</v>
      </c>
      <c r="O67" s="4">
        <v>0</v>
      </c>
      <c r="P67" s="4">
        <v>0</v>
      </c>
      <c r="Q67" s="4">
        <v>0</v>
      </c>
      <c r="R67" s="4">
        <f t="shared" si="16"/>
        <v>0</v>
      </c>
      <c r="S67">
        <v>65</v>
      </c>
    </row>
    <row r="68" spans="1:19" x14ac:dyDescent="0.25">
      <c r="C68">
        <v>393</v>
      </c>
      <c r="D68" t="s">
        <v>132</v>
      </c>
      <c r="E68" s="4">
        <v>88</v>
      </c>
      <c r="F68" s="4">
        <v>0</v>
      </c>
      <c r="G68" s="4">
        <v>0</v>
      </c>
      <c r="H68" s="4">
        <v>0</v>
      </c>
      <c r="I68" s="4">
        <v>0</v>
      </c>
      <c r="J68" s="4">
        <v>0</v>
      </c>
      <c r="K68" s="4">
        <v>0</v>
      </c>
      <c r="L68" s="4">
        <v>0</v>
      </c>
      <c r="M68" s="4"/>
      <c r="N68" s="4">
        <v>0</v>
      </c>
      <c r="O68" s="4">
        <v>0</v>
      </c>
      <c r="P68" s="4">
        <v>0</v>
      </c>
      <c r="Q68" s="4">
        <v>0</v>
      </c>
      <c r="R68" s="4">
        <f t="shared" si="16"/>
        <v>88</v>
      </c>
      <c r="S68">
        <v>66</v>
      </c>
    </row>
    <row r="69" spans="1:19" x14ac:dyDescent="0.25">
      <c r="C69">
        <v>394</v>
      </c>
      <c r="D69" t="s">
        <v>133</v>
      </c>
      <c r="E69" s="4">
        <v>0</v>
      </c>
      <c r="F69" s="4">
        <v>0</v>
      </c>
      <c r="G69" s="4">
        <v>0</v>
      </c>
      <c r="H69" s="4">
        <v>0</v>
      </c>
      <c r="I69" s="4">
        <v>0</v>
      </c>
      <c r="J69" s="4">
        <v>0</v>
      </c>
      <c r="K69" s="4">
        <v>0</v>
      </c>
      <c r="L69" s="4">
        <v>0</v>
      </c>
      <c r="M69" s="4"/>
      <c r="N69" s="4">
        <v>0</v>
      </c>
      <c r="O69" s="4">
        <v>0</v>
      </c>
      <c r="P69" s="4">
        <v>0</v>
      </c>
      <c r="Q69" s="4">
        <v>0</v>
      </c>
      <c r="R69" s="4">
        <f t="shared" si="16"/>
        <v>0</v>
      </c>
      <c r="S69">
        <v>67</v>
      </c>
    </row>
    <row r="70" spans="1:19" x14ac:dyDescent="0.25">
      <c r="C70">
        <v>395</v>
      </c>
      <c r="D70" t="s">
        <v>134</v>
      </c>
      <c r="E70" s="4">
        <v>0</v>
      </c>
      <c r="F70" s="4">
        <v>0</v>
      </c>
      <c r="G70" s="4">
        <v>0</v>
      </c>
      <c r="H70" s="4">
        <v>0</v>
      </c>
      <c r="I70" s="4">
        <v>0</v>
      </c>
      <c r="J70" s="4">
        <v>0</v>
      </c>
      <c r="K70" s="4">
        <v>0</v>
      </c>
      <c r="L70" s="4">
        <v>0</v>
      </c>
      <c r="M70" s="4"/>
      <c r="N70" s="4">
        <v>0</v>
      </c>
      <c r="O70" s="4">
        <v>0</v>
      </c>
      <c r="P70" s="4">
        <v>0</v>
      </c>
      <c r="Q70" s="4">
        <v>0</v>
      </c>
      <c r="R70" s="4">
        <f t="shared" si="16"/>
        <v>0</v>
      </c>
      <c r="S70">
        <v>68</v>
      </c>
    </row>
    <row r="71" spans="1:19" x14ac:dyDescent="0.25">
      <c r="C71">
        <v>398</v>
      </c>
      <c r="D71" t="s">
        <v>135</v>
      </c>
      <c r="E71" s="4">
        <v>0</v>
      </c>
      <c r="F71" s="4">
        <v>0</v>
      </c>
      <c r="G71" s="4">
        <v>0</v>
      </c>
      <c r="H71" s="4">
        <v>0</v>
      </c>
      <c r="I71" s="4">
        <v>0</v>
      </c>
      <c r="J71" s="4">
        <v>0</v>
      </c>
      <c r="K71" s="4">
        <v>0</v>
      </c>
      <c r="L71" s="4">
        <v>0</v>
      </c>
      <c r="M71" s="4"/>
      <c r="N71" s="4">
        <v>0</v>
      </c>
      <c r="O71" s="4">
        <v>0</v>
      </c>
      <c r="P71" s="4">
        <v>0</v>
      </c>
      <c r="Q71" s="4">
        <v>0</v>
      </c>
      <c r="R71" s="4">
        <f t="shared" si="16"/>
        <v>0</v>
      </c>
      <c r="S71">
        <v>69</v>
      </c>
    </row>
    <row r="72" spans="1:19" x14ac:dyDescent="0.25">
      <c r="C72">
        <v>399</v>
      </c>
      <c r="D72" t="s">
        <v>136</v>
      </c>
      <c r="E72" s="4">
        <v>0</v>
      </c>
      <c r="F72" s="4">
        <v>0</v>
      </c>
      <c r="G72" s="4">
        <v>0</v>
      </c>
      <c r="H72" s="4">
        <v>0</v>
      </c>
      <c r="I72" s="4">
        <v>0</v>
      </c>
      <c r="J72" s="4">
        <v>0</v>
      </c>
      <c r="K72" s="4">
        <v>0</v>
      </c>
      <c r="L72" s="4">
        <v>0</v>
      </c>
      <c r="M72" s="4"/>
      <c r="N72" s="4">
        <v>0</v>
      </c>
      <c r="O72" s="4">
        <v>0</v>
      </c>
      <c r="P72" s="4">
        <v>0</v>
      </c>
      <c r="Q72" s="4">
        <v>0</v>
      </c>
      <c r="R72" s="4">
        <f t="shared" si="16"/>
        <v>0</v>
      </c>
      <c r="S72">
        <v>70</v>
      </c>
    </row>
    <row r="73" spans="1:19" x14ac:dyDescent="0.25">
      <c r="E73" s="4"/>
      <c r="F73" s="4"/>
      <c r="G73" s="4"/>
      <c r="H73" s="4"/>
      <c r="I73" s="4"/>
      <c r="J73" s="4"/>
      <c r="K73" s="4"/>
      <c r="L73" s="4"/>
      <c r="M73" s="4"/>
      <c r="N73" s="4"/>
      <c r="O73" s="4"/>
      <c r="P73" s="4"/>
      <c r="Q73" s="4"/>
      <c r="R73" s="4">
        <f t="shared" si="16"/>
        <v>0</v>
      </c>
      <c r="S73">
        <v>71</v>
      </c>
    </row>
    <row r="74" spans="1:19" x14ac:dyDescent="0.25">
      <c r="E74" s="4"/>
      <c r="F74" s="4"/>
      <c r="G74" s="4"/>
      <c r="H74" s="4"/>
      <c r="I74" s="4"/>
      <c r="J74" s="4"/>
      <c r="K74" s="4"/>
      <c r="L74" s="4"/>
      <c r="M74" s="4"/>
      <c r="N74" s="4"/>
      <c r="O74" s="4"/>
      <c r="P74" s="4"/>
      <c r="Q74" s="4"/>
      <c r="R74" s="4"/>
      <c r="S74">
        <v>72</v>
      </c>
    </row>
    <row r="75" spans="1:19" ht="21" x14ac:dyDescent="0.35">
      <c r="A75" s="80">
        <v>4</v>
      </c>
      <c r="B75" s="80"/>
      <c r="C75" s="80"/>
      <c r="D75" s="80" t="s">
        <v>137</v>
      </c>
      <c r="E75" s="79">
        <f>E76+E82+E88+E99+E105+E117+E121+E128+E131+E140</f>
        <v>980426.82</v>
      </c>
      <c r="F75" s="79">
        <f t="shared" ref="F75:R75" si="17">F76+F82+F88+F99+F105+F117+F121+F128+F131+F140</f>
        <v>95315.62999999999</v>
      </c>
      <c r="G75" s="79">
        <f t="shared" si="17"/>
        <v>108041.48000000001</v>
      </c>
      <c r="H75" s="79">
        <f t="shared" si="17"/>
        <v>53874.81</v>
      </c>
      <c r="I75" s="79">
        <f t="shared" si="17"/>
        <v>241503.16999999998</v>
      </c>
      <c r="J75" s="79">
        <f t="shared" si="17"/>
        <v>1672687.31</v>
      </c>
      <c r="K75" s="79">
        <f t="shared" si="17"/>
        <v>116170.2</v>
      </c>
      <c r="L75" s="79">
        <f t="shared" si="17"/>
        <v>171439.18</v>
      </c>
      <c r="M75" s="79">
        <f t="shared" si="17"/>
        <v>0</v>
      </c>
      <c r="N75" s="79">
        <f t="shared" si="17"/>
        <v>29286.699999999997</v>
      </c>
      <c r="O75" s="79">
        <f t="shared" si="17"/>
        <v>159401</v>
      </c>
      <c r="P75" s="79">
        <f t="shared" si="17"/>
        <v>205852.6</v>
      </c>
      <c r="Q75" s="79">
        <f t="shared" si="17"/>
        <v>402356</v>
      </c>
      <c r="R75" s="79">
        <f t="shared" si="17"/>
        <v>4236354.9000000004</v>
      </c>
      <c r="S75">
        <v>73</v>
      </c>
    </row>
    <row r="76" spans="1:19" x14ac:dyDescent="0.25">
      <c r="A76" s="7"/>
      <c r="B76" s="78">
        <v>40</v>
      </c>
      <c r="C76" s="78"/>
      <c r="D76" s="78" t="s">
        <v>79</v>
      </c>
      <c r="E76" s="73">
        <f>E77+E78+E79+E80</f>
        <v>2700</v>
      </c>
      <c r="F76" s="73">
        <f t="shared" ref="F76:R76" si="18">F77+F78+F79+F80</f>
        <v>0</v>
      </c>
      <c r="G76" s="73">
        <f t="shared" si="18"/>
        <v>0</v>
      </c>
      <c r="H76" s="73">
        <f t="shared" si="18"/>
        <v>0</v>
      </c>
      <c r="I76" s="73">
        <f t="shared" si="18"/>
        <v>0</v>
      </c>
      <c r="J76" s="73">
        <f t="shared" si="18"/>
        <v>0</v>
      </c>
      <c r="K76" s="73">
        <f t="shared" si="18"/>
        <v>0</v>
      </c>
      <c r="L76" s="73">
        <f t="shared" si="18"/>
        <v>0</v>
      </c>
      <c r="M76" s="73">
        <f t="shared" si="18"/>
        <v>0</v>
      </c>
      <c r="N76" s="73">
        <f t="shared" si="18"/>
        <v>0</v>
      </c>
      <c r="O76" s="73">
        <f t="shared" si="18"/>
        <v>0</v>
      </c>
      <c r="P76" s="73">
        <f t="shared" si="18"/>
        <v>0</v>
      </c>
      <c r="Q76" s="73">
        <f t="shared" si="18"/>
        <v>0</v>
      </c>
      <c r="R76" s="73">
        <f t="shared" si="18"/>
        <v>2700</v>
      </c>
      <c r="S76">
        <v>74</v>
      </c>
    </row>
    <row r="77" spans="1:19" x14ac:dyDescent="0.25">
      <c r="C77">
        <v>400</v>
      </c>
      <c r="D77" t="s">
        <v>138</v>
      </c>
      <c r="E77" s="4">
        <v>0</v>
      </c>
      <c r="F77" s="4">
        <v>0</v>
      </c>
      <c r="G77" s="4">
        <v>0</v>
      </c>
      <c r="H77" s="4">
        <v>0</v>
      </c>
      <c r="I77" s="4">
        <v>0</v>
      </c>
      <c r="J77" s="4">
        <v>0</v>
      </c>
      <c r="K77" s="4">
        <v>0</v>
      </c>
      <c r="L77" s="4">
        <v>0</v>
      </c>
      <c r="M77" s="4"/>
      <c r="N77" s="4">
        <v>0</v>
      </c>
      <c r="O77" s="4">
        <v>0</v>
      </c>
      <c r="P77" s="4">
        <v>0</v>
      </c>
      <c r="Q77" s="4">
        <v>0</v>
      </c>
      <c r="R77" s="4">
        <f>SUM(E77:Q77)</f>
        <v>0</v>
      </c>
      <c r="S77">
        <v>75</v>
      </c>
    </row>
    <row r="78" spans="1:19" x14ac:dyDescent="0.25">
      <c r="C78">
        <v>401</v>
      </c>
      <c r="D78" t="s">
        <v>139</v>
      </c>
      <c r="E78" s="4">
        <v>0</v>
      </c>
      <c r="F78" s="4">
        <v>0</v>
      </c>
      <c r="G78" s="4">
        <v>0</v>
      </c>
      <c r="H78" s="4">
        <v>0</v>
      </c>
      <c r="I78" s="4">
        <v>0</v>
      </c>
      <c r="J78" s="4">
        <v>0</v>
      </c>
      <c r="K78" s="4">
        <v>0</v>
      </c>
      <c r="L78" s="4">
        <v>0</v>
      </c>
      <c r="M78" s="4"/>
      <c r="N78" s="4">
        <v>0</v>
      </c>
      <c r="O78" s="4">
        <v>0</v>
      </c>
      <c r="P78" s="4">
        <v>0</v>
      </c>
      <c r="Q78" s="4">
        <v>0</v>
      </c>
      <c r="R78" s="4">
        <f>SUM(E78:Q78)</f>
        <v>0</v>
      </c>
      <c r="S78">
        <v>76</v>
      </c>
    </row>
    <row r="79" spans="1:19" x14ac:dyDescent="0.25">
      <c r="C79">
        <v>402</v>
      </c>
      <c r="D79" t="s">
        <v>140</v>
      </c>
      <c r="E79" s="4">
        <v>2700</v>
      </c>
      <c r="F79" s="4">
        <v>0</v>
      </c>
      <c r="G79" s="4">
        <v>0</v>
      </c>
      <c r="H79" s="4">
        <v>0</v>
      </c>
      <c r="I79" s="4">
        <v>0</v>
      </c>
      <c r="J79" s="4">
        <v>0</v>
      </c>
      <c r="K79" s="4">
        <v>0</v>
      </c>
      <c r="L79" s="4">
        <v>0</v>
      </c>
      <c r="M79" s="4"/>
      <c r="N79" s="4">
        <v>0</v>
      </c>
      <c r="O79" s="4">
        <v>0</v>
      </c>
      <c r="P79" s="4">
        <v>0</v>
      </c>
      <c r="Q79" s="4">
        <v>0</v>
      </c>
      <c r="R79" s="4">
        <f>SUM(E79:Q79)</f>
        <v>2700</v>
      </c>
      <c r="S79">
        <v>77</v>
      </c>
    </row>
    <row r="80" spans="1:19" x14ac:dyDescent="0.25">
      <c r="C80">
        <v>403</v>
      </c>
      <c r="D80" t="s">
        <v>141</v>
      </c>
      <c r="E80" s="4">
        <v>0</v>
      </c>
      <c r="F80" s="4">
        <v>0</v>
      </c>
      <c r="G80" s="4">
        <v>0</v>
      </c>
      <c r="H80" s="4">
        <v>0</v>
      </c>
      <c r="I80" s="4">
        <v>0</v>
      </c>
      <c r="J80" s="4">
        <v>0</v>
      </c>
      <c r="K80" s="4">
        <v>0</v>
      </c>
      <c r="L80" s="4">
        <v>0</v>
      </c>
      <c r="M80" s="4"/>
      <c r="N80" s="4">
        <v>0</v>
      </c>
      <c r="O80" s="4">
        <v>0</v>
      </c>
      <c r="P80" s="4">
        <v>0</v>
      </c>
      <c r="Q80" s="4">
        <v>0</v>
      </c>
      <c r="R80" s="4">
        <f>SUM(E80:Q80)</f>
        <v>0</v>
      </c>
      <c r="S80">
        <v>78</v>
      </c>
    </row>
    <row r="81" spans="2:19" x14ac:dyDescent="0.25">
      <c r="E81" s="4"/>
      <c r="F81" s="4"/>
      <c r="G81" s="4"/>
      <c r="H81" s="4"/>
      <c r="I81" s="4"/>
      <c r="J81" s="4"/>
      <c r="K81" s="4"/>
      <c r="L81" s="4"/>
      <c r="M81" s="4"/>
      <c r="N81" s="4"/>
      <c r="O81" s="4"/>
      <c r="P81" s="4"/>
      <c r="Q81" s="4"/>
      <c r="R81" s="4"/>
      <c r="S81">
        <v>79</v>
      </c>
    </row>
    <row r="82" spans="2:19" x14ac:dyDescent="0.25">
      <c r="B82" s="78">
        <v>41</v>
      </c>
      <c r="C82" s="78"/>
      <c r="D82" s="78" t="s">
        <v>142</v>
      </c>
      <c r="E82" s="73">
        <f>E83+E84+E85+E86</f>
        <v>6077</v>
      </c>
      <c r="F82" s="73">
        <f t="shared" ref="F82:R82" si="19">F83+F84+F85+F86</f>
        <v>0</v>
      </c>
      <c r="G82" s="73">
        <f t="shared" si="19"/>
        <v>0</v>
      </c>
      <c r="H82" s="73">
        <f t="shared" si="19"/>
        <v>0</v>
      </c>
      <c r="I82" s="73">
        <f t="shared" si="19"/>
        <v>0</v>
      </c>
      <c r="J82" s="73">
        <f t="shared" si="19"/>
        <v>0</v>
      </c>
      <c r="K82" s="73">
        <f t="shared" si="19"/>
        <v>0</v>
      </c>
      <c r="L82" s="73">
        <f t="shared" si="19"/>
        <v>0</v>
      </c>
      <c r="M82" s="73">
        <f t="shared" si="19"/>
        <v>0</v>
      </c>
      <c r="N82" s="73">
        <f t="shared" si="19"/>
        <v>0</v>
      </c>
      <c r="O82" s="73">
        <f t="shared" si="19"/>
        <v>0</v>
      </c>
      <c r="P82" s="73">
        <f t="shared" si="19"/>
        <v>0</v>
      </c>
      <c r="Q82" s="73">
        <f t="shared" si="19"/>
        <v>0</v>
      </c>
      <c r="R82" s="73">
        <f t="shared" si="19"/>
        <v>6077</v>
      </c>
      <c r="S82">
        <v>80</v>
      </c>
    </row>
    <row r="83" spans="2:19" x14ac:dyDescent="0.25">
      <c r="C83">
        <v>410</v>
      </c>
      <c r="D83" t="s">
        <v>143</v>
      </c>
      <c r="E83" s="4">
        <v>0</v>
      </c>
      <c r="F83" s="4">
        <v>0</v>
      </c>
      <c r="G83" s="4">
        <v>0</v>
      </c>
      <c r="H83" s="4">
        <v>0</v>
      </c>
      <c r="I83" s="4">
        <v>0</v>
      </c>
      <c r="J83" s="4">
        <v>0</v>
      </c>
      <c r="K83" s="4">
        <v>0</v>
      </c>
      <c r="L83" s="4">
        <v>0</v>
      </c>
      <c r="M83" s="4"/>
      <c r="N83" s="4">
        <v>0</v>
      </c>
      <c r="O83" s="4">
        <v>0</v>
      </c>
      <c r="P83" s="4">
        <v>0</v>
      </c>
      <c r="Q83" s="4">
        <v>0</v>
      </c>
      <c r="R83" s="4">
        <f>SUM(E83:Q83)</f>
        <v>0</v>
      </c>
      <c r="S83">
        <v>81</v>
      </c>
    </row>
    <row r="84" spans="2:19" x14ac:dyDescent="0.25">
      <c r="C84">
        <v>411</v>
      </c>
      <c r="D84" t="s">
        <v>144</v>
      </c>
      <c r="E84" s="4">
        <v>0</v>
      </c>
      <c r="F84" s="4">
        <v>0</v>
      </c>
      <c r="G84" s="4">
        <v>0</v>
      </c>
      <c r="H84" s="4">
        <v>0</v>
      </c>
      <c r="I84" s="4">
        <v>0</v>
      </c>
      <c r="J84" s="4">
        <v>0</v>
      </c>
      <c r="K84" s="4">
        <v>0</v>
      </c>
      <c r="L84" s="4">
        <v>0</v>
      </c>
      <c r="M84" s="4"/>
      <c r="N84" s="4">
        <v>0</v>
      </c>
      <c r="O84" s="4">
        <v>0</v>
      </c>
      <c r="P84" s="4">
        <v>0</v>
      </c>
      <c r="Q84" s="4">
        <v>0</v>
      </c>
      <c r="R84" s="4">
        <f>SUM(E84:Q84)</f>
        <v>0</v>
      </c>
      <c r="S84">
        <v>82</v>
      </c>
    </row>
    <row r="85" spans="2:19" x14ac:dyDescent="0.25">
      <c r="C85">
        <v>412</v>
      </c>
      <c r="D85" t="s">
        <v>145</v>
      </c>
      <c r="E85" s="4">
        <v>6077</v>
      </c>
      <c r="F85" s="4">
        <v>0</v>
      </c>
      <c r="G85" s="4">
        <v>0</v>
      </c>
      <c r="H85" s="4">
        <v>0</v>
      </c>
      <c r="I85" s="4">
        <v>0</v>
      </c>
      <c r="J85" s="4">
        <v>0</v>
      </c>
      <c r="K85" s="4">
        <v>0</v>
      </c>
      <c r="L85" s="4">
        <v>0</v>
      </c>
      <c r="M85" s="4"/>
      <c r="N85" s="4">
        <v>0</v>
      </c>
      <c r="O85" s="4">
        <v>0</v>
      </c>
      <c r="P85" s="4">
        <v>0</v>
      </c>
      <c r="Q85" s="4">
        <v>0</v>
      </c>
      <c r="R85" s="4">
        <f>SUM(E85:Q85)</f>
        <v>6077</v>
      </c>
      <c r="S85">
        <v>83</v>
      </c>
    </row>
    <row r="86" spans="2:19" x14ac:dyDescent="0.25">
      <c r="C86">
        <v>413</v>
      </c>
      <c r="D86" t="s">
        <v>146</v>
      </c>
      <c r="E86" s="4">
        <v>0</v>
      </c>
      <c r="F86" s="4">
        <v>0</v>
      </c>
      <c r="G86" s="4">
        <v>0</v>
      </c>
      <c r="H86" s="4">
        <v>0</v>
      </c>
      <c r="I86" s="4">
        <v>0</v>
      </c>
      <c r="J86" s="4">
        <v>0</v>
      </c>
      <c r="K86" s="4">
        <v>0</v>
      </c>
      <c r="L86" s="4">
        <v>0</v>
      </c>
      <c r="M86" s="4"/>
      <c r="N86" s="4">
        <v>0</v>
      </c>
      <c r="O86" s="4">
        <v>0</v>
      </c>
      <c r="P86" s="4">
        <v>0</v>
      </c>
      <c r="Q86" s="4">
        <v>0</v>
      </c>
      <c r="R86" s="4">
        <f>SUM(E86:Q86)</f>
        <v>0</v>
      </c>
      <c r="S86">
        <v>84</v>
      </c>
    </row>
    <row r="87" spans="2:19" x14ac:dyDescent="0.25">
      <c r="E87" s="4"/>
      <c r="F87" s="4"/>
      <c r="G87" s="4"/>
      <c r="H87" s="4"/>
      <c r="I87" s="4"/>
      <c r="J87" s="4"/>
      <c r="K87" s="4"/>
      <c r="L87" s="4"/>
      <c r="M87" s="4"/>
      <c r="N87" s="4"/>
      <c r="O87" s="4"/>
      <c r="P87" s="4"/>
      <c r="Q87" s="4"/>
      <c r="R87" s="4"/>
      <c r="S87">
        <v>85</v>
      </c>
    </row>
    <row r="88" spans="2:19" x14ac:dyDescent="0.25">
      <c r="B88" s="78">
        <v>42</v>
      </c>
      <c r="C88" s="78"/>
      <c r="D88" s="78" t="s">
        <v>147</v>
      </c>
      <c r="E88" s="73">
        <f>E89+E90+E91+E92+E93+E94+E95+E96+E97</f>
        <v>288363.19</v>
      </c>
      <c r="F88" s="73">
        <f t="shared" ref="F88:R88" si="20">F89+F90+F91+F92+F93+F94+F95+F96+F97</f>
        <v>38086.75</v>
      </c>
      <c r="G88" s="73">
        <f t="shared" si="20"/>
        <v>49965.1</v>
      </c>
      <c r="H88" s="73">
        <f t="shared" si="20"/>
        <v>11970.6</v>
      </c>
      <c r="I88" s="73">
        <f t="shared" si="20"/>
        <v>127002.8</v>
      </c>
      <c r="J88" s="73">
        <f t="shared" si="20"/>
        <v>320554.55000000005</v>
      </c>
      <c r="K88" s="73">
        <f t="shared" si="20"/>
        <v>49410.5</v>
      </c>
      <c r="L88" s="73">
        <f t="shared" si="20"/>
        <v>108611.68000000001</v>
      </c>
      <c r="M88" s="73">
        <f t="shared" si="20"/>
        <v>0</v>
      </c>
      <c r="N88" s="73">
        <f t="shared" si="20"/>
        <v>7960.05</v>
      </c>
      <c r="O88" s="73">
        <f t="shared" si="20"/>
        <v>24710.75</v>
      </c>
      <c r="P88" s="73">
        <f t="shared" si="20"/>
        <v>105104.95000000001</v>
      </c>
      <c r="Q88" s="73">
        <f t="shared" si="20"/>
        <v>136140.04999999999</v>
      </c>
      <c r="R88" s="73">
        <f t="shared" si="20"/>
        <v>1267880.97</v>
      </c>
      <c r="S88">
        <v>86</v>
      </c>
    </row>
    <row r="89" spans="2:19" x14ac:dyDescent="0.25">
      <c r="C89">
        <v>420</v>
      </c>
      <c r="D89" t="s">
        <v>148</v>
      </c>
      <c r="E89" s="4">
        <v>0</v>
      </c>
      <c r="F89" s="4">
        <v>0</v>
      </c>
      <c r="G89" s="4">
        <v>0</v>
      </c>
      <c r="H89" s="4">
        <v>0</v>
      </c>
      <c r="I89" s="4">
        <v>0</v>
      </c>
      <c r="J89" s="4">
        <v>0</v>
      </c>
      <c r="K89" s="4">
        <v>0</v>
      </c>
      <c r="L89" s="4">
        <v>0</v>
      </c>
      <c r="M89" s="4"/>
      <c r="N89" s="4">
        <v>0</v>
      </c>
      <c r="O89" s="4">
        <v>0</v>
      </c>
      <c r="P89" s="4">
        <v>0</v>
      </c>
      <c r="Q89" s="4">
        <v>0</v>
      </c>
      <c r="R89" s="4">
        <f t="shared" ref="R89:R97" si="21">SUM(E89:Q89)</f>
        <v>0</v>
      </c>
      <c r="S89">
        <v>87</v>
      </c>
    </row>
    <row r="90" spans="2:19" x14ac:dyDescent="0.25">
      <c r="C90">
        <v>421</v>
      </c>
      <c r="D90" t="s">
        <v>149</v>
      </c>
      <c r="E90" s="4">
        <v>0</v>
      </c>
      <c r="F90" s="4">
        <v>0</v>
      </c>
      <c r="G90" s="4">
        <v>0</v>
      </c>
      <c r="H90" s="4">
        <v>0</v>
      </c>
      <c r="I90" s="4">
        <v>0</v>
      </c>
      <c r="J90" s="4">
        <v>1200</v>
      </c>
      <c r="K90" s="4">
        <v>0</v>
      </c>
      <c r="L90" s="4">
        <v>600</v>
      </c>
      <c r="M90" s="4"/>
      <c r="N90" s="4">
        <v>0</v>
      </c>
      <c r="O90" s="4">
        <v>0</v>
      </c>
      <c r="P90" s="4">
        <v>0</v>
      </c>
      <c r="Q90" s="4">
        <v>500</v>
      </c>
      <c r="R90" s="4">
        <f t="shared" si="21"/>
        <v>2300</v>
      </c>
      <c r="S90">
        <v>88</v>
      </c>
    </row>
    <row r="91" spans="2:19" x14ac:dyDescent="0.25">
      <c r="C91">
        <v>422</v>
      </c>
      <c r="D91" t="s">
        <v>150</v>
      </c>
      <c r="E91" s="4">
        <v>0</v>
      </c>
      <c r="F91" s="4">
        <v>0</v>
      </c>
      <c r="G91" s="4">
        <v>0</v>
      </c>
      <c r="H91" s="4">
        <v>0</v>
      </c>
      <c r="I91" s="4">
        <v>0</v>
      </c>
      <c r="J91" s="4">
        <v>0</v>
      </c>
      <c r="K91" s="4">
        <v>0</v>
      </c>
      <c r="L91" s="4">
        <v>0</v>
      </c>
      <c r="M91" s="4"/>
      <c r="N91" s="4">
        <v>0</v>
      </c>
      <c r="O91" s="4">
        <v>0</v>
      </c>
      <c r="P91" s="4">
        <v>0</v>
      </c>
      <c r="Q91" s="4">
        <v>0</v>
      </c>
      <c r="R91" s="4">
        <f t="shared" si="21"/>
        <v>0</v>
      </c>
      <c r="S91">
        <v>89</v>
      </c>
    </row>
    <row r="92" spans="2:19" x14ac:dyDescent="0.25">
      <c r="C92">
        <v>423</v>
      </c>
      <c r="D92" t="s">
        <v>151</v>
      </c>
      <c r="E92" s="4">
        <v>0</v>
      </c>
      <c r="F92" s="4">
        <v>0</v>
      </c>
      <c r="G92" s="4">
        <v>0</v>
      </c>
      <c r="H92" s="4">
        <v>0</v>
      </c>
      <c r="I92" s="4">
        <v>0</v>
      </c>
      <c r="J92" s="4">
        <v>0</v>
      </c>
      <c r="K92" s="4">
        <v>0</v>
      </c>
      <c r="L92" s="4">
        <v>0</v>
      </c>
      <c r="M92" s="4"/>
      <c r="N92" s="4">
        <v>0</v>
      </c>
      <c r="O92" s="4">
        <v>0</v>
      </c>
      <c r="P92" s="4">
        <v>0</v>
      </c>
      <c r="Q92" s="4">
        <v>0</v>
      </c>
      <c r="R92" s="4">
        <f t="shared" si="21"/>
        <v>0</v>
      </c>
      <c r="S92">
        <v>90</v>
      </c>
    </row>
    <row r="93" spans="2:19" x14ac:dyDescent="0.25">
      <c r="C93">
        <v>424</v>
      </c>
      <c r="D93" t="s">
        <v>152</v>
      </c>
      <c r="E93" s="4">
        <v>30390</v>
      </c>
      <c r="F93" s="4">
        <v>0</v>
      </c>
      <c r="G93" s="4">
        <v>0</v>
      </c>
      <c r="H93" s="4">
        <v>0</v>
      </c>
      <c r="I93" s="4">
        <v>0</v>
      </c>
      <c r="J93" s="4">
        <v>41315.75</v>
      </c>
      <c r="K93" s="4">
        <v>14700</v>
      </c>
      <c r="L93" s="4">
        <v>0</v>
      </c>
      <c r="M93" s="4"/>
      <c r="N93" s="4">
        <v>5895.2</v>
      </c>
      <c r="O93" s="4">
        <v>0</v>
      </c>
      <c r="P93" s="4">
        <v>23535</v>
      </c>
      <c r="Q93" s="4">
        <v>52071.6</v>
      </c>
      <c r="R93" s="4">
        <f t="shared" si="21"/>
        <v>167907.55</v>
      </c>
      <c r="S93">
        <v>91</v>
      </c>
    </row>
    <row r="94" spans="2:19" x14ac:dyDescent="0.25">
      <c r="C94">
        <v>425</v>
      </c>
      <c r="D94" t="s">
        <v>153</v>
      </c>
      <c r="E94" s="4">
        <v>257523.19</v>
      </c>
      <c r="F94" s="4">
        <v>37195.199999999997</v>
      </c>
      <c r="G94" s="4">
        <v>46965.1</v>
      </c>
      <c r="H94" s="4">
        <v>10427</v>
      </c>
      <c r="I94" s="4">
        <v>116613.7</v>
      </c>
      <c r="J94" s="4">
        <v>219727.9</v>
      </c>
      <c r="K94" s="4">
        <v>33392.949999999997</v>
      </c>
      <c r="L94" s="4">
        <v>97449.85</v>
      </c>
      <c r="M94" s="4"/>
      <c r="N94" s="4">
        <v>327.8</v>
      </c>
      <c r="O94" s="4">
        <v>24710.75</v>
      </c>
      <c r="P94" s="4">
        <v>72200.600000000006</v>
      </c>
      <c r="Q94" s="4">
        <v>80770.899999999994</v>
      </c>
      <c r="R94" s="4">
        <f t="shared" si="21"/>
        <v>997304.94</v>
      </c>
      <c r="S94">
        <v>92</v>
      </c>
    </row>
    <row r="95" spans="2:19" x14ac:dyDescent="0.25">
      <c r="C95">
        <v>426</v>
      </c>
      <c r="D95" t="s">
        <v>154</v>
      </c>
      <c r="E95" s="4">
        <v>450</v>
      </c>
      <c r="F95" s="4">
        <v>891.55</v>
      </c>
      <c r="G95" s="4">
        <v>3000</v>
      </c>
      <c r="H95" s="4">
        <v>1543.6</v>
      </c>
      <c r="I95" s="4">
        <v>10389.1</v>
      </c>
      <c r="J95" s="4">
        <v>58310.9</v>
      </c>
      <c r="K95" s="4">
        <v>1317.55</v>
      </c>
      <c r="L95" s="4">
        <v>10561.83</v>
      </c>
      <c r="M95" s="4"/>
      <c r="N95" s="4">
        <v>1737.05</v>
      </c>
      <c r="O95" s="4">
        <v>0</v>
      </c>
      <c r="P95" s="4">
        <v>9369.35</v>
      </c>
      <c r="Q95" s="4">
        <v>2797.55</v>
      </c>
      <c r="R95" s="4">
        <f t="shared" si="21"/>
        <v>100368.48000000001</v>
      </c>
      <c r="S95">
        <v>93</v>
      </c>
    </row>
    <row r="96" spans="2:19" x14ac:dyDescent="0.25">
      <c r="C96">
        <v>427</v>
      </c>
      <c r="D96" t="s">
        <v>155</v>
      </c>
      <c r="E96" s="4">
        <v>0</v>
      </c>
      <c r="F96" s="4">
        <v>0</v>
      </c>
      <c r="G96" s="4">
        <v>0</v>
      </c>
      <c r="H96" s="4">
        <v>0</v>
      </c>
      <c r="I96" s="4">
        <v>0</v>
      </c>
      <c r="J96" s="4">
        <v>0</v>
      </c>
      <c r="K96" s="4">
        <v>0</v>
      </c>
      <c r="L96" s="4">
        <v>0</v>
      </c>
      <c r="M96" s="4"/>
      <c r="N96" s="4">
        <v>0</v>
      </c>
      <c r="O96" s="4">
        <v>0</v>
      </c>
      <c r="P96" s="4">
        <v>0</v>
      </c>
      <c r="Q96" s="4">
        <v>0</v>
      </c>
      <c r="R96" s="4">
        <f t="shared" si="21"/>
        <v>0</v>
      </c>
      <c r="S96">
        <v>94</v>
      </c>
    </row>
    <row r="97" spans="2:19" x14ac:dyDescent="0.25">
      <c r="C97">
        <v>429</v>
      </c>
      <c r="D97" t="s">
        <v>156</v>
      </c>
      <c r="E97" s="4">
        <v>0</v>
      </c>
      <c r="F97" s="4">
        <v>0</v>
      </c>
      <c r="G97" s="4">
        <v>0</v>
      </c>
      <c r="H97" s="4">
        <v>0</v>
      </c>
      <c r="I97" s="4">
        <v>0</v>
      </c>
      <c r="J97" s="4">
        <v>0</v>
      </c>
      <c r="K97" s="4">
        <v>0</v>
      </c>
      <c r="L97" s="4">
        <v>0</v>
      </c>
      <c r="M97" s="4"/>
      <c r="N97" s="4">
        <v>0</v>
      </c>
      <c r="O97" s="4">
        <v>0</v>
      </c>
      <c r="P97" s="4">
        <v>0</v>
      </c>
      <c r="Q97" s="4">
        <v>0</v>
      </c>
      <c r="R97" s="4">
        <f t="shared" si="21"/>
        <v>0</v>
      </c>
      <c r="S97">
        <v>95</v>
      </c>
    </row>
    <row r="98" spans="2:19" x14ac:dyDescent="0.25">
      <c r="E98" s="4"/>
      <c r="F98" s="4"/>
      <c r="G98" s="4"/>
      <c r="H98" s="4"/>
      <c r="I98" s="4"/>
      <c r="J98" s="4"/>
      <c r="K98" s="4"/>
      <c r="L98" s="4"/>
      <c r="M98" s="4"/>
      <c r="N98" s="4"/>
      <c r="O98" s="4"/>
      <c r="P98" s="4"/>
      <c r="Q98" s="4"/>
      <c r="R98" s="4"/>
      <c r="S98">
        <v>96</v>
      </c>
    </row>
    <row r="99" spans="2:19" x14ac:dyDescent="0.25">
      <c r="B99" s="78">
        <v>43</v>
      </c>
      <c r="C99" s="78"/>
      <c r="D99" s="78" t="s">
        <v>157</v>
      </c>
      <c r="E99" s="73">
        <f>E100+E101+E102+E103</f>
        <v>7563</v>
      </c>
      <c r="F99" s="73">
        <f t="shared" ref="F99:R99" si="22">F100+F101+F102+F103</f>
        <v>0</v>
      </c>
      <c r="G99" s="73">
        <f t="shared" si="22"/>
        <v>0</v>
      </c>
      <c r="H99" s="73">
        <f t="shared" si="22"/>
        <v>0</v>
      </c>
      <c r="I99" s="73">
        <f t="shared" si="22"/>
        <v>0</v>
      </c>
      <c r="J99" s="73">
        <f t="shared" si="22"/>
        <v>150</v>
      </c>
      <c r="K99" s="73">
        <f t="shared" si="22"/>
        <v>0</v>
      </c>
      <c r="L99" s="73">
        <f t="shared" si="22"/>
        <v>0</v>
      </c>
      <c r="M99" s="73">
        <f t="shared" si="22"/>
        <v>0</v>
      </c>
      <c r="N99" s="73">
        <f t="shared" si="22"/>
        <v>0</v>
      </c>
      <c r="O99" s="73">
        <f t="shared" si="22"/>
        <v>0</v>
      </c>
      <c r="P99" s="73">
        <f t="shared" si="22"/>
        <v>0</v>
      </c>
      <c r="Q99" s="73">
        <f t="shared" si="22"/>
        <v>0</v>
      </c>
      <c r="R99" s="73">
        <f t="shared" si="22"/>
        <v>7713</v>
      </c>
      <c r="S99">
        <v>97</v>
      </c>
    </row>
    <row r="100" spans="2:19" x14ac:dyDescent="0.25">
      <c r="C100">
        <v>430</v>
      </c>
      <c r="D100" t="s">
        <v>158</v>
      </c>
      <c r="E100" s="4">
        <v>0</v>
      </c>
      <c r="F100" s="4">
        <v>0</v>
      </c>
      <c r="G100" s="4">
        <v>0</v>
      </c>
      <c r="H100" s="4">
        <v>0</v>
      </c>
      <c r="I100" s="4">
        <v>0</v>
      </c>
      <c r="J100" s="4">
        <v>150</v>
      </c>
      <c r="K100" s="4">
        <v>0</v>
      </c>
      <c r="L100" s="4">
        <v>0</v>
      </c>
      <c r="M100" s="4"/>
      <c r="N100" s="4">
        <v>0</v>
      </c>
      <c r="O100" s="4">
        <v>0</v>
      </c>
      <c r="P100" s="4">
        <v>0</v>
      </c>
      <c r="Q100" s="4">
        <v>0</v>
      </c>
      <c r="R100" s="4">
        <f>SUM(E100:Q100)</f>
        <v>150</v>
      </c>
      <c r="S100">
        <v>98</v>
      </c>
    </row>
    <row r="101" spans="2:19" x14ac:dyDescent="0.25">
      <c r="C101">
        <v>431</v>
      </c>
      <c r="D101" t="s">
        <v>159</v>
      </c>
      <c r="E101" s="4">
        <v>0</v>
      </c>
      <c r="F101" s="4">
        <v>0</v>
      </c>
      <c r="G101" s="4">
        <v>0</v>
      </c>
      <c r="H101" s="4">
        <v>0</v>
      </c>
      <c r="I101" s="4">
        <v>0</v>
      </c>
      <c r="J101" s="4">
        <v>0</v>
      </c>
      <c r="K101" s="4">
        <v>0</v>
      </c>
      <c r="L101" s="4">
        <v>0</v>
      </c>
      <c r="M101" s="4"/>
      <c r="N101" s="4">
        <v>0</v>
      </c>
      <c r="O101" s="4">
        <v>0</v>
      </c>
      <c r="P101" s="4">
        <v>0</v>
      </c>
      <c r="Q101" s="4">
        <v>0</v>
      </c>
      <c r="R101" s="4">
        <f>SUM(E101:Q101)</f>
        <v>0</v>
      </c>
      <c r="S101">
        <v>99</v>
      </c>
    </row>
    <row r="102" spans="2:19" x14ac:dyDescent="0.25">
      <c r="C102">
        <v>432</v>
      </c>
      <c r="D102" t="s">
        <v>160</v>
      </c>
      <c r="E102" s="4">
        <v>7563</v>
      </c>
      <c r="F102" s="4">
        <v>0</v>
      </c>
      <c r="G102" s="4">
        <v>0</v>
      </c>
      <c r="H102" s="4">
        <v>0</v>
      </c>
      <c r="I102" s="4">
        <v>0</v>
      </c>
      <c r="J102" s="4">
        <v>0</v>
      </c>
      <c r="K102" s="4">
        <v>0</v>
      </c>
      <c r="L102" s="4">
        <v>0</v>
      </c>
      <c r="M102" s="4"/>
      <c r="N102" s="4">
        <v>0</v>
      </c>
      <c r="O102" s="4">
        <v>0</v>
      </c>
      <c r="P102" s="4">
        <v>0</v>
      </c>
      <c r="Q102" s="4">
        <v>0</v>
      </c>
      <c r="R102" s="4">
        <f>SUM(E102:Q102)</f>
        <v>7563</v>
      </c>
      <c r="S102">
        <v>100</v>
      </c>
    </row>
    <row r="103" spans="2:19" x14ac:dyDescent="0.25">
      <c r="C103">
        <v>439</v>
      </c>
      <c r="D103" t="s">
        <v>161</v>
      </c>
      <c r="E103" s="4">
        <v>0</v>
      </c>
      <c r="F103" s="4">
        <v>0</v>
      </c>
      <c r="G103" s="4">
        <v>0</v>
      </c>
      <c r="H103" s="4">
        <v>0</v>
      </c>
      <c r="I103" s="4">
        <v>0</v>
      </c>
      <c r="J103" s="4">
        <v>0</v>
      </c>
      <c r="K103" s="4">
        <v>0</v>
      </c>
      <c r="L103" s="4">
        <v>0</v>
      </c>
      <c r="M103" s="4"/>
      <c r="N103" s="4">
        <v>0</v>
      </c>
      <c r="O103" s="4">
        <v>0</v>
      </c>
      <c r="P103" s="4">
        <v>0</v>
      </c>
      <c r="Q103" s="4">
        <v>0</v>
      </c>
      <c r="R103" s="4">
        <f>SUM(E103:Q103)</f>
        <v>0</v>
      </c>
      <c r="S103">
        <v>101</v>
      </c>
    </row>
    <row r="104" spans="2:19" x14ac:dyDescent="0.25">
      <c r="E104" s="4"/>
      <c r="F104" s="4"/>
      <c r="G104" s="4"/>
      <c r="H104" s="4"/>
      <c r="I104" s="4"/>
      <c r="J104" s="4"/>
      <c r="K104" s="4"/>
      <c r="L104" s="4"/>
      <c r="M104" s="4"/>
      <c r="N104" s="4"/>
      <c r="O104" s="4"/>
      <c r="P104" s="4"/>
      <c r="Q104" s="4"/>
      <c r="R104" s="4"/>
      <c r="S104">
        <v>102</v>
      </c>
    </row>
    <row r="105" spans="2:19" x14ac:dyDescent="0.25">
      <c r="B105" s="78">
        <v>44</v>
      </c>
      <c r="C105" s="78"/>
      <c r="D105" s="78" t="s">
        <v>162</v>
      </c>
      <c r="E105" s="73">
        <f>E106+E107+E108+E109+E110+E111+E112+E113+E114+E115</f>
        <v>294058.48</v>
      </c>
      <c r="F105" s="73">
        <f t="shared" ref="F105:R105" si="23">F106+F107+F108+F109+F110+F111+F112+F113+F114+F115</f>
        <v>47106.65</v>
      </c>
      <c r="G105" s="73">
        <f t="shared" si="23"/>
        <v>40830.380000000005</v>
      </c>
      <c r="H105" s="73">
        <f t="shared" si="23"/>
        <v>41904.21</v>
      </c>
      <c r="I105" s="73">
        <f t="shared" si="23"/>
        <v>83842</v>
      </c>
      <c r="J105" s="73">
        <f t="shared" si="23"/>
        <v>1160627.76</v>
      </c>
      <c r="K105" s="73">
        <f t="shared" si="23"/>
        <v>22776.25</v>
      </c>
      <c r="L105" s="73">
        <f t="shared" si="23"/>
        <v>8072.4</v>
      </c>
      <c r="M105" s="73">
        <f t="shared" si="23"/>
        <v>0</v>
      </c>
      <c r="N105" s="73">
        <f t="shared" si="23"/>
        <v>4367.3</v>
      </c>
      <c r="O105" s="73">
        <f t="shared" si="23"/>
        <v>116940.45</v>
      </c>
      <c r="P105" s="73">
        <f t="shared" si="23"/>
        <v>99670.8</v>
      </c>
      <c r="Q105" s="73">
        <f t="shared" si="23"/>
        <v>37231.550000000003</v>
      </c>
      <c r="R105" s="73">
        <f t="shared" si="23"/>
        <v>1957428.23</v>
      </c>
      <c r="S105">
        <v>103</v>
      </c>
    </row>
    <row r="106" spans="2:19" x14ac:dyDescent="0.25">
      <c r="C106">
        <v>440</v>
      </c>
      <c r="D106" t="s">
        <v>163</v>
      </c>
      <c r="E106" s="4">
        <v>227.83</v>
      </c>
      <c r="F106" s="4">
        <v>1868</v>
      </c>
      <c r="G106" s="4">
        <v>6.93</v>
      </c>
      <c r="H106" s="4">
        <v>122.51</v>
      </c>
      <c r="I106" s="4">
        <v>8.5</v>
      </c>
      <c r="J106" s="4">
        <v>43057.18</v>
      </c>
      <c r="K106" s="4">
        <v>4.8499999999999996</v>
      </c>
      <c r="L106" s="4">
        <v>1242.0999999999999</v>
      </c>
      <c r="M106" s="4"/>
      <c r="N106" s="4">
        <v>3.3</v>
      </c>
      <c r="O106" s="4">
        <v>363.45</v>
      </c>
      <c r="P106" s="4">
        <v>3.25</v>
      </c>
      <c r="Q106" s="4">
        <v>2155</v>
      </c>
      <c r="R106" s="4">
        <f t="shared" ref="R106:R115" si="24">SUM(E106:Q106)</f>
        <v>49062.899999999994</v>
      </c>
      <c r="S106">
        <v>104</v>
      </c>
    </row>
    <row r="107" spans="2:19" x14ac:dyDescent="0.25">
      <c r="C107">
        <v>441</v>
      </c>
      <c r="D107" t="s">
        <v>164</v>
      </c>
      <c r="E107" s="4">
        <v>0</v>
      </c>
      <c r="F107" s="4">
        <v>0</v>
      </c>
      <c r="G107" s="4">
        <v>0</v>
      </c>
      <c r="H107" s="4">
        <v>0</v>
      </c>
      <c r="I107" s="4">
        <v>0</v>
      </c>
      <c r="J107" s="4">
        <v>9352.2800000000007</v>
      </c>
      <c r="K107" s="4">
        <v>0</v>
      </c>
      <c r="L107" s="4">
        <v>0</v>
      </c>
      <c r="M107" s="4"/>
      <c r="N107" s="4">
        <v>0</v>
      </c>
      <c r="O107" s="4">
        <v>0</v>
      </c>
      <c r="P107" s="4">
        <v>0</v>
      </c>
      <c r="Q107" s="4">
        <v>0</v>
      </c>
      <c r="R107" s="4">
        <f t="shared" si="24"/>
        <v>9352.2800000000007</v>
      </c>
      <c r="S107">
        <v>105</v>
      </c>
    </row>
    <row r="108" spans="2:19" x14ac:dyDescent="0.25">
      <c r="C108">
        <v>442</v>
      </c>
      <c r="D108" t="s">
        <v>165</v>
      </c>
      <c r="E108" s="4">
        <v>0</v>
      </c>
      <c r="F108" s="4">
        <v>0</v>
      </c>
      <c r="G108" s="4">
        <v>0</v>
      </c>
      <c r="H108" s="4">
        <v>0</v>
      </c>
      <c r="I108" s="4">
        <v>0</v>
      </c>
      <c r="J108" s="4">
        <v>2605.75</v>
      </c>
      <c r="K108" s="4">
        <v>0</v>
      </c>
      <c r="L108" s="4">
        <v>11630.3</v>
      </c>
      <c r="M108" s="4"/>
      <c r="N108" s="4">
        <v>0</v>
      </c>
      <c r="O108" s="4">
        <v>0</v>
      </c>
      <c r="P108" s="4">
        <v>32762.7</v>
      </c>
      <c r="Q108" s="4">
        <v>0</v>
      </c>
      <c r="R108" s="4">
        <f t="shared" si="24"/>
        <v>46998.75</v>
      </c>
      <c r="S108">
        <v>106</v>
      </c>
    </row>
    <row r="109" spans="2:19" x14ac:dyDescent="0.25">
      <c r="C109">
        <v>443</v>
      </c>
      <c r="D109" t="s">
        <v>166</v>
      </c>
      <c r="E109" s="4">
        <v>248147.65</v>
      </c>
      <c r="F109" s="4">
        <v>45238.65</v>
      </c>
      <c r="G109" s="4">
        <v>15210</v>
      </c>
      <c r="H109" s="4">
        <v>0</v>
      </c>
      <c r="I109" s="4">
        <v>29996</v>
      </c>
      <c r="J109" s="4">
        <v>672099.35</v>
      </c>
      <c r="K109" s="4">
        <v>0</v>
      </c>
      <c r="L109" s="4">
        <v>-4800</v>
      </c>
      <c r="M109" s="4"/>
      <c r="N109" s="4">
        <v>0</v>
      </c>
      <c r="O109" s="4">
        <v>34800</v>
      </c>
      <c r="P109" s="4">
        <v>0</v>
      </c>
      <c r="Q109" s="4">
        <v>2200</v>
      </c>
      <c r="R109" s="4">
        <f t="shared" si="24"/>
        <v>1042891.6499999999</v>
      </c>
      <c r="S109">
        <v>107</v>
      </c>
    </row>
    <row r="110" spans="2:19" x14ac:dyDescent="0.25">
      <c r="C110">
        <v>444</v>
      </c>
      <c r="D110" t="s">
        <v>106</v>
      </c>
      <c r="E110" s="4">
        <v>0</v>
      </c>
      <c r="F110" s="4">
        <v>0</v>
      </c>
      <c r="G110" s="4">
        <v>0</v>
      </c>
      <c r="H110" s="4">
        <v>0</v>
      </c>
      <c r="I110" s="4">
        <v>0</v>
      </c>
      <c r="J110" s="4">
        <v>14093.8</v>
      </c>
      <c r="K110" s="4">
        <v>0</v>
      </c>
      <c r="L110" s="4">
        <v>0</v>
      </c>
      <c r="M110" s="4"/>
      <c r="N110" s="4">
        <v>0</v>
      </c>
      <c r="O110" s="4">
        <v>0</v>
      </c>
      <c r="P110" s="4">
        <v>0</v>
      </c>
      <c r="Q110" s="4">
        <v>0</v>
      </c>
      <c r="R110" s="4">
        <f t="shared" si="24"/>
        <v>14093.8</v>
      </c>
      <c r="S110">
        <v>108</v>
      </c>
    </row>
    <row r="111" spans="2:19" x14ac:dyDescent="0.25">
      <c r="C111">
        <v>445</v>
      </c>
      <c r="D111" t="s">
        <v>167</v>
      </c>
      <c r="E111" s="4">
        <v>0</v>
      </c>
      <c r="F111" s="4">
        <v>0</v>
      </c>
      <c r="G111" s="4">
        <v>0</v>
      </c>
      <c r="H111" s="4">
        <v>0</v>
      </c>
      <c r="I111" s="4">
        <v>0</v>
      </c>
      <c r="J111" s="4">
        <v>0</v>
      </c>
      <c r="K111" s="4">
        <v>0</v>
      </c>
      <c r="L111" s="4">
        <v>0</v>
      </c>
      <c r="M111" s="4"/>
      <c r="N111" s="4">
        <v>0</v>
      </c>
      <c r="O111" s="4">
        <v>0</v>
      </c>
      <c r="P111" s="4">
        <v>0</v>
      </c>
      <c r="Q111" s="4">
        <v>0</v>
      </c>
      <c r="R111" s="4">
        <f t="shared" si="24"/>
        <v>0</v>
      </c>
      <c r="S111">
        <v>109</v>
      </c>
    </row>
    <row r="112" spans="2:19" x14ac:dyDescent="0.25">
      <c r="C112">
        <v>446</v>
      </c>
      <c r="D112" t="s">
        <v>168</v>
      </c>
      <c r="E112" s="4">
        <v>0</v>
      </c>
      <c r="F112" s="4">
        <v>0</v>
      </c>
      <c r="G112" s="4">
        <v>0</v>
      </c>
      <c r="H112" s="4">
        <v>0</v>
      </c>
      <c r="I112" s="4">
        <v>0</v>
      </c>
      <c r="J112" s="4">
        <v>0</v>
      </c>
      <c r="K112" s="4">
        <v>0</v>
      </c>
      <c r="L112" s="4">
        <v>0</v>
      </c>
      <c r="M112" s="4"/>
      <c r="N112" s="4">
        <v>0</v>
      </c>
      <c r="O112" s="4">
        <v>0</v>
      </c>
      <c r="P112" s="4">
        <v>0</v>
      </c>
      <c r="Q112" s="4">
        <v>0</v>
      </c>
      <c r="R112" s="4">
        <f t="shared" si="24"/>
        <v>0</v>
      </c>
      <c r="S112">
        <v>110</v>
      </c>
    </row>
    <row r="113" spans="2:19" x14ac:dyDescent="0.25">
      <c r="C113">
        <v>447</v>
      </c>
      <c r="D113" t="s">
        <v>169</v>
      </c>
      <c r="E113" s="4">
        <v>45683</v>
      </c>
      <c r="F113" s="4">
        <v>0</v>
      </c>
      <c r="G113" s="4">
        <v>25613.45</v>
      </c>
      <c r="H113" s="4">
        <v>41781.699999999997</v>
      </c>
      <c r="I113" s="4">
        <v>53837.5</v>
      </c>
      <c r="J113" s="4">
        <v>419419.4</v>
      </c>
      <c r="K113" s="4">
        <v>22771.4</v>
      </c>
      <c r="L113" s="4">
        <v>0</v>
      </c>
      <c r="M113" s="4"/>
      <c r="N113" s="4">
        <v>4364</v>
      </c>
      <c r="O113" s="4">
        <v>81777</v>
      </c>
      <c r="P113" s="4">
        <v>66904.850000000006</v>
      </c>
      <c r="Q113" s="4">
        <v>32876.550000000003</v>
      </c>
      <c r="R113" s="4">
        <f t="shared" si="24"/>
        <v>795028.85000000009</v>
      </c>
      <c r="S113">
        <v>111</v>
      </c>
    </row>
    <row r="114" spans="2:19" x14ac:dyDescent="0.25">
      <c r="C114">
        <v>448</v>
      </c>
      <c r="D114" t="s">
        <v>170</v>
      </c>
      <c r="E114" s="4">
        <v>0</v>
      </c>
      <c r="F114" s="4">
        <v>0</v>
      </c>
      <c r="G114" s="4">
        <v>0</v>
      </c>
      <c r="H114" s="4">
        <v>0</v>
      </c>
      <c r="I114" s="4">
        <v>0</v>
      </c>
      <c r="J114" s="4">
        <v>0</v>
      </c>
      <c r="K114" s="4">
        <v>0</v>
      </c>
      <c r="L114" s="4">
        <v>0</v>
      </c>
      <c r="M114" s="4"/>
      <c r="N114" s="4">
        <v>0</v>
      </c>
      <c r="O114" s="4">
        <v>0</v>
      </c>
      <c r="P114" s="4">
        <v>0</v>
      </c>
      <c r="Q114" s="4">
        <v>0</v>
      </c>
      <c r="R114" s="4">
        <f t="shared" si="24"/>
        <v>0</v>
      </c>
      <c r="S114">
        <v>112</v>
      </c>
    </row>
    <row r="115" spans="2:19" x14ac:dyDescent="0.25">
      <c r="C115">
        <v>449</v>
      </c>
      <c r="D115" t="s">
        <v>171</v>
      </c>
      <c r="E115" s="4">
        <v>0</v>
      </c>
      <c r="F115" s="4">
        <v>0</v>
      </c>
      <c r="G115" s="4">
        <v>0</v>
      </c>
      <c r="H115" s="4">
        <v>0</v>
      </c>
      <c r="I115" s="4">
        <v>0</v>
      </c>
      <c r="J115" s="4">
        <v>0</v>
      </c>
      <c r="K115" s="4">
        <v>0</v>
      </c>
      <c r="L115" s="4">
        <v>0</v>
      </c>
      <c r="M115" s="4"/>
      <c r="N115" s="4">
        <v>0</v>
      </c>
      <c r="O115" s="4">
        <v>0</v>
      </c>
      <c r="P115" s="4">
        <v>0</v>
      </c>
      <c r="Q115" s="4">
        <v>0</v>
      </c>
      <c r="R115" s="4">
        <f t="shared" si="24"/>
        <v>0</v>
      </c>
      <c r="S115">
        <v>113</v>
      </c>
    </row>
    <row r="116" spans="2:19" x14ac:dyDescent="0.25">
      <c r="E116" s="4"/>
      <c r="F116" s="4"/>
      <c r="G116" s="4"/>
      <c r="H116" s="4"/>
      <c r="I116" s="4"/>
      <c r="J116" s="4"/>
      <c r="K116" s="4"/>
      <c r="L116" s="4"/>
      <c r="M116" s="4"/>
      <c r="N116" s="4"/>
      <c r="O116" s="4"/>
      <c r="P116" s="4"/>
      <c r="Q116" s="4"/>
      <c r="R116" s="4"/>
      <c r="S116">
        <v>114</v>
      </c>
    </row>
    <row r="117" spans="2:19" x14ac:dyDescent="0.25">
      <c r="B117" s="78">
        <v>45</v>
      </c>
      <c r="C117" s="78"/>
      <c r="D117" s="78" t="s">
        <v>174</v>
      </c>
      <c r="E117" s="73">
        <f>E118+E119</f>
        <v>0</v>
      </c>
      <c r="F117" s="73">
        <f t="shared" ref="F117:R117" si="25">F118+F119</f>
        <v>0</v>
      </c>
      <c r="G117" s="73">
        <f t="shared" si="25"/>
        <v>5087.25</v>
      </c>
      <c r="H117" s="73">
        <f t="shared" si="25"/>
        <v>0</v>
      </c>
      <c r="I117" s="73">
        <f t="shared" si="25"/>
        <v>10043.32</v>
      </c>
      <c r="J117" s="73">
        <f t="shared" si="25"/>
        <v>174300</v>
      </c>
      <c r="K117" s="73">
        <f t="shared" si="25"/>
        <v>0</v>
      </c>
      <c r="L117" s="73">
        <f t="shared" si="25"/>
        <v>2200</v>
      </c>
      <c r="M117" s="73">
        <f t="shared" si="25"/>
        <v>0</v>
      </c>
      <c r="N117" s="73">
        <f t="shared" si="25"/>
        <v>0</v>
      </c>
      <c r="O117" s="73">
        <f t="shared" si="25"/>
        <v>5456</v>
      </c>
      <c r="P117" s="73">
        <f t="shared" si="25"/>
        <v>39</v>
      </c>
      <c r="Q117" s="73">
        <f t="shared" si="25"/>
        <v>3900</v>
      </c>
      <c r="R117" s="73">
        <f t="shared" si="25"/>
        <v>201025.57</v>
      </c>
      <c r="S117">
        <v>115</v>
      </c>
    </row>
    <row r="118" spans="2:19" x14ac:dyDescent="0.25">
      <c r="C118">
        <v>450</v>
      </c>
      <c r="D118" t="s">
        <v>172</v>
      </c>
      <c r="E118" s="4">
        <v>0</v>
      </c>
      <c r="F118" s="4">
        <v>0</v>
      </c>
      <c r="G118" s="4">
        <v>0</v>
      </c>
      <c r="H118" s="4">
        <v>0</v>
      </c>
      <c r="I118" s="4">
        <v>0</v>
      </c>
      <c r="J118" s="4">
        <v>0</v>
      </c>
      <c r="K118" s="4">
        <v>0</v>
      </c>
      <c r="L118" s="4">
        <v>2200</v>
      </c>
      <c r="M118" s="4"/>
      <c r="N118" s="4">
        <v>0</v>
      </c>
      <c r="O118" s="4">
        <v>0</v>
      </c>
      <c r="P118" s="4">
        <v>39</v>
      </c>
      <c r="Q118" s="4">
        <v>0</v>
      </c>
      <c r="R118" s="4">
        <f>SUM(E118:Q118)</f>
        <v>2239</v>
      </c>
      <c r="S118">
        <v>116</v>
      </c>
    </row>
    <row r="119" spans="2:19" x14ac:dyDescent="0.25">
      <c r="C119">
        <v>451</v>
      </c>
      <c r="D119" t="s">
        <v>173</v>
      </c>
      <c r="E119" s="4">
        <v>0</v>
      </c>
      <c r="F119" s="4">
        <v>0</v>
      </c>
      <c r="G119" s="4">
        <v>5087.25</v>
      </c>
      <c r="H119" s="4">
        <v>0</v>
      </c>
      <c r="I119" s="4">
        <v>10043.32</v>
      </c>
      <c r="J119" s="4">
        <v>174300</v>
      </c>
      <c r="K119" s="4">
        <v>0</v>
      </c>
      <c r="L119" s="4">
        <v>0</v>
      </c>
      <c r="M119" s="4"/>
      <c r="N119" s="4">
        <v>0</v>
      </c>
      <c r="O119" s="4">
        <v>5456</v>
      </c>
      <c r="P119" s="4">
        <v>0</v>
      </c>
      <c r="Q119" s="4">
        <v>3900</v>
      </c>
      <c r="R119" s="4">
        <f>SUM(E119:Q119)</f>
        <v>198786.57</v>
      </c>
      <c r="S119">
        <v>117</v>
      </c>
    </row>
    <row r="120" spans="2:19" x14ac:dyDescent="0.25">
      <c r="E120" s="4"/>
      <c r="F120" s="4"/>
      <c r="G120" s="4"/>
      <c r="H120" s="4"/>
      <c r="I120" s="4"/>
      <c r="J120" s="4"/>
      <c r="K120" s="4"/>
      <c r="L120" s="4"/>
      <c r="M120" s="4"/>
      <c r="N120" s="4"/>
      <c r="O120" s="4"/>
      <c r="P120" s="4"/>
      <c r="Q120" s="4"/>
      <c r="R120" s="4"/>
      <c r="S120">
        <v>118</v>
      </c>
    </row>
    <row r="121" spans="2:19" x14ac:dyDescent="0.25">
      <c r="B121" s="78">
        <v>46</v>
      </c>
      <c r="C121" s="78"/>
      <c r="D121" s="78" t="s">
        <v>175</v>
      </c>
      <c r="E121" s="73">
        <f>E122+E123+E124+E125+E126</f>
        <v>142998.9</v>
      </c>
      <c r="F121" s="73">
        <f t="shared" ref="F121:R121" si="26">F122+F123+F124+F125+F126</f>
        <v>10120.25</v>
      </c>
      <c r="G121" s="73">
        <f t="shared" si="26"/>
        <v>9158.75</v>
      </c>
      <c r="H121" s="73">
        <f t="shared" si="26"/>
        <v>0</v>
      </c>
      <c r="I121" s="73">
        <f t="shared" si="26"/>
        <v>20615.05</v>
      </c>
      <c r="J121" s="73">
        <f t="shared" si="26"/>
        <v>17055</v>
      </c>
      <c r="K121" s="73">
        <f t="shared" si="26"/>
        <v>38416.949999999997</v>
      </c>
      <c r="L121" s="73">
        <f t="shared" si="26"/>
        <v>51517.299999999996</v>
      </c>
      <c r="M121" s="73">
        <f t="shared" si="26"/>
        <v>0</v>
      </c>
      <c r="N121" s="73">
        <f t="shared" si="26"/>
        <v>16959.349999999999</v>
      </c>
      <c r="O121" s="73">
        <f t="shared" si="26"/>
        <v>12293.8</v>
      </c>
      <c r="P121" s="73">
        <f t="shared" si="26"/>
        <v>1037.8499999999999</v>
      </c>
      <c r="Q121" s="73">
        <f t="shared" si="26"/>
        <v>225084.4</v>
      </c>
      <c r="R121" s="73">
        <f t="shared" si="26"/>
        <v>545257.59999999986</v>
      </c>
      <c r="S121">
        <v>119</v>
      </c>
    </row>
    <row r="122" spans="2:19" x14ac:dyDescent="0.25">
      <c r="C122">
        <v>460</v>
      </c>
      <c r="D122" t="s">
        <v>176</v>
      </c>
      <c r="E122" s="4">
        <v>0</v>
      </c>
      <c r="F122" s="4">
        <v>0</v>
      </c>
      <c r="G122" s="4">
        <v>0</v>
      </c>
      <c r="H122" s="4">
        <v>0</v>
      </c>
      <c r="I122" s="4">
        <v>0</v>
      </c>
      <c r="J122" s="4">
        <v>0</v>
      </c>
      <c r="K122" s="4">
        <v>0</v>
      </c>
      <c r="L122" s="4">
        <v>0</v>
      </c>
      <c r="M122" s="4"/>
      <c r="N122" s="4">
        <v>0</v>
      </c>
      <c r="O122" s="4">
        <v>0</v>
      </c>
      <c r="P122" s="4">
        <v>0</v>
      </c>
      <c r="Q122" s="4">
        <v>0</v>
      </c>
      <c r="R122" s="4">
        <f>SUM(E122:Q122)</f>
        <v>0</v>
      </c>
      <c r="S122">
        <v>120</v>
      </c>
    </row>
    <row r="123" spans="2:19" x14ac:dyDescent="0.25">
      <c r="C123">
        <v>461</v>
      </c>
      <c r="D123" t="s">
        <v>177</v>
      </c>
      <c r="E123" s="4">
        <v>700</v>
      </c>
      <c r="F123" s="4">
        <v>0</v>
      </c>
      <c r="G123" s="4">
        <v>0</v>
      </c>
      <c r="H123" s="4">
        <v>0</v>
      </c>
      <c r="I123" s="4">
        <v>0</v>
      </c>
      <c r="J123" s="4">
        <v>0</v>
      </c>
      <c r="K123" s="4">
        <v>0</v>
      </c>
      <c r="L123" s="4">
        <v>0</v>
      </c>
      <c r="M123" s="4"/>
      <c r="N123" s="4">
        <v>0</v>
      </c>
      <c r="O123" s="4">
        <v>0</v>
      </c>
      <c r="P123" s="4">
        <v>0</v>
      </c>
      <c r="Q123" s="4">
        <v>0</v>
      </c>
      <c r="R123" s="4">
        <f>SUM(E123:Q123)</f>
        <v>700</v>
      </c>
      <c r="S123">
        <v>121</v>
      </c>
    </row>
    <row r="124" spans="2:19" x14ac:dyDescent="0.25">
      <c r="C124">
        <v>462</v>
      </c>
      <c r="D124" t="s">
        <v>113</v>
      </c>
      <c r="E124" s="4">
        <v>0</v>
      </c>
      <c r="F124" s="4">
        <v>0</v>
      </c>
      <c r="G124" s="4">
        <v>0</v>
      </c>
      <c r="H124" s="4">
        <v>0</v>
      </c>
      <c r="I124" s="4">
        <v>0</v>
      </c>
      <c r="J124" s="4">
        <v>0</v>
      </c>
      <c r="K124" s="4">
        <v>0</v>
      </c>
      <c r="L124" s="4">
        <v>0</v>
      </c>
      <c r="M124" s="4"/>
      <c r="N124" s="4">
        <v>0</v>
      </c>
      <c r="O124" s="4">
        <v>0</v>
      </c>
      <c r="P124" s="4">
        <v>0</v>
      </c>
      <c r="Q124" s="4">
        <v>0</v>
      </c>
      <c r="R124" s="4">
        <f>SUM(E124:Q124)</f>
        <v>0</v>
      </c>
      <c r="S124">
        <v>122</v>
      </c>
    </row>
    <row r="125" spans="2:19" x14ac:dyDescent="0.25">
      <c r="C125">
        <v>463</v>
      </c>
      <c r="D125" t="s">
        <v>178</v>
      </c>
      <c r="E125" s="4">
        <v>140441.25</v>
      </c>
      <c r="F125" s="4">
        <v>8877.5</v>
      </c>
      <c r="G125" s="4">
        <v>8748.7999999999993</v>
      </c>
      <c r="H125" s="4">
        <v>0</v>
      </c>
      <c r="I125" s="4">
        <v>19261.05</v>
      </c>
      <c r="J125" s="4">
        <v>17055</v>
      </c>
      <c r="K125" s="4">
        <v>37437</v>
      </c>
      <c r="L125" s="4">
        <v>50483.7</v>
      </c>
      <c r="M125" s="4"/>
      <c r="N125" s="4">
        <v>16730.3</v>
      </c>
      <c r="O125" s="4">
        <v>11832.5</v>
      </c>
      <c r="P125" s="4">
        <v>0</v>
      </c>
      <c r="Q125" s="4">
        <v>224733.3</v>
      </c>
      <c r="R125" s="4">
        <f>SUM(E125:Q125)</f>
        <v>535600.39999999991</v>
      </c>
      <c r="S125">
        <v>123</v>
      </c>
    </row>
    <row r="126" spans="2:19" x14ac:dyDescent="0.25">
      <c r="C126">
        <v>469</v>
      </c>
      <c r="D126" t="s">
        <v>179</v>
      </c>
      <c r="E126" s="4">
        <v>1857.65</v>
      </c>
      <c r="F126" s="4">
        <v>1242.75</v>
      </c>
      <c r="G126" s="4">
        <v>409.95</v>
      </c>
      <c r="H126" s="4">
        <v>0</v>
      </c>
      <c r="I126" s="4">
        <v>1354</v>
      </c>
      <c r="J126" s="4">
        <v>0</v>
      </c>
      <c r="K126" s="4">
        <v>979.95</v>
      </c>
      <c r="L126" s="4">
        <v>1033.5999999999999</v>
      </c>
      <c r="M126" s="4"/>
      <c r="N126" s="4">
        <v>229.05</v>
      </c>
      <c r="O126" s="4">
        <v>461.3</v>
      </c>
      <c r="P126" s="4">
        <v>1037.8499999999999</v>
      </c>
      <c r="Q126" s="4">
        <v>351.1</v>
      </c>
      <c r="R126" s="4">
        <f>SUM(E126:Q126)</f>
        <v>8957.2000000000007</v>
      </c>
      <c r="S126">
        <v>124</v>
      </c>
    </row>
    <row r="127" spans="2:19" x14ac:dyDescent="0.25">
      <c r="E127" s="4"/>
      <c r="F127" s="4"/>
      <c r="G127" s="4"/>
      <c r="H127" s="4"/>
      <c r="I127" s="4"/>
      <c r="J127" s="4"/>
      <c r="K127" s="4"/>
      <c r="L127" s="4"/>
      <c r="M127" s="4"/>
      <c r="N127" s="4"/>
      <c r="O127" s="4"/>
      <c r="P127" s="4"/>
      <c r="Q127" s="4"/>
      <c r="R127" s="4"/>
      <c r="S127">
        <v>125</v>
      </c>
    </row>
    <row r="128" spans="2:19" x14ac:dyDescent="0.25">
      <c r="B128" s="78">
        <v>47</v>
      </c>
      <c r="C128" s="78"/>
      <c r="D128" s="78" t="s">
        <v>119</v>
      </c>
      <c r="E128" s="73">
        <f>E129</f>
        <v>0</v>
      </c>
      <c r="F128" s="73">
        <f t="shared" ref="F128:R128" si="27">F129</f>
        <v>0</v>
      </c>
      <c r="G128" s="73">
        <f t="shared" si="27"/>
        <v>0</v>
      </c>
      <c r="H128" s="73">
        <f t="shared" si="27"/>
        <v>0</v>
      </c>
      <c r="I128" s="73">
        <f t="shared" si="27"/>
        <v>0</v>
      </c>
      <c r="J128" s="73">
        <f t="shared" si="27"/>
        <v>0</v>
      </c>
      <c r="K128" s="73">
        <f t="shared" si="27"/>
        <v>5566.5</v>
      </c>
      <c r="L128" s="73">
        <f t="shared" si="27"/>
        <v>0</v>
      </c>
      <c r="M128" s="73">
        <f t="shared" si="27"/>
        <v>0</v>
      </c>
      <c r="N128" s="73">
        <f t="shared" si="27"/>
        <v>0</v>
      </c>
      <c r="O128" s="73">
        <f t="shared" si="27"/>
        <v>0</v>
      </c>
      <c r="P128" s="73">
        <f t="shared" si="27"/>
        <v>0</v>
      </c>
      <c r="Q128" s="73">
        <f t="shared" si="27"/>
        <v>0</v>
      </c>
      <c r="R128" s="73">
        <f t="shared" si="27"/>
        <v>5566.5</v>
      </c>
      <c r="S128">
        <v>126</v>
      </c>
    </row>
    <row r="129" spans="2:19" x14ac:dyDescent="0.25">
      <c r="C129">
        <v>470</v>
      </c>
      <c r="D129" t="s">
        <v>180</v>
      </c>
      <c r="E129" s="4">
        <v>0</v>
      </c>
      <c r="F129" s="4">
        <v>0</v>
      </c>
      <c r="G129" s="4">
        <v>0</v>
      </c>
      <c r="H129" s="4">
        <v>0</v>
      </c>
      <c r="I129" s="4">
        <v>0</v>
      </c>
      <c r="J129" s="4">
        <v>0</v>
      </c>
      <c r="K129" s="4">
        <v>5566.5</v>
      </c>
      <c r="L129" s="4">
        <v>0</v>
      </c>
      <c r="M129" s="4"/>
      <c r="N129" s="4">
        <v>0</v>
      </c>
      <c r="O129" s="4">
        <v>0</v>
      </c>
      <c r="P129" s="4">
        <v>0</v>
      </c>
      <c r="Q129" s="4">
        <v>0</v>
      </c>
      <c r="R129" s="4">
        <f>SUM(E129:Q129)</f>
        <v>5566.5</v>
      </c>
      <c r="S129">
        <v>127</v>
      </c>
    </row>
    <row r="130" spans="2:19" x14ac:dyDescent="0.25">
      <c r="E130" s="4"/>
      <c r="F130" s="4"/>
      <c r="G130" s="4"/>
      <c r="H130" s="4"/>
      <c r="I130" s="4"/>
      <c r="J130" s="4"/>
      <c r="K130" s="4"/>
      <c r="L130" s="4"/>
      <c r="M130" s="4"/>
      <c r="N130" s="4"/>
      <c r="O130" s="4"/>
      <c r="P130" s="4"/>
      <c r="Q130" s="4"/>
      <c r="R130" s="4"/>
      <c r="S130">
        <v>128</v>
      </c>
    </row>
    <row r="131" spans="2:19" x14ac:dyDescent="0.25">
      <c r="B131" s="78">
        <v>48</v>
      </c>
      <c r="C131" s="78"/>
      <c r="D131" s="78" t="s">
        <v>181</v>
      </c>
      <c r="E131" s="73">
        <f>E132+E133+E134+E135+E136+E137+E138</f>
        <v>115890</v>
      </c>
      <c r="F131" s="73">
        <f t="shared" ref="F131:R131" si="28">F132+F133+F134+F135+F136+F137+F138</f>
        <v>1.98</v>
      </c>
      <c r="G131" s="73">
        <f t="shared" si="28"/>
        <v>0</v>
      </c>
      <c r="H131" s="73">
        <f t="shared" si="28"/>
        <v>0</v>
      </c>
      <c r="I131" s="73">
        <f t="shared" si="28"/>
        <v>0</v>
      </c>
      <c r="J131" s="73">
        <f t="shared" si="28"/>
        <v>0</v>
      </c>
      <c r="K131" s="73">
        <f t="shared" si="28"/>
        <v>0</v>
      </c>
      <c r="L131" s="73">
        <f t="shared" si="28"/>
        <v>0</v>
      </c>
      <c r="M131" s="73">
        <f t="shared" si="28"/>
        <v>0</v>
      </c>
      <c r="N131" s="73">
        <f t="shared" si="28"/>
        <v>0</v>
      </c>
      <c r="O131" s="73">
        <f t="shared" si="28"/>
        <v>0</v>
      </c>
      <c r="P131" s="73">
        <f t="shared" si="28"/>
        <v>0</v>
      </c>
      <c r="Q131" s="73">
        <f t="shared" si="28"/>
        <v>0</v>
      </c>
      <c r="R131" s="73">
        <f t="shared" si="28"/>
        <v>115891.98</v>
      </c>
      <c r="S131">
        <v>129</v>
      </c>
    </row>
    <row r="132" spans="2:19" x14ac:dyDescent="0.25">
      <c r="C132">
        <v>481</v>
      </c>
      <c r="D132" t="s">
        <v>182</v>
      </c>
      <c r="E132" s="4">
        <v>0</v>
      </c>
      <c r="F132" s="4">
        <v>0</v>
      </c>
      <c r="G132" s="4">
        <v>0</v>
      </c>
      <c r="H132" s="4">
        <v>0</v>
      </c>
      <c r="I132" s="4">
        <v>0</v>
      </c>
      <c r="J132" s="4">
        <v>0</v>
      </c>
      <c r="K132" s="4">
        <v>0</v>
      </c>
      <c r="L132" s="4">
        <v>0</v>
      </c>
      <c r="M132" s="4"/>
      <c r="N132" s="4">
        <v>0</v>
      </c>
      <c r="O132" s="4">
        <v>0</v>
      </c>
      <c r="P132" s="4">
        <v>0</v>
      </c>
      <c r="Q132" s="4">
        <v>0</v>
      </c>
      <c r="R132" s="4">
        <f t="shared" ref="R132:R138" si="29">SUM(E132:Q132)</f>
        <v>0</v>
      </c>
      <c r="S132">
        <v>130</v>
      </c>
    </row>
    <row r="133" spans="2:19" x14ac:dyDescent="0.25">
      <c r="C133">
        <v>482</v>
      </c>
      <c r="D133" t="s">
        <v>183</v>
      </c>
      <c r="E133" s="4">
        <v>0</v>
      </c>
      <c r="F133" s="4">
        <v>0</v>
      </c>
      <c r="G133" s="4">
        <v>0</v>
      </c>
      <c r="H133" s="4">
        <v>0</v>
      </c>
      <c r="I133" s="4">
        <v>0</v>
      </c>
      <c r="J133" s="4">
        <v>0</v>
      </c>
      <c r="K133" s="4">
        <v>0</v>
      </c>
      <c r="L133" s="4">
        <v>0</v>
      </c>
      <c r="M133" s="4"/>
      <c r="N133" s="4">
        <v>0</v>
      </c>
      <c r="O133" s="4">
        <v>0</v>
      </c>
      <c r="P133" s="4">
        <v>0</v>
      </c>
      <c r="Q133" s="4">
        <v>0</v>
      </c>
      <c r="R133" s="4">
        <f t="shared" si="29"/>
        <v>0</v>
      </c>
      <c r="S133">
        <v>131</v>
      </c>
    </row>
    <row r="134" spans="2:19" x14ac:dyDescent="0.25">
      <c r="C134">
        <v>483</v>
      </c>
      <c r="D134" t="s">
        <v>184</v>
      </c>
      <c r="E134" s="4">
        <v>0</v>
      </c>
      <c r="F134" s="4">
        <v>0</v>
      </c>
      <c r="G134" s="4">
        <v>0</v>
      </c>
      <c r="H134" s="4">
        <v>0</v>
      </c>
      <c r="I134" s="4">
        <v>0</v>
      </c>
      <c r="J134" s="4">
        <v>0</v>
      </c>
      <c r="K134" s="4">
        <v>0</v>
      </c>
      <c r="L134" s="4">
        <v>0</v>
      </c>
      <c r="M134" s="4"/>
      <c r="N134" s="4">
        <v>0</v>
      </c>
      <c r="O134" s="4">
        <v>0</v>
      </c>
      <c r="P134" s="4">
        <v>0</v>
      </c>
      <c r="Q134" s="4">
        <v>0</v>
      </c>
      <c r="R134" s="4">
        <f t="shared" si="29"/>
        <v>0</v>
      </c>
      <c r="S134">
        <v>132</v>
      </c>
    </row>
    <row r="135" spans="2:19" x14ac:dyDescent="0.25">
      <c r="C135">
        <v>484</v>
      </c>
      <c r="D135" t="s">
        <v>185</v>
      </c>
      <c r="E135" s="4">
        <v>115890</v>
      </c>
      <c r="F135" s="4">
        <v>0</v>
      </c>
      <c r="G135" s="4">
        <v>0</v>
      </c>
      <c r="H135" s="4">
        <v>0</v>
      </c>
      <c r="I135" s="4">
        <v>0</v>
      </c>
      <c r="J135" s="4">
        <v>0</v>
      </c>
      <c r="K135" s="4">
        <v>0</v>
      </c>
      <c r="L135" s="4">
        <v>0</v>
      </c>
      <c r="M135" s="4"/>
      <c r="N135" s="4">
        <v>0</v>
      </c>
      <c r="O135" s="4">
        <v>0</v>
      </c>
      <c r="P135" s="4">
        <v>0</v>
      </c>
      <c r="Q135" s="4">
        <v>0</v>
      </c>
      <c r="R135" s="4">
        <f t="shared" si="29"/>
        <v>115890</v>
      </c>
      <c r="S135">
        <v>133</v>
      </c>
    </row>
    <row r="136" spans="2:19" x14ac:dyDescent="0.25">
      <c r="C136">
        <v>485</v>
      </c>
      <c r="D136" t="s">
        <v>186</v>
      </c>
      <c r="E136" s="4">
        <v>0</v>
      </c>
      <c r="F136" s="4">
        <v>0</v>
      </c>
      <c r="G136" s="4">
        <v>0</v>
      </c>
      <c r="H136" s="4">
        <v>0</v>
      </c>
      <c r="I136" s="4">
        <v>0</v>
      </c>
      <c r="J136" s="4">
        <v>0</v>
      </c>
      <c r="K136" s="4">
        <v>0</v>
      </c>
      <c r="L136" s="4">
        <v>0</v>
      </c>
      <c r="M136" s="4"/>
      <c r="N136" s="4">
        <v>0</v>
      </c>
      <c r="O136" s="4">
        <v>0</v>
      </c>
      <c r="P136" s="4">
        <v>0</v>
      </c>
      <c r="Q136" s="4">
        <v>0</v>
      </c>
      <c r="R136" s="4">
        <f t="shared" si="29"/>
        <v>0</v>
      </c>
      <c r="S136">
        <v>134</v>
      </c>
    </row>
    <row r="137" spans="2:19" x14ac:dyDescent="0.25">
      <c r="C137">
        <v>486</v>
      </c>
      <c r="D137" t="s">
        <v>187</v>
      </c>
      <c r="E137" s="4">
        <v>0</v>
      </c>
      <c r="F137" s="4">
        <v>0</v>
      </c>
      <c r="G137" s="4">
        <v>0</v>
      </c>
      <c r="H137" s="4">
        <v>0</v>
      </c>
      <c r="I137" s="4">
        <v>0</v>
      </c>
      <c r="J137" s="4">
        <v>0</v>
      </c>
      <c r="K137" s="4">
        <v>0</v>
      </c>
      <c r="L137" s="4">
        <v>0</v>
      </c>
      <c r="M137" s="4"/>
      <c r="N137" s="4">
        <v>0</v>
      </c>
      <c r="O137" s="4">
        <v>0</v>
      </c>
      <c r="P137" s="4">
        <v>0</v>
      </c>
      <c r="Q137" s="4">
        <v>0</v>
      </c>
      <c r="R137" s="4">
        <f t="shared" si="29"/>
        <v>0</v>
      </c>
      <c r="S137">
        <v>135</v>
      </c>
    </row>
    <row r="138" spans="2:19" x14ac:dyDescent="0.25">
      <c r="C138">
        <v>489</v>
      </c>
      <c r="D138" t="s">
        <v>188</v>
      </c>
      <c r="E138" s="4">
        <v>0</v>
      </c>
      <c r="F138" s="4">
        <v>1.98</v>
      </c>
      <c r="G138" s="4">
        <v>0</v>
      </c>
      <c r="H138" s="4">
        <v>0</v>
      </c>
      <c r="I138" s="4">
        <v>0</v>
      </c>
      <c r="J138" s="4">
        <v>0</v>
      </c>
      <c r="K138" s="4">
        <v>0</v>
      </c>
      <c r="L138" s="4">
        <v>0</v>
      </c>
      <c r="M138" s="4"/>
      <c r="N138" s="4">
        <v>0</v>
      </c>
      <c r="O138" s="4">
        <v>0</v>
      </c>
      <c r="P138" s="4">
        <v>0</v>
      </c>
      <c r="Q138" s="4">
        <v>0</v>
      </c>
      <c r="R138" s="4">
        <f t="shared" si="29"/>
        <v>1.98</v>
      </c>
      <c r="S138">
        <v>136</v>
      </c>
    </row>
    <row r="139" spans="2:19" x14ac:dyDescent="0.25">
      <c r="E139" s="4"/>
      <c r="F139" s="4"/>
      <c r="G139" s="4"/>
      <c r="H139" s="4"/>
      <c r="I139" s="4"/>
      <c r="J139" s="4"/>
      <c r="K139" s="4"/>
      <c r="L139" s="4"/>
      <c r="M139" s="4"/>
      <c r="N139" s="4"/>
      <c r="O139" s="4"/>
      <c r="P139" s="4"/>
      <c r="Q139" s="4"/>
      <c r="R139" s="4"/>
      <c r="S139">
        <v>137</v>
      </c>
    </row>
    <row r="140" spans="2:19" x14ac:dyDescent="0.25">
      <c r="B140" s="78">
        <v>49</v>
      </c>
      <c r="C140" s="78"/>
      <c r="D140" s="78" t="s">
        <v>128</v>
      </c>
      <c r="E140" s="73">
        <f>E141+E142+E143+E144+E145+E146+E147+E148</f>
        <v>122776.25</v>
      </c>
      <c r="F140" s="73">
        <f t="shared" ref="F140:R140" si="30">F141+F142+F143+F144+F145+F146+F147+F148</f>
        <v>0</v>
      </c>
      <c r="G140" s="73">
        <f t="shared" si="30"/>
        <v>3000</v>
      </c>
      <c r="H140" s="73">
        <f t="shared" si="30"/>
        <v>0</v>
      </c>
      <c r="I140" s="73">
        <f t="shared" si="30"/>
        <v>0</v>
      </c>
      <c r="J140" s="73">
        <f t="shared" si="30"/>
        <v>0</v>
      </c>
      <c r="K140" s="73">
        <f t="shared" si="30"/>
        <v>0</v>
      </c>
      <c r="L140" s="73">
        <f t="shared" si="30"/>
        <v>1037.8</v>
      </c>
      <c r="M140" s="73">
        <f t="shared" si="30"/>
        <v>0</v>
      </c>
      <c r="N140" s="73">
        <f t="shared" si="30"/>
        <v>0</v>
      </c>
      <c r="O140" s="73">
        <f t="shared" si="30"/>
        <v>0</v>
      </c>
      <c r="P140" s="73">
        <f t="shared" si="30"/>
        <v>0</v>
      </c>
      <c r="Q140" s="73">
        <f t="shared" si="30"/>
        <v>0</v>
      </c>
      <c r="R140" s="73">
        <f t="shared" si="30"/>
        <v>126814.05</v>
      </c>
      <c r="S140">
        <v>138</v>
      </c>
    </row>
    <row r="141" spans="2:19" x14ac:dyDescent="0.25">
      <c r="C141">
        <v>490</v>
      </c>
      <c r="D141" t="s">
        <v>129</v>
      </c>
      <c r="E141" s="4">
        <v>56740.5</v>
      </c>
      <c r="F141" s="4">
        <v>0</v>
      </c>
      <c r="G141" s="4">
        <v>0</v>
      </c>
      <c r="H141" s="4">
        <v>0</v>
      </c>
      <c r="I141" s="4">
        <v>0</v>
      </c>
      <c r="J141" s="4">
        <v>0</v>
      </c>
      <c r="K141" s="4">
        <v>0</v>
      </c>
      <c r="L141" s="4">
        <v>0</v>
      </c>
      <c r="M141" s="4"/>
      <c r="N141" s="4">
        <v>0</v>
      </c>
      <c r="O141" s="4">
        <v>0</v>
      </c>
      <c r="P141" s="4">
        <v>0</v>
      </c>
      <c r="Q141" s="4">
        <v>0</v>
      </c>
      <c r="R141" s="4">
        <f t="shared" ref="R141:R148" si="31">SUM(E141:Q141)</f>
        <v>56740.5</v>
      </c>
      <c r="S141">
        <v>139</v>
      </c>
    </row>
    <row r="142" spans="2:19" x14ac:dyDescent="0.25">
      <c r="C142">
        <v>491</v>
      </c>
      <c r="D142" t="s">
        <v>130</v>
      </c>
      <c r="E142" s="4">
        <v>65915.75</v>
      </c>
      <c r="F142" s="4">
        <v>0</v>
      </c>
      <c r="G142" s="4">
        <v>3000</v>
      </c>
      <c r="H142" s="4">
        <v>0</v>
      </c>
      <c r="I142" s="4">
        <v>0</v>
      </c>
      <c r="J142" s="4">
        <v>0</v>
      </c>
      <c r="K142" s="4">
        <v>0</v>
      </c>
      <c r="L142" s="4">
        <v>1037.8</v>
      </c>
      <c r="M142" s="4"/>
      <c r="N142" s="4">
        <v>0</v>
      </c>
      <c r="O142" s="4">
        <v>0</v>
      </c>
      <c r="P142" s="4">
        <v>0</v>
      </c>
      <c r="Q142" s="4">
        <v>0</v>
      </c>
      <c r="R142" s="4">
        <f t="shared" si="31"/>
        <v>69953.55</v>
      </c>
      <c r="S142">
        <v>140</v>
      </c>
    </row>
    <row r="143" spans="2:19" x14ac:dyDescent="0.25">
      <c r="C143">
        <v>492</v>
      </c>
      <c r="D143" t="s">
        <v>189</v>
      </c>
      <c r="E143" s="4">
        <v>120</v>
      </c>
      <c r="F143" s="4">
        <v>0</v>
      </c>
      <c r="G143" s="4">
        <v>0</v>
      </c>
      <c r="H143" s="4">
        <v>0</v>
      </c>
      <c r="I143" s="4">
        <v>0</v>
      </c>
      <c r="J143" s="4">
        <v>0</v>
      </c>
      <c r="K143" s="4">
        <v>0</v>
      </c>
      <c r="L143" s="4">
        <v>0</v>
      </c>
      <c r="M143" s="4"/>
      <c r="N143" s="4">
        <v>0</v>
      </c>
      <c r="O143" s="4">
        <v>0</v>
      </c>
      <c r="P143" s="4">
        <v>0</v>
      </c>
      <c r="Q143" s="4">
        <v>0</v>
      </c>
      <c r="R143" s="4">
        <f t="shared" si="31"/>
        <v>120</v>
      </c>
      <c r="S143">
        <v>141</v>
      </c>
    </row>
    <row r="144" spans="2:19" x14ac:dyDescent="0.25">
      <c r="C144">
        <v>493</v>
      </c>
      <c r="D144" t="s">
        <v>190</v>
      </c>
      <c r="E144" s="4">
        <v>0</v>
      </c>
      <c r="F144" s="4">
        <v>0</v>
      </c>
      <c r="G144" s="4">
        <v>0</v>
      </c>
      <c r="H144" s="4">
        <v>0</v>
      </c>
      <c r="I144" s="4">
        <v>0</v>
      </c>
      <c r="J144" s="4">
        <v>0</v>
      </c>
      <c r="K144" s="4">
        <v>0</v>
      </c>
      <c r="L144" s="4">
        <v>0</v>
      </c>
      <c r="M144" s="4"/>
      <c r="N144" s="4">
        <v>0</v>
      </c>
      <c r="O144" s="4">
        <v>0</v>
      </c>
      <c r="P144" s="4">
        <v>0</v>
      </c>
      <c r="Q144" s="4">
        <v>0</v>
      </c>
      <c r="R144" s="4">
        <f t="shared" si="31"/>
        <v>0</v>
      </c>
      <c r="S144">
        <v>142</v>
      </c>
    </row>
    <row r="145" spans="1:19" x14ac:dyDescent="0.25">
      <c r="C145">
        <v>494</v>
      </c>
      <c r="D145" t="s">
        <v>133</v>
      </c>
      <c r="E145" s="4">
        <v>0</v>
      </c>
      <c r="F145" s="4">
        <v>0</v>
      </c>
      <c r="G145" s="4">
        <v>0</v>
      </c>
      <c r="H145" s="4">
        <v>0</v>
      </c>
      <c r="I145" s="4">
        <v>0</v>
      </c>
      <c r="J145" s="4">
        <v>0</v>
      </c>
      <c r="K145" s="4">
        <v>0</v>
      </c>
      <c r="L145" s="4">
        <v>0</v>
      </c>
      <c r="M145" s="4"/>
      <c r="N145" s="4">
        <v>0</v>
      </c>
      <c r="O145" s="4">
        <v>0</v>
      </c>
      <c r="P145" s="4">
        <v>0</v>
      </c>
      <c r="Q145" s="4">
        <v>0</v>
      </c>
      <c r="R145" s="4">
        <f t="shared" si="31"/>
        <v>0</v>
      </c>
      <c r="S145">
        <v>143</v>
      </c>
    </row>
    <row r="146" spans="1:19" x14ac:dyDescent="0.25">
      <c r="C146">
        <v>495</v>
      </c>
      <c r="D146" t="s">
        <v>191</v>
      </c>
      <c r="E146" s="4">
        <v>0</v>
      </c>
      <c r="F146" s="4">
        <v>0</v>
      </c>
      <c r="G146" s="4">
        <v>0</v>
      </c>
      <c r="H146" s="4">
        <v>0</v>
      </c>
      <c r="I146" s="4">
        <v>0</v>
      </c>
      <c r="J146" s="4">
        <v>0</v>
      </c>
      <c r="K146" s="4">
        <v>0</v>
      </c>
      <c r="L146" s="4">
        <v>0</v>
      </c>
      <c r="M146" s="4"/>
      <c r="N146" s="4">
        <v>0</v>
      </c>
      <c r="O146" s="4">
        <v>0</v>
      </c>
      <c r="P146" s="4">
        <v>0</v>
      </c>
      <c r="Q146" s="4">
        <v>0</v>
      </c>
      <c r="R146" s="4">
        <f t="shared" si="31"/>
        <v>0</v>
      </c>
      <c r="S146">
        <v>144</v>
      </c>
    </row>
    <row r="147" spans="1:19" x14ac:dyDescent="0.25">
      <c r="C147">
        <v>498</v>
      </c>
      <c r="D147" t="s">
        <v>192</v>
      </c>
      <c r="E147" s="4">
        <v>0</v>
      </c>
      <c r="F147" s="4">
        <v>0</v>
      </c>
      <c r="G147" s="4">
        <v>0</v>
      </c>
      <c r="H147" s="4">
        <v>0</v>
      </c>
      <c r="I147" s="4">
        <v>0</v>
      </c>
      <c r="J147" s="4">
        <v>0</v>
      </c>
      <c r="K147" s="4">
        <v>0</v>
      </c>
      <c r="L147" s="4">
        <v>0</v>
      </c>
      <c r="M147" s="4"/>
      <c r="N147" s="4">
        <v>0</v>
      </c>
      <c r="O147" s="4">
        <v>0</v>
      </c>
      <c r="P147" s="4">
        <v>0</v>
      </c>
      <c r="Q147" s="4">
        <v>0</v>
      </c>
      <c r="R147" s="4">
        <f t="shared" si="31"/>
        <v>0</v>
      </c>
      <c r="S147">
        <v>145</v>
      </c>
    </row>
    <row r="148" spans="1:19" x14ac:dyDescent="0.25">
      <c r="C148">
        <v>499</v>
      </c>
      <c r="D148" t="s">
        <v>136</v>
      </c>
      <c r="E148" s="4">
        <v>0</v>
      </c>
      <c r="F148" s="4">
        <v>0</v>
      </c>
      <c r="G148" s="4">
        <v>0</v>
      </c>
      <c r="H148" s="4">
        <v>0</v>
      </c>
      <c r="I148" s="4">
        <v>0</v>
      </c>
      <c r="J148" s="4">
        <v>0</v>
      </c>
      <c r="K148" s="4">
        <v>0</v>
      </c>
      <c r="L148" s="4">
        <v>0</v>
      </c>
      <c r="M148" s="4"/>
      <c r="N148" s="4">
        <v>0</v>
      </c>
      <c r="O148" s="4">
        <v>0</v>
      </c>
      <c r="P148" s="4">
        <v>0</v>
      </c>
      <c r="Q148" s="4">
        <v>0</v>
      </c>
      <c r="R148" s="4">
        <f t="shared" si="31"/>
        <v>0</v>
      </c>
      <c r="S148">
        <v>146</v>
      </c>
    </row>
    <row r="149" spans="1:19" x14ac:dyDescent="0.25">
      <c r="E149" s="4"/>
      <c r="F149" s="4"/>
      <c r="G149" s="4"/>
      <c r="H149" s="4"/>
      <c r="I149" s="4"/>
      <c r="J149" s="4"/>
      <c r="K149" s="4"/>
      <c r="L149" s="4"/>
      <c r="M149" s="4"/>
      <c r="N149" s="4"/>
      <c r="O149" s="4"/>
      <c r="P149" s="4"/>
      <c r="Q149" s="4"/>
      <c r="R149" s="4"/>
      <c r="S149">
        <v>147</v>
      </c>
    </row>
    <row r="150" spans="1:19" x14ac:dyDescent="0.25">
      <c r="E150" s="4"/>
      <c r="F150" s="4"/>
      <c r="G150" s="4"/>
      <c r="H150" s="4"/>
      <c r="I150" s="4"/>
      <c r="J150" s="4"/>
      <c r="K150" s="4"/>
      <c r="L150" s="4"/>
      <c r="M150" s="4"/>
      <c r="N150" s="4"/>
      <c r="O150" s="4"/>
      <c r="P150" s="4"/>
      <c r="Q150" s="4"/>
      <c r="R150" s="4"/>
      <c r="S150">
        <v>148</v>
      </c>
    </row>
    <row r="151" spans="1:19" x14ac:dyDescent="0.25">
      <c r="E151" s="4"/>
      <c r="F151" s="4"/>
      <c r="G151" s="4"/>
      <c r="H151" s="4"/>
      <c r="I151" s="4"/>
      <c r="J151" s="4"/>
      <c r="K151" s="4"/>
      <c r="L151" s="4"/>
      <c r="M151" s="4"/>
      <c r="N151" s="4"/>
      <c r="O151" s="4"/>
      <c r="P151" s="4"/>
      <c r="Q151" s="4"/>
      <c r="R151" s="4"/>
      <c r="S151">
        <v>149</v>
      </c>
    </row>
    <row r="152" spans="1:19" x14ac:dyDescent="0.25">
      <c r="A152" s="88">
        <v>9</v>
      </c>
      <c r="B152" s="88"/>
      <c r="C152" s="88"/>
      <c r="D152" s="88" t="s">
        <v>194</v>
      </c>
      <c r="E152" s="89"/>
      <c r="F152" s="89"/>
      <c r="G152" s="89"/>
      <c r="H152" s="89"/>
      <c r="I152" s="89"/>
      <c r="J152" s="89"/>
      <c r="K152" s="89"/>
      <c r="L152" s="89"/>
      <c r="M152" s="89"/>
      <c r="N152" s="89"/>
      <c r="O152" s="89"/>
      <c r="P152" s="89"/>
      <c r="Q152" s="89"/>
      <c r="R152" s="89"/>
      <c r="S152">
        <v>150</v>
      </c>
    </row>
    <row r="153" spans="1:19" x14ac:dyDescent="0.25">
      <c r="A153" s="88"/>
      <c r="B153" s="88">
        <v>90</v>
      </c>
      <c r="C153" s="88"/>
      <c r="D153" s="88" t="s">
        <v>195</v>
      </c>
      <c r="E153" s="90">
        <f>E154+E155</f>
        <v>116423.55</v>
      </c>
      <c r="F153" s="90">
        <f t="shared" ref="F153:R153" si="32">F154+F155</f>
        <v>627.9</v>
      </c>
      <c r="G153" s="90">
        <f t="shared" si="32"/>
        <v>8925.39</v>
      </c>
      <c r="H153" s="90">
        <f t="shared" si="32"/>
        <v>14766.5</v>
      </c>
      <c r="I153" s="90">
        <f t="shared" si="32"/>
        <v>-10852.1</v>
      </c>
      <c r="J153" s="90">
        <f t="shared" si="32"/>
        <v>-699.52</v>
      </c>
      <c r="K153" s="90">
        <f t="shared" si="32"/>
        <v>29885.15</v>
      </c>
      <c r="L153" s="90">
        <f t="shared" si="32"/>
        <v>1596.32</v>
      </c>
      <c r="M153" s="90">
        <f t="shared" si="32"/>
        <v>0</v>
      </c>
      <c r="N153" s="90">
        <f t="shared" si="32"/>
        <v>1012.91</v>
      </c>
      <c r="O153" s="90">
        <f t="shared" si="32"/>
        <v>2904.41</v>
      </c>
      <c r="P153" s="90">
        <f t="shared" si="32"/>
        <v>5845.23</v>
      </c>
      <c r="Q153" s="90">
        <f t="shared" si="32"/>
        <v>-8426.5400000000009</v>
      </c>
      <c r="R153" s="90">
        <f t="shared" si="32"/>
        <v>162009.20000000001</v>
      </c>
      <c r="S153">
        <v>151</v>
      </c>
    </row>
    <row r="154" spans="1:19" x14ac:dyDescent="0.25">
      <c r="C154">
        <v>900</v>
      </c>
      <c r="D154" t="s">
        <v>196</v>
      </c>
      <c r="E154" s="4">
        <v>116423.55</v>
      </c>
      <c r="F154" s="4">
        <v>627.9</v>
      </c>
      <c r="G154" s="4">
        <v>8925.39</v>
      </c>
      <c r="H154" s="4">
        <v>14766.5</v>
      </c>
      <c r="I154" s="4">
        <v>-10852.1</v>
      </c>
      <c r="J154" s="4">
        <v>-699.52</v>
      </c>
      <c r="K154" s="4">
        <v>29885.15</v>
      </c>
      <c r="L154" s="4">
        <v>1596.32</v>
      </c>
      <c r="M154" s="4"/>
      <c r="N154" s="4">
        <v>1012.91</v>
      </c>
      <c r="O154" s="4">
        <v>2904.41</v>
      </c>
      <c r="P154" s="4">
        <v>5845.23</v>
      </c>
      <c r="Q154" s="4">
        <v>-8426.5400000000009</v>
      </c>
      <c r="R154" s="4">
        <f>SUM(E154:Q154)</f>
        <v>162009.20000000001</v>
      </c>
      <c r="S154">
        <v>152</v>
      </c>
    </row>
    <row r="155" spans="1:19" x14ac:dyDescent="0.25">
      <c r="C155">
        <v>901</v>
      </c>
      <c r="D155" t="s">
        <v>197</v>
      </c>
      <c r="E155" s="4">
        <v>0</v>
      </c>
      <c r="F155" s="4">
        <v>0</v>
      </c>
      <c r="G155" s="4">
        <v>0</v>
      </c>
      <c r="H155" s="4">
        <v>0</v>
      </c>
      <c r="I155" s="4">
        <v>0</v>
      </c>
      <c r="J155" s="4">
        <v>0</v>
      </c>
      <c r="K155" s="4">
        <v>0</v>
      </c>
      <c r="L155" s="4">
        <v>0</v>
      </c>
      <c r="M155" s="4"/>
      <c r="N155" s="4">
        <v>0</v>
      </c>
      <c r="O155" s="4">
        <v>0</v>
      </c>
      <c r="P155" s="4">
        <v>0</v>
      </c>
      <c r="Q155" s="4">
        <v>0</v>
      </c>
      <c r="R155" s="4">
        <f>SUM(E155:Q155)</f>
        <v>0</v>
      </c>
      <c r="S155">
        <v>153</v>
      </c>
    </row>
    <row r="156" spans="1:19" x14ac:dyDescent="0.25">
      <c r="E156" s="4"/>
      <c r="F156" s="4"/>
      <c r="G156" s="4"/>
      <c r="H156" s="4"/>
      <c r="I156" s="4"/>
      <c r="J156" s="4"/>
      <c r="K156" s="4"/>
      <c r="L156" s="4"/>
      <c r="M156" s="4"/>
      <c r="N156" s="4"/>
      <c r="O156" s="4"/>
      <c r="P156" s="4"/>
      <c r="Q156" s="4"/>
      <c r="R156" s="4"/>
      <c r="S156">
        <v>154</v>
      </c>
    </row>
    <row r="157" spans="1:19" x14ac:dyDescent="0.25">
      <c r="D157" s="7" t="s">
        <v>198</v>
      </c>
      <c r="E157" s="31">
        <f>E154+E155</f>
        <v>116423.55</v>
      </c>
      <c r="F157" s="31">
        <f t="shared" ref="F157:R157" si="33">F154+F155</f>
        <v>627.9</v>
      </c>
      <c r="G157" s="31">
        <f t="shared" si="33"/>
        <v>8925.39</v>
      </c>
      <c r="H157" s="31">
        <f t="shared" si="33"/>
        <v>14766.5</v>
      </c>
      <c r="I157" s="31">
        <f t="shared" si="33"/>
        <v>-10852.1</v>
      </c>
      <c r="J157" s="31">
        <f t="shared" si="33"/>
        <v>-699.52</v>
      </c>
      <c r="K157" s="31">
        <f t="shared" si="33"/>
        <v>29885.15</v>
      </c>
      <c r="L157" s="31">
        <f t="shared" si="33"/>
        <v>1596.32</v>
      </c>
      <c r="M157" s="31">
        <f t="shared" si="33"/>
        <v>0</v>
      </c>
      <c r="N157" s="31">
        <f t="shared" si="33"/>
        <v>1012.91</v>
      </c>
      <c r="O157" s="31">
        <f t="shared" si="33"/>
        <v>2904.41</v>
      </c>
      <c r="P157" s="31">
        <f t="shared" si="33"/>
        <v>5845.23</v>
      </c>
      <c r="Q157" s="31">
        <f t="shared" si="33"/>
        <v>-8426.5400000000009</v>
      </c>
      <c r="R157" s="31">
        <f t="shared" si="33"/>
        <v>162009.20000000001</v>
      </c>
      <c r="S157">
        <v>155</v>
      </c>
    </row>
    <row r="158" spans="1:19" x14ac:dyDescent="0.25">
      <c r="E158" s="4"/>
      <c r="F158" s="4"/>
      <c r="G158" s="4"/>
      <c r="H158" s="4"/>
      <c r="I158" s="4"/>
      <c r="J158" s="4"/>
      <c r="K158" s="4"/>
      <c r="L158" s="4"/>
      <c r="M158" s="4"/>
      <c r="N158" s="4"/>
      <c r="O158" s="4"/>
      <c r="P158" s="4"/>
      <c r="Q158" s="4"/>
      <c r="R158" s="4"/>
      <c r="S158">
        <v>156</v>
      </c>
    </row>
    <row r="159" spans="1:19" x14ac:dyDescent="0.25">
      <c r="D159" s="38"/>
      <c r="E159" s="31">
        <f t="shared" ref="E159:R159" si="34">E75-E4</f>
        <v>116423.54999999993</v>
      </c>
      <c r="F159" s="31">
        <f t="shared" si="34"/>
        <v>627.89999999999418</v>
      </c>
      <c r="G159" s="31">
        <f t="shared" si="34"/>
        <v>8925.390000000014</v>
      </c>
      <c r="H159" s="31">
        <f t="shared" si="34"/>
        <v>14766.5</v>
      </c>
      <c r="I159" s="31">
        <f t="shared" si="34"/>
        <v>-10852.100000000035</v>
      </c>
      <c r="J159" s="31">
        <f t="shared" si="34"/>
        <v>-699.52000000001863</v>
      </c>
      <c r="K159" s="31">
        <f t="shared" si="34"/>
        <v>29885.150000000009</v>
      </c>
      <c r="L159" s="31">
        <f t="shared" si="34"/>
        <v>1596.3199999999779</v>
      </c>
      <c r="M159" s="31">
        <f t="shared" si="34"/>
        <v>0</v>
      </c>
      <c r="N159" s="31">
        <f t="shared" si="34"/>
        <v>1012.9099999999962</v>
      </c>
      <c r="O159" s="31">
        <f t="shared" si="34"/>
        <v>2904.4099999999744</v>
      </c>
      <c r="P159" s="31">
        <f t="shared" si="34"/>
        <v>5845.2300000000105</v>
      </c>
      <c r="Q159" s="31">
        <f t="shared" si="34"/>
        <v>-8426.5400000000373</v>
      </c>
      <c r="R159" s="31">
        <f t="shared" si="34"/>
        <v>162009.20000000065</v>
      </c>
      <c r="S159">
        <v>157</v>
      </c>
    </row>
    <row r="160" spans="1:19" x14ac:dyDescent="0.25">
      <c r="D160" s="38" t="s">
        <v>68</v>
      </c>
      <c r="E160" s="30">
        <f t="shared" ref="E160:R160" si="35">E157-E159</f>
        <v>0</v>
      </c>
      <c r="F160" s="30">
        <f t="shared" si="35"/>
        <v>5.7980287238024175E-12</v>
      </c>
      <c r="G160" s="30">
        <f t="shared" si="35"/>
        <v>-1.4551915228366852E-11</v>
      </c>
      <c r="H160" s="30">
        <f t="shared" si="35"/>
        <v>0</v>
      </c>
      <c r="I160" s="30">
        <f t="shared" si="35"/>
        <v>3.4560798667371273E-11</v>
      </c>
      <c r="J160" s="30">
        <f t="shared" si="35"/>
        <v>1.8644641386345029E-11</v>
      </c>
      <c r="K160" s="30">
        <f t="shared" si="35"/>
        <v>0</v>
      </c>
      <c r="L160" s="30">
        <f t="shared" si="35"/>
        <v>2.205524651799351E-11</v>
      </c>
      <c r="M160" s="30">
        <f t="shared" si="35"/>
        <v>0</v>
      </c>
      <c r="N160" s="30">
        <f t="shared" si="35"/>
        <v>3.751665644813329E-12</v>
      </c>
      <c r="O160" s="30">
        <f t="shared" si="35"/>
        <v>2.5465851649641991E-11</v>
      </c>
      <c r="P160" s="30">
        <f t="shared" si="35"/>
        <v>-1.0913936421275139E-11</v>
      </c>
      <c r="Q160" s="30">
        <f t="shared" si="35"/>
        <v>3.637978807091713E-11</v>
      </c>
      <c r="R160" s="30">
        <f t="shared" si="35"/>
        <v>-6.4028427004814148E-10</v>
      </c>
      <c r="S160">
        <v>158</v>
      </c>
    </row>
    <row r="161" spans="4:19" x14ac:dyDescent="0.25">
      <c r="M161" s="4"/>
      <c r="S161">
        <v>159</v>
      </c>
    </row>
    <row r="162" spans="4:19" x14ac:dyDescent="0.25">
      <c r="D162" s="38" t="s">
        <v>237</v>
      </c>
      <c r="E162" s="49">
        <f>E64-E140</f>
        <v>-20375.950000000012</v>
      </c>
      <c r="F162" s="49">
        <f t="shared" ref="F162:R162" si="36">F64-F140</f>
        <v>0</v>
      </c>
      <c r="G162" s="49">
        <f t="shared" si="36"/>
        <v>0</v>
      </c>
      <c r="H162" s="49">
        <f t="shared" si="36"/>
        <v>0</v>
      </c>
      <c r="I162" s="49">
        <f t="shared" si="36"/>
        <v>0</v>
      </c>
      <c r="J162" s="49">
        <f t="shared" si="36"/>
        <v>0</v>
      </c>
      <c r="K162" s="49">
        <f t="shared" si="36"/>
        <v>0</v>
      </c>
      <c r="L162" s="49">
        <f t="shared" si="36"/>
        <v>0</v>
      </c>
      <c r="M162" s="49">
        <f t="shared" si="36"/>
        <v>0</v>
      </c>
      <c r="N162" s="49">
        <f t="shared" si="36"/>
        <v>0</v>
      </c>
      <c r="O162" s="49">
        <f t="shared" si="36"/>
        <v>0</v>
      </c>
      <c r="P162" s="49">
        <f t="shared" si="36"/>
        <v>26866.2</v>
      </c>
      <c r="Q162" s="49">
        <f t="shared" si="36"/>
        <v>0</v>
      </c>
      <c r="R162" s="49">
        <f t="shared" si="36"/>
        <v>6490.2499999999854</v>
      </c>
      <c r="S162">
        <v>160</v>
      </c>
    </row>
    <row r="163" spans="4:19" x14ac:dyDescent="0.25">
      <c r="S163">
        <v>161</v>
      </c>
    </row>
    <row r="164" spans="4:19" x14ac:dyDescent="0.25">
      <c r="D164" t="s">
        <v>592</v>
      </c>
      <c r="E164" s="4">
        <f>E5+E15+E27+E39+E43+E53</f>
        <v>664275.99</v>
      </c>
      <c r="F164" s="4">
        <f t="shared" ref="F164:R164" si="37">F5+F15+F27+F39+F43+F53</f>
        <v>89409.55</v>
      </c>
      <c r="G164" s="4">
        <f t="shared" si="37"/>
        <v>81215.990000000005</v>
      </c>
      <c r="H164" s="4">
        <f t="shared" si="37"/>
        <v>39108.31</v>
      </c>
      <c r="I164" s="4">
        <f t="shared" si="37"/>
        <v>229471.02000000002</v>
      </c>
      <c r="J164" s="4">
        <f t="shared" si="37"/>
        <v>1205679.48</v>
      </c>
      <c r="K164" s="4">
        <f t="shared" si="37"/>
        <v>84040.95</v>
      </c>
      <c r="L164" s="4">
        <f t="shared" si="37"/>
        <v>166668.46000000002</v>
      </c>
      <c r="M164" s="4">
        <f t="shared" si="37"/>
        <v>0</v>
      </c>
      <c r="N164" s="4">
        <f t="shared" si="37"/>
        <v>28273.79</v>
      </c>
      <c r="O164" s="4">
        <f t="shared" si="37"/>
        <v>148481.49000000002</v>
      </c>
      <c r="P164" s="4">
        <f t="shared" si="37"/>
        <v>154254.49</v>
      </c>
      <c r="Q164" s="4">
        <f t="shared" si="37"/>
        <v>383378.39</v>
      </c>
      <c r="R164" s="4">
        <f t="shared" si="37"/>
        <v>3274257.9099999997</v>
      </c>
      <c r="S164">
        <v>162</v>
      </c>
    </row>
    <row r="165" spans="4:19" x14ac:dyDescent="0.25">
      <c r="D165" t="s">
        <v>593</v>
      </c>
      <c r="E165" s="4">
        <f>E76+E82+E88+E99+E117+E121+E128</f>
        <v>447702.08999999997</v>
      </c>
      <c r="F165" s="4">
        <f t="shared" ref="F165:R165" si="38">F76+F82+F88+F99+F117+F121+F128</f>
        <v>48207</v>
      </c>
      <c r="G165" s="4">
        <f t="shared" si="38"/>
        <v>64211.1</v>
      </c>
      <c r="H165" s="4">
        <f t="shared" si="38"/>
        <v>11970.6</v>
      </c>
      <c r="I165" s="4">
        <f t="shared" si="38"/>
        <v>157661.16999999998</v>
      </c>
      <c r="J165" s="4">
        <f t="shared" si="38"/>
        <v>512059.55000000005</v>
      </c>
      <c r="K165" s="4">
        <f t="shared" si="38"/>
        <v>93393.95</v>
      </c>
      <c r="L165" s="4">
        <f t="shared" si="38"/>
        <v>162328.98000000001</v>
      </c>
      <c r="M165" s="4">
        <f t="shared" si="38"/>
        <v>0</v>
      </c>
      <c r="N165" s="4">
        <f t="shared" si="38"/>
        <v>24919.399999999998</v>
      </c>
      <c r="O165" s="4">
        <f t="shared" si="38"/>
        <v>42460.55</v>
      </c>
      <c r="P165" s="4">
        <f t="shared" si="38"/>
        <v>106181.80000000002</v>
      </c>
      <c r="Q165" s="4">
        <f t="shared" si="38"/>
        <v>365124.44999999995</v>
      </c>
      <c r="R165" s="4">
        <f t="shared" si="38"/>
        <v>2036220.64</v>
      </c>
      <c r="S165">
        <v>163</v>
      </c>
    </row>
    <row r="167" spans="4:19" x14ac:dyDescent="0.25">
      <c r="L167" s="4"/>
    </row>
  </sheetData>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F0"/>
  </sheetPr>
  <dimension ref="A2:E161"/>
  <sheetViews>
    <sheetView workbookViewId="0">
      <selection activeCell="D5" sqref="D5"/>
    </sheetView>
  </sheetViews>
  <sheetFormatPr baseColWidth="10" defaultColWidth="11.42578125" defaultRowHeight="15" x14ac:dyDescent="0.25"/>
  <cols>
    <col min="1" max="2" width="5.7109375" customWidth="1"/>
    <col min="3" max="3" width="9" customWidth="1"/>
    <col min="4" max="4" width="63.5703125" customWidth="1"/>
    <col min="5" max="5" width="23" customWidth="1"/>
  </cols>
  <sheetData>
    <row r="2" spans="1:5" ht="26.25" x14ac:dyDescent="0.4">
      <c r="A2" s="32" t="s">
        <v>837</v>
      </c>
      <c r="B2" s="7"/>
      <c r="C2" s="7"/>
      <c r="D2" s="7"/>
    </row>
    <row r="4" spans="1:5" ht="15.75" thickBot="1" x14ac:dyDescent="0.3"/>
    <row r="5" spans="1:5" ht="15.75" thickBot="1" x14ac:dyDescent="0.3">
      <c r="A5" t="s">
        <v>749</v>
      </c>
      <c r="D5" s="142" t="s">
        <v>28</v>
      </c>
    </row>
    <row r="7" spans="1:5" x14ac:dyDescent="0.25">
      <c r="E7" s="53" t="s">
        <v>202</v>
      </c>
    </row>
    <row r="8" spans="1:5" ht="21" x14ac:dyDescent="0.35">
      <c r="A8" s="74">
        <v>3</v>
      </c>
      <c r="B8" s="74"/>
      <c r="C8" s="74"/>
      <c r="D8" s="74" t="s">
        <v>60</v>
      </c>
      <c r="E8" s="139">
        <f>HLOOKUP($D$5,'Bourgeoisies Comptes 2021'!$E$3:$R$165,2,0)</f>
        <v>1673386.83</v>
      </c>
    </row>
    <row r="9" spans="1:5" x14ac:dyDescent="0.25">
      <c r="A9" s="76"/>
      <c r="B9" s="76">
        <v>30</v>
      </c>
      <c r="C9" s="76"/>
      <c r="D9" s="76" t="s">
        <v>61</v>
      </c>
      <c r="E9" s="77">
        <f>HLOOKUP($D$5,'Bourgeoisies Comptes 2021'!$E$3:$R$165,3,0)</f>
        <v>384564.65</v>
      </c>
    </row>
    <row r="10" spans="1:5" x14ac:dyDescent="0.25">
      <c r="C10">
        <v>300</v>
      </c>
      <c r="D10" t="s">
        <v>80</v>
      </c>
      <c r="E10" s="4">
        <f>HLOOKUP($D$5,'Bourgeoisies Comptes 2021'!$E$3:$R$165,4,0)</f>
        <v>54744.65</v>
      </c>
    </row>
    <row r="11" spans="1:5" x14ac:dyDescent="0.25">
      <c r="C11">
        <v>301</v>
      </c>
      <c r="D11" t="s">
        <v>81</v>
      </c>
      <c r="E11" s="4">
        <f>HLOOKUP($D$5,'Bourgeoisies Comptes 2021'!$E$3:$R$165,5,0)</f>
        <v>225542.7</v>
      </c>
    </row>
    <row r="12" spans="1:5" x14ac:dyDescent="0.25">
      <c r="C12">
        <v>302</v>
      </c>
      <c r="D12" t="s">
        <v>82</v>
      </c>
      <c r="E12" s="4">
        <f>HLOOKUP($D$5,'Bourgeoisies Comptes 2021'!$E$3:$R$165,6,0)</f>
        <v>0</v>
      </c>
    </row>
    <row r="13" spans="1:5" x14ac:dyDescent="0.25">
      <c r="C13">
        <v>303</v>
      </c>
      <c r="D13" t="s">
        <v>83</v>
      </c>
      <c r="E13" s="4">
        <f>HLOOKUP($D$5,'Bourgeoisies Comptes 2021'!$E$3:$R$165,7,0)</f>
        <v>0</v>
      </c>
    </row>
    <row r="14" spans="1:5" x14ac:dyDescent="0.25">
      <c r="C14">
        <v>304</v>
      </c>
      <c r="D14" t="s">
        <v>583</v>
      </c>
      <c r="E14" s="4">
        <f>HLOOKUP($D$5,'Bourgeoisies Comptes 2021'!$E$3:$R$165,8,0)</f>
        <v>7275.6</v>
      </c>
    </row>
    <row r="15" spans="1:5" x14ac:dyDescent="0.25">
      <c r="C15">
        <v>305</v>
      </c>
      <c r="D15" t="s">
        <v>84</v>
      </c>
      <c r="E15" s="4">
        <f>HLOOKUP($D$5,'Bourgeoisies Comptes 2021'!$E$3:$R$165,9,0)</f>
        <v>75228.100000000006</v>
      </c>
    </row>
    <row r="16" spans="1:5" x14ac:dyDescent="0.25">
      <c r="C16">
        <v>306</v>
      </c>
      <c r="D16" t="s">
        <v>85</v>
      </c>
      <c r="E16" s="4">
        <f>HLOOKUP($D$5,'Bourgeoisies Comptes 2021'!$E$3:$R$165,10,0)</f>
        <v>0</v>
      </c>
    </row>
    <row r="17" spans="2:5" x14ac:dyDescent="0.25">
      <c r="C17">
        <v>309</v>
      </c>
      <c r="D17" t="s">
        <v>86</v>
      </c>
      <c r="E17" s="4">
        <f>HLOOKUP($D$5,'Bourgeoisies Comptes 2021'!$E$3:$R$165,11,0)</f>
        <v>21773.599999999999</v>
      </c>
    </row>
    <row r="18" spans="2:5" x14ac:dyDescent="0.25">
      <c r="E18" s="4"/>
    </row>
    <row r="19" spans="2:5" x14ac:dyDescent="0.25">
      <c r="B19" s="76">
        <v>31</v>
      </c>
      <c r="C19" s="76"/>
      <c r="D19" s="76" t="s">
        <v>87</v>
      </c>
      <c r="E19" s="77">
        <f>SUM(E20:E29)</f>
        <v>492061.65</v>
      </c>
    </row>
    <row r="20" spans="2:5" x14ac:dyDescent="0.25">
      <c r="C20">
        <v>310</v>
      </c>
      <c r="D20" t="s">
        <v>88</v>
      </c>
      <c r="E20" s="4">
        <f>HLOOKUP($D$5,'Bourgeoisies Comptes 2021'!$E$3:$R$165,14,0)</f>
        <v>7535.05</v>
      </c>
    </row>
    <row r="21" spans="2:5" x14ac:dyDescent="0.25">
      <c r="C21">
        <v>311</v>
      </c>
      <c r="D21" t="s">
        <v>452</v>
      </c>
      <c r="E21" s="4">
        <f>HLOOKUP($D$5,'Bourgeoisies Comptes 2021'!$E$3:$R$165,15,0)</f>
        <v>17109.400000000001</v>
      </c>
    </row>
    <row r="22" spans="2:5" x14ac:dyDescent="0.25">
      <c r="C22">
        <v>312</v>
      </c>
      <c r="D22" t="s">
        <v>90</v>
      </c>
      <c r="E22" s="4">
        <f>HLOOKUP($D$5,'Bourgeoisies Comptes 2021'!$E$3:$R$165,16,0)</f>
        <v>137462.45000000001</v>
      </c>
    </row>
    <row r="23" spans="2:5" x14ac:dyDescent="0.25">
      <c r="C23">
        <v>313</v>
      </c>
      <c r="D23" t="s">
        <v>91</v>
      </c>
      <c r="E23" s="4">
        <f>HLOOKUP($D$5,'Bourgeoisies Comptes 2021'!$E$3:$R$165,17,0)</f>
        <v>174482.3</v>
      </c>
    </row>
    <row r="24" spans="2:5" x14ac:dyDescent="0.25">
      <c r="C24">
        <v>314</v>
      </c>
      <c r="D24" t="s">
        <v>92</v>
      </c>
      <c r="E24" s="4">
        <f>HLOOKUP($D$5,'Bourgeoisies Comptes 2021'!$E$3:$R$165,18,0)</f>
        <v>151932.04999999999</v>
      </c>
    </row>
    <row r="25" spans="2:5" x14ac:dyDescent="0.25">
      <c r="C25">
        <v>315</v>
      </c>
      <c r="D25" t="s">
        <v>93</v>
      </c>
      <c r="E25" s="4">
        <f>HLOOKUP($D$5,'Bourgeoisies Comptes 2021'!$E$3:$R$165,19,0)</f>
        <v>0</v>
      </c>
    </row>
    <row r="26" spans="2:5" x14ac:dyDescent="0.25">
      <c r="C26">
        <v>316</v>
      </c>
      <c r="D26" t="s">
        <v>94</v>
      </c>
      <c r="E26" s="4">
        <f>HLOOKUP($D$5,'Bourgeoisies Comptes 2021'!$E$3:$R$165,20,0)</f>
        <v>0</v>
      </c>
    </row>
    <row r="27" spans="2:5" x14ac:dyDescent="0.25">
      <c r="C27">
        <v>317</v>
      </c>
      <c r="D27" t="s">
        <v>95</v>
      </c>
      <c r="E27" s="4">
        <f>HLOOKUP($D$5,'Bourgeoisies Comptes 2021'!$E$3:$R$165,21,0)</f>
        <v>3540.4</v>
      </c>
    </row>
    <row r="28" spans="2:5" x14ac:dyDescent="0.25">
      <c r="C28">
        <v>318</v>
      </c>
      <c r="D28" t="s">
        <v>96</v>
      </c>
      <c r="E28" s="4">
        <f>HLOOKUP($D$5,'Bourgeoisies Comptes 2021'!$E$3:$R$165,22,0)</f>
        <v>0</v>
      </c>
    </row>
    <row r="29" spans="2:5" x14ac:dyDescent="0.25">
      <c r="C29">
        <v>319</v>
      </c>
      <c r="D29" t="s">
        <v>97</v>
      </c>
      <c r="E29" s="4">
        <f>HLOOKUP($D$5,'Bourgeoisies Comptes 2021'!$E$3:$R$165,23,0)</f>
        <v>0</v>
      </c>
    </row>
    <row r="30" spans="2:5" x14ac:dyDescent="0.25">
      <c r="E30" s="4"/>
    </row>
    <row r="31" spans="2:5" x14ac:dyDescent="0.25">
      <c r="B31" s="76">
        <v>33</v>
      </c>
      <c r="C31" s="76"/>
      <c r="D31" s="76" t="s">
        <v>98</v>
      </c>
      <c r="E31" s="77">
        <f>SUM(E32:E33)</f>
        <v>41330</v>
      </c>
    </row>
    <row r="32" spans="2:5" x14ac:dyDescent="0.25">
      <c r="C32">
        <v>330</v>
      </c>
      <c r="D32" t="s">
        <v>100</v>
      </c>
      <c r="E32" s="4">
        <f>HLOOKUP($D$5,'Bourgeoisies Comptes 2021'!$E$3:$R$165,26,0)</f>
        <v>41330</v>
      </c>
    </row>
    <row r="33" spans="2:5" x14ac:dyDescent="0.25">
      <c r="C33">
        <v>332</v>
      </c>
      <c r="D33" t="s">
        <v>99</v>
      </c>
      <c r="E33" s="4">
        <f>HLOOKUP($D$5,'Bourgeoisies Comptes 2021'!$E$3:$R$165,27,0)</f>
        <v>0</v>
      </c>
    </row>
    <row r="34" spans="2:5" x14ac:dyDescent="0.25">
      <c r="E34" s="4"/>
    </row>
    <row r="35" spans="2:5" x14ac:dyDescent="0.25">
      <c r="B35" s="76">
        <v>34</v>
      </c>
      <c r="C35" s="76"/>
      <c r="D35" s="76" t="s">
        <v>101</v>
      </c>
      <c r="E35" s="77">
        <f>SUM(E36:E41)</f>
        <v>117707.35</v>
      </c>
    </row>
    <row r="36" spans="2:5" x14ac:dyDescent="0.25">
      <c r="C36">
        <v>340</v>
      </c>
      <c r="D36" t="s">
        <v>102</v>
      </c>
      <c r="E36" s="4">
        <f>HLOOKUP($D$5,'Bourgeoisies Comptes 2021'!$E$3:$R$165,30,0)</f>
        <v>24349.1</v>
      </c>
    </row>
    <row r="37" spans="2:5" x14ac:dyDescent="0.25">
      <c r="C37">
        <v>341</v>
      </c>
      <c r="D37" t="s">
        <v>103</v>
      </c>
      <c r="E37" s="4">
        <f>HLOOKUP($D$5,'Bourgeoisies Comptes 2021'!$E$3:$R$165,31,0)</f>
        <v>0</v>
      </c>
    </row>
    <row r="38" spans="2:5" x14ac:dyDescent="0.25">
      <c r="C38">
        <v>342</v>
      </c>
      <c r="D38" t="s">
        <v>104</v>
      </c>
      <c r="E38" s="4">
        <f>HLOOKUP($D$5,'Bourgeoisies Comptes 2021'!$E$3:$R$165,32,0)</f>
        <v>0</v>
      </c>
    </row>
    <row r="39" spans="2:5" x14ac:dyDescent="0.25">
      <c r="C39">
        <v>343</v>
      </c>
      <c r="D39" t="s">
        <v>105</v>
      </c>
      <c r="E39" s="4">
        <f>HLOOKUP($D$5,'Bourgeoisies Comptes 2021'!$E$3:$R$165,33,0)</f>
        <v>90648.6</v>
      </c>
    </row>
    <row r="40" spans="2:5" x14ac:dyDescent="0.25">
      <c r="C40">
        <v>344</v>
      </c>
      <c r="D40" t="s">
        <v>106</v>
      </c>
      <c r="E40" s="4">
        <f>HLOOKUP($D$5,'Bourgeoisies Comptes 2021'!$E$3:$R$165,34,0)</f>
        <v>0</v>
      </c>
    </row>
    <row r="41" spans="2:5" x14ac:dyDescent="0.25">
      <c r="C41">
        <v>349</v>
      </c>
      <c r="D41" t="s">
        <v>107</v>
      </c>
      <c r="E41" s="4">
        <f>HLOOKUP($D$5,'Bourgeoisies Comptes 2021'!$E$3:$R$165,35,0)</f>
        <v>2709.65</v>
      </c>
    </row>
    <row r="42" spans="2:5" x14ac:dyDescent="0.25">
      <c r="E42" s="4"/>
    </row>
    <row r="43" spans="2:5" x14ac:dyDescent="0.25">
      <c r="B43" s="76">
        <v>35</v>
      </c>
      <c r="C43" s="76"/>
      <c r="D43" s="76" t="s">
        <v>109</v>
      </c>
      <c r="E43" s="77">
        <f>SUM(E44:E45)</f>
        <v>234871.18</v>
      </c>
    </row>
    <row r="44" spans="2:5" x14ac:dyDescent="0.25">
      <c r="C44">
        <v>350</v>
      </c>
      <c r="D44" t="s">
        <v>109</v>
      </c>
      <c r="E44" s="4">
        <f>HLOOKUP($D$5,'Bourgeoisies Comptes 2021'!$E$3:$R$165,38,0)</f>
        <v>0</v>
      </c>
    </row>
    <row r="45" spans="2:5" x14ac:dyDescent="0.25">
      <c r="C45">
        <v>351</v>
      </c>
      <c r="D45" t="s">
        <v>108</v>
      </c>
      <c r="E45" s="4">
        <f>HLOOKUP($D$5,'Bourgeoisies Comptes 2021'!$E$3:$R$165,39,0)</f>
        <v>234871.18</v>
      </c>
    </row>
    <row r="46" spans="2:5" x14ac:dyDescent="0.25">
      <c r="E46" s="4"/>
    </row>
    <row r="47" spans="2:5" x14ac:dyDescent="0.25">
      <c r="B47" s="76">
        <v>36</v>
      </c>
      <c r="C47" s="76"/>
      <c r="D47" s="76" t="s">
        <v>110</v>
      </c>
      <c r="E47" s="77">
        <f>SUM(E48:E55)</f>
        <v>52852</v>
      </c>
    </row>
    <row r="48" spans="2:5" x14ac:dyDescent="0.25">
      <c r="C48">
        <v>360</v>
      </c>
      <c r="D48" t="s">
        <v>111</v>
      </c>
      <c r="E48" s="4">
        <f>HLOOKUP($D$5,'Bourgeoisies Comptes 2021'!$E$3:$R$165,42,0)</f>
        <v>2000</v>
      </c>
    </row>
    <row r="49" spans="2:5" x14ac:dyDescent="0.25">
      <c r="C49">
        <v>361</v>
      </c>
      <c r="D49" t="s">
        <v>112</v>
      </c>
      <c r="E49" s="4">
        <f>HLOOKUP($D$5,'Bourgeoisies Comptes 2021'!$E$3:$R$165,43,0)</f>
        <v>0</v>
      </c>
    </row>
    <row r="50" spans="2:5" x14ac:dyDescent="0.25">
      <c r="C50">
        <v>362</v>
      </c>
      <c r="D50" t="s">
        <v>113</v>
      </c>
      <c r="E50" s="4">
        <f>HLOOKUP($D$5,'Bourgeoisies Comptes 2021'!$E$3:$R$165,44,0)</f>
        <v>0</v>
      </c>
    </row>
    <row r="51" spans="2:5" x14ac:dyDescent="0.25">
      <c r="C51">
        <v>363</v>
      </c>
      <c r="D51" t="s">
        <v>114</v>
      </c>
      <c r="E51" s="4">
        <f>HLOOKUP($D$5,'Bourgeoisies Comptes 2021'!$E$3:$R$165,45,0)</f>
        <v>50852</v>
      </c>
    </row>
    <row r="52" spans="2:5" x14ac:dyDescent="0.25">
      <c r="C52">
        <v>364</v>
      </c>
      <c r="D52" t="s">
        <v>115</v>
      </c>
      <c r="E52" s="4">
        <f>HLOOKUP($D$5,'Bourgeoisies Comptes 2021'!$E$3:$R$165,46,0)</f>
        <v>0</v>
      </c>
    </row>
    <row r="53" spans="2:5" x14ac:dyDescent="0.25">
      <c r="C53">
        <v>365</v>
      </c>
      <c r="D53" t="s">
        <v>116</v>
      </c>
      <c r="E53" s="4">
        <f>HLOOKUP($D$5,'Bourgeoisies Comptes 2021'!$E$3:$R$165,47,0)</f>
        <v>0</v>
      </c>
    </row>
    <row r="54" spans="2:5" x14ac:dyDescent="0.25">
      <c r="C54">
        <v>366</v>
      </c>
      <c r="D54" t="s">
        <v>117</v>
      </c>
      <c r="E54" s="4">
        <f>HLOOKUP($D$5,'Bourgeoisies Comptes 2021'!$E$3:$R$165,48,0)</f>
        <v>0</v>
      </c>
    </row>
    <row r="55" spans="2:5" x14ac:dyDescent="0.25">
      <c r="C55">
        <v>369</v>
      </c>
      <c r="D55" t="s">
        <v>118</v>
      </c>
      <c r="E55" s="4">
        <f>HLOOKUP($D$5,'Bourgeoisies Comptes 2021'!$E$3:$R$165,49,0)</f>
        <v>0</v>
      </c>
    </row>
    <row r="56" spans="2:5" x14ac:dyDescent="0.25">
      <c r="E56" s="4"/>
    </row>
    <row r="57" spans="2:5" x14ac:dyDescent="0.25">
      <c r="B57" s="76">
        <v>37</v>
      </c>
      <c r="C57" s="76"/>
      <c r="D57" s="76" t="s">
        <v>119</v>
      </c>
      <c r="E57" s="77">
        <f>SUM(E58)</f>
        <v>0</v>
      </c>
    </row>
    <row r="58" spans="2:5" x14ac:dyDescent="0.25">
      <c r="C58">
        <v>370</v>
      </c>
      <c r="D58" t="s">
        <v>120</v>
      </c>
      <c r="E58" s="4">
        <f>HLOOKUP($D$5,'Bourgeoisies Comptes 2021'!$E$3:$R$165,52,0)</f>
        <v>0</v>
      </c>
    </row>
    <row r="59" spans="2:5" x14ac:dyDescent="0.25">
      <c r="E59" s="4"/>
    </row>
    <row r="60" spans="2:5" x14ac:dyDescent="0.25">
      <c r="B60" s="76">
        <v>38</v>
      </c>
      <c r="C60" s="76"/>
      <c r="D60" s="76" t="s">
        <v>121</v>
      </c>
      <c r="E60" s="77">
        <f>SUM(E61:E66)</f>
        <v>350000</v>
      </c>
    </row>
    <row r="61" spans="2:5" x14ac:dyDescent="0.25">
      <c r="C61">
        <v>380</v>
      </c>
      <c r="D61" t="s">
        <v>122</v>
      </c>
      <c r="E61" s="4">
        <f>HLOOKUP($D$5,'Bourgeoisies Comptes 2021'!$E$3:$R$165,55,0)</f>
        <v>0</v>
      </c>
    </row>
    <row r="62" spans="2:5" x14ac:dyDescent="0.25">
      <c r="C62">
        <v>381</v>
      </c>
      <c r="D62" t="s">
        <v>123</v>
      </c>
      <c r="E62" s="4">
        <f>HLOOKUP($D$5,'Bourgeoisies Comptes 2021'!$E$3:$R$165,56,0)</f>
        <v>0</v>
      </c>
    </row>
    <row r="63" spans="2:5" x14ac:dyDescent="0.25">
      <c r="C63">
        <v>384</v>
      </c>
      <c r="D63" t="s">
        <v>124</v>
      </c>
      <c r="E63" s="4">
        <f>HLOOKUP($D$5,'Bourgeoisies Comptes 2021'!$E$3:$R$165,57,0)</f>
        <v>0</v>
      </c>
    </row>
    <row r="64" spans="2:5" x14ac:dyDescent="0.25">
      <c r="C64">
        <v>385</v>
      </c>
      <c r="D64" t="s">
        <v>125</v>
      </c>
      <c r="E64" s="4">
        <f>HLOOKUP($D$5,'Bourgeoisies Comptes 2021'!$E$3:$R$165,58,0)</f>
        <v>0</v>
      </c>
    </row>
    <row r="65" spans="1:5" x14ac:dyDescent="0.25">
      <c r="C65">
        <v>386</v>
      </c>
      <c r="D65" t="s">
        <v>126</v>
      </c>
      <c r="E65" s="4">
        <f>HLOOKUP($D$5,'Bourgeoisies Comptes 2021'!$E$3:$R$165,59,0)</f>
        <v>0</v>
      </c>
    </row>
    <row r="66" spans="1:5" x14ac:dyDescent="0.25">
      <c r="C66">
        <v>389</v>
      </c>
      <c r="D66" t="s">
        <v>290</v>
      </c>
      <c r="E66" s="4">
        <f>HLOOKUP($D$5,'Bourgeoisies Comptes 2021'!$E$3:$R$165,60,0)</f>
        <v>350000</v>
      </c>
    </row>
    <row r="67" spans="1:5" x14ac:dyDescent="0.25">
      <c r="E67" s="4"/>
    </row>
    <row r="68" spans="1:5" x14ac:dyDescent="0.25">
      <c r="B68" s="76">
        <v>39</v>
      </c>
      <c r="C68" s="76"/>
      <c r="D68" s="76" t="s">
        <v>128</v>
      </c>
      <c r="E68" s="77">
        <f>SUM(E69:E76)</f>
        <v>0</v>
      </c>
    </row>
    <row r="69" spans="1:5" x14ac:dyDescent="0.25">
      <c r="C69">
        <v>390</v>
      </c>
      <c r="D69" t="s">
        <v>129</v>
      </c>
      <c r="E69" s="4">
        <f>HLOOKUP($D$5,'Bourgeoisies Comptes 2021'!$E$3:$R$165,63,0)</f>
        <v>0</v>
      </c>
    </row>
    <row r="70" spans="1:5" x14ac:dyDescent="0.25">
      <c r="C70">
        <v>391</v>
      </c>
      <c r="D70" t="s">
        <v>130</v>
      </c>
      <c r="E70" s="4">
        <f>HLOOKUP($D$5,'Bourgeoisies Comptes 2021'!$E$3:$R$165,64,0)</f>
        <v>0</v>
      </c>
    </row>
    <row r="71" spans="1:5" x14ac:dyDescent="0.25">
      <c r="C71">
        <v>392</v>
      </c>
      <c r="D71" t="s">
        <v>131</v>
      </c>
      <c r="E71" s="4">
        <f>HLOOKUP($D$5,'Bourgeoisies Comptes 2021'!$E$3:$R$165,65,0)</f>
        <v>0</v>
      </c>
    </row>
    <row r="72" spans="1:5" x14ac:dyDescent="0.25">
      <c r="C72">
        <v>393</v>
      </c>
      <c r="D72" t="s">
        <v>132</v>
      </c>
      <c r="E72" s="4">
        <f>HLOOKUP($D$5,'Bourgeoisies Comptes 2021'!$E$3:$R$165,66,0)</f>
        <v>0</v>
      </c>
    </row>
    <row r="73" spans="1:5" x14ac:dyDescent="0.25">
      <c r="C73">
        <v>394</v>
      </c>
      <c r="D73" t="s">
        <v>133</v>
      </c>
      <c r="E73" s="4">
        <f>HLOOKUP($D$5,'Bourgeoisies Comptes 2021'!$E$3:$R$165,67,0)</f>
        <v>0</v>
      </c>
    </row>
    <row r="74" spans="1:5" x14ac:dyDescent="0.25">
      <c r="C74">
        <v>395</v>
      </c>
      <c r="D74" t="s">
        <v>134</v>
      </c>
      <c r="E74" s="4">
        <f>HLOOKUP($D$5,'Bourgeoisies Comptes 2021'!$E$3:$R$165,68,0)</f>
        <v>0</v>
      </c>
    </row>
    <row r="75" spans="1:5" x14ac:dyDescent="0.25">
      <c r="C75">
        <v>398</v>
      </c>
      <c r="D75" t="s">
        <v>135</v>
      </c>
      <c r="E75" s="4">
        <f>HLOOKUP($D$5,'Bourgeoisies Comptes 2021'!$E$3:$R$165,69,0)</f>
        <v>0</v>
      </c>
    </row>
    <row r="76" spans="1:5" x14ac:dyDescent="0.25">
      <c r="C76">
        <v>399</v>
      </c>
      <c r="D76" t="s">
        <v>136</v>
      </c>
      <c r="E76" s="4">
        <f>HLOOKUP($D$5,'Bourgeoisies Comptes 2021'!$E$3:$R$165,70,0)</f>
        <v>0</v>
      </c>
    </row>
    <row r="77" spans="1:5" x14ac:dyDescent="0.25">
      <c r="E77" s="4"/>
    </row>
    <row r="78" spans="1:5" x14ac:dyDescent="0.25">
      <c r="E78" s="4"/>
    </row>
    <row r="79" spans="1:5" ht="21" x14ac:dyDescent="0.35">
      <c r="A79" s="80">
        <v>4</v>
      </c>
      <c r="B79" s="80"/>
      <c r="C79" s="80"/>
      <c r="D79" s="80" t="s">
        <v>137</v>
      </c>
      <c r="E79" s="140">
        <f>HLOOKUP($D$5,'Bourgeoisies Comptes 2021'!$E$3:$R$165,73,0)</f>
        <v>1672687.31</v>
      </c>
    </row>
    <row r="80" spans="1:5" x14ac:dyDescent="0.25">
      <c r="A80" s="7"/>
      <c r="B80" s="78">
        <v>40</v>
      </c>
      <c r="C80" s="78"/>
      <c r="D80" s="78" t="s">
        <v>79</v>
      </c>
      <c r="E80" s="73">
        <f>SUM(E81:E84)</f>
        <v>0</v>
      </c>
    </row>
    <row r="81" spans="2:5" x14ac:dyDescent="0.25">
      <c r="C81">
        <v>400</v>
      </c>
      <c r="D81" t="s">
        <v>138</v>
      </c>
      <c r="E81" s="4">
        <f>HLOOKUP($D$5,'Bourgeoisies Comptes 2021'!$E$3:$R$165,75,0)</f>
        <v>0</v>
      </c>
    </row>
    <row r="82" spans="2:5" x14ac:dyDescent="0.25">
      <c r="C82">
        <v>401</v>
      </c>
      <c r="D82" t="s">
        <v>139</v>
      </c>
      <c r="E82" s="4">
        <f>HLOOKUP($D$5,'Bourgeoisies Comptes 2021'!$E$3:$R$165,76,0)</f>
        <v>0</v>
      </c>
    </row>
    <row r="83" spans="2:5" x14ac:dyDescent="0.25">
      <c r="C83">
        <v>402</v>
      </c>
      <c r="D83" t="s">
        <v>140</v>
      </c>
      <c r="E83" s="4">
        <f>HLOOKUP($D$5,'Bourgeoisies Comptes 2021'!$E$3:$R$165,77,0)</f>
        <v>0</v>
      </c>
    </row>
    <row r="84" spans="2:5" x14ac:dyDescent="0.25">
      <c r="C84">
        <v>403</v>
      </c>
      <c r="D84" t="s">
        <v>141</v>
      </c>
      <c r="E84" s="4">
        <f>HLOOKUP($D$5,'Bourgeoisies Comptes 2021'!$E$3:$R$165,78,0)</f>
        <v>0</v>
      </c>
    </row>
    <row r="85" spans="2:5" x14ac:dyDescent="0.25">
      <c r="E85" s="4"/>
    </row>
    <row r="86" spans="2:5" x14ac:dyDescent="0.25">
      <c r="B86" s="78">
        <v>41</v>
      </c>
      <c r="C86" s="78"/>
      <c r="D86" s="78" t="s">
        <v>142</v>
      </c>
      <c r="E86" s="73">
        <f>SUM(E87:E90)</f>
        <v>0</v>
      </c>
    </row>
    <row r="87" spans="2:5" x14ac:dyDescent="0.25">
      <c r="C87">
        <v>410</v>
      </c>
      <c r="D87" t="s">
        <v>143</v>
      </c>
      <c r="E87" s="4">
        <f>HLOOKUP($D$5,'Bourgeoisies Comptes 2021'!$E$3:$R$165,81,0)</f>
        <v>0</v>
      </c>
    </row>
    <row r="88" spans="2:5" x14ac:dyDescent="0.25">
      <c r="C88">
        <v>411</v>
      </c>
      <c r="D88" t="s">
        <v>144</v>
      </c>
      <c r="E88" s="4">
        <f>HLOOKUP($D$5,'Bourgeoisies Comptes 2021'!$E$3:$R$165,82,0)</f>
        <v>0</v>
      </c>
    </row>
    <row r="89" spans="2:5" x14ac:dyDescent="0.25">
      <c r="C89">
        <v>412</v>
      </c>
      <c r="D89" t="s">
        <v>145</v>
      </c>
      <c r="E89" s="4">
        <f>HLOOKUP($D$5,'Bourgeoisies Comptes 2021'!$E$3:$R$165,83,0)</f>
        <v>0</v>
      </c>
    </row>
    <row r="90" spans="2:5" x14ac:dyDescent="0.25">
      <c r="C90">
        <v>413</v>
      </c>
      <c r="D90" t="s">
        <v>146</v>
      </c>
      <c r="E90" s="4">
        <f>HLOOKUP($D$5,'Bourgeoisies Comptes 2021'!$E$3:$R$165,84,0)</f>
        <v>0</v>
      </c>
    </row>
    <row r="91" spans="2:5" x14ac:dyDescent="0.25">
      <c r="E91" s="4"/>
    </row>
    <row r="92" spans="2:5" x14ac:dyDescent="0.25">
      <c r="B92" s="78">
        <v>42</v>
      </c>
      <c r="C92" s="78"/>
      <c r="D92" s="78" t="s">
        <v>147</v>
      </c>
      <c r="E92" s="73">
        <f>SUM(E93:E101)</f>
        <v>320554.55000000005</v>
      </c>
    </row>
    <row r="93" spans="2:5" x14ac:dyDescent="0.25">
      <c r="C93">
        <v>420</v>
      </c>
      <c r="D93" t="s">
        <v>148</v>
      </c>
      <c r="E93" s="4">
        <f>HLOOKUP($D$5,'Bourgeoisies Comptes 2021'!$E$3:$R$165,87,0)</f>
        <v>0</v>
      </c>
    </row>
    <row r="94" spans="2:5" x14ac:dyDescent="0.25">
      <c r="C94">
        <v>421</v>
      </c>
      <c r="D94" t="s">
        <v>149</v>
      </c>
      <c r="E94" s="4">
        <f>HLOOKUP($D$5,'Bourgeoisies Comptes 2021'!$E$3:$R$165,88,0)</f>
        <v>1200</v>
      </c>
    </row>
    <row r="95" spans="2:5" x14ac:dyDescent="0.25">
      <c r="C95">
        <v>422</v>
      </c>
      <c r="D95" t="s">
        <v>150</v>
      </c>
      <c r="E95" s="4">
        <f>HLOOKUP($D$5,'Bourgeoisies Comptes 2021'!$E$3:$R$165,89,0)</f>
        <v>0</v>
      </c>
    </row>
    <row r="96" spans="2:5" x14ac:dyDescent="0.25">
      <c r="C96">
        <v>423</v>
      </c>
      <c r="D96" t="s">
        <v>151</v>
      </c>
      <c r="E96" s="4">
        <f>HLOOKUP($D$5,'Bourgeoisies Comptes 2021'!$E$3:$R$165,90,0)</f>
        <v>0</v>
      </c>
    </row>
    <row r="97" spans="2:5" x14ac:dyDescent="0.25">
      <c r="C97">
        <v>424</v>
      </c>
      <c r="D97" t="s">
        <v>152</v>
      </c>
      <c r="E97" s="4">
        <f>HLOOKUP($D$5,'Bourgeoisies Comptes 2021'!$E$3:$R$165,91,0)</f>
        <v>41315.75</v>
      </c>
    </row>
    <row r="98" spans="2:5" x14ac:dyDescent="0.25">
      <c r="C98">
        <v>425</v>
      </c>
      <c r="D98" t="s">
        <v>153</v>
      </c>
      <c r="E98" s="4">
        <f>HLOOKUP($D$5,'Bourgeoisies Comptes 2021'!$E$3:$R$165,92,0)</f>
        <v>219727.9</v>
      </c>
    </row>
    <row r="99" spans="2:5" x14ac:dyDescent="0.25">
      <c r="C99">
        <v>426</v>
      </c>
      <c r="D99" t="s">
        <v>154</v>
      </c>
      <c r="E99" s="4">
        <f>HLOOKUP($D$5,'Bourgeoisies Comptes 2021'!$E$3:$R$165,93,0)</f>
        <v>58310.9</v>
      </c>
    </row>
    <row r="100" spans="2:5" x14ac:dyDescent="0.25">
      <c r="C100">
        <v>427</v>
      </c>
      <c r="D100" t="s">
        <v>155</v>
      </c>
      <c r="E100" s="4">
        <f>HLOOKUP($D$5,'Bourgeoisies Comptes 2021'!$E$3:$R$165,94,0)</f>
        <v>0</v>
      </c>
    </row>
    <row r="101" spans="2:5" x14ac:dyDescent="0.25">
      <c r="C101">
        <v>429</v>
      </c>
      <c r="D101" t="s">
        <v>156</v>
      </c>
      <c r="E101" s="4">
        <f>HLOOKUP($D$5,'Bourgeoisies Comptes 2021'!$E$3:$R$165,95,0)</f>
        <v>0</v>
      </c>
    </row>
    <row r="102" spans="2:5" x14ac:dyDescent="0.25">
      <c r="E102" s="4"/>
    </row>
    <row r="103" spans="2:5" x14ac:dyDescent="0.25">
      <c r="B103" s="78">
        <v>43</v>
      </c>
      <c r="C103" s="78"/>
      <c r="D103" s="78" t="s">
        <v>157</v>
      </c>
      <c r="E103" s="73">
        <f>SUM(E104:E107)</f>
        <v>150</v>
      </c>
    </row>
    <row r="104" spans="2:5" x14ac:dyDescent="0.25">
      <c r="C104">
        <v>430</v>
      </c>
      <c r="D104" t="s">
        <v>158</v>
      </c>
      <c r="E104" s="4">
        <f>HLOOKUP($D$5,'Bourgeoisies Comptes 2021'!$E$3:$R$165,98,0)</f>
        <v>150</v>
      </c>
    </row>
    <row r="105" spans="2:5" x14ac:dyDescent="0.25">
      <c r="C105">
        <v>431</v>
      </c>
      <c r="D105" t="s">
        <v>159</v>
      </c>
      <c r="E105" s="4">
        <f>HLOOKUP($D$5,'Bourgeoisies Comptes 2021'!$E$3:$R$165,99,0)</f>
        <v>0</v>
      </c>
    </row>
    <row r="106" spans="2:5" x14ac:dyDescent="0.25">
      <c r="C106">
        <v>432</v>
      </c>
      <c r="D106" t="s">
        <v>160</v>
      </c>
      <c r="E106" s="4">
        <f>HLOOKUP($D$5,'Bourgeoisies Comptes 2021'!$E$3:$R$165,100,0)</f>
        <v>0</v>
      </c>
    </row>
    <row r="107" spans="2:5" x14ac:dyDescent="0.25">
      <c r="C107">
        <v>439</v>
      </c>
      <c r="D107" t="s">
        <v>161</v>
      </c>
      <c r="E107" s="4">
        <f>HLOOKUP($D$5,'Bourgeoisies Comptes 2021'!$E$3:$R$165,101,0)</f>
        <v>0</v>
      </c>
    </row>
    <row r="108" spans="2:5" x14ac:dyDescent="0.25">
      <c r="E108" s="4"/>
    </row>
    <row r="109" spans="2:5" x14ac:dyDescent="0.25">
      <c r="B109" s="78">
        <v>44</v>
      </c>
      <c r="C109" s="78"/>
      <c r="D109" s="78" t="s">
        <v>162</v>
      </c>
      <c r="E109" s="73">
        <f>SUM(E110:E119)</f>
        <v>1160627.76</v>
      </c>
    </row>
    <row r="110" spans="2:5" x14ac:dyDescent="0.25">
      <c r="C110">
        <v>440</v>
      </c>
      <c r="D110" t="s">
        <v>163</v>
      </c>
      <c r="E110" s="4">
        <f>HLOOKUP($D$5,'Bourgeoisies Comptes 2021'!$E$3:$R$165,104,0)</f>
        <v>43057.18</v>
      </c>
    </row>
    <row r="111" spans="2:5" x14ac:dyDescent="0.25">
      <c r="C111">
        <v>441</v>
      </c>
      <c r="D111" t="s">
        <v>164</v>
      </c>
      <c r="E111" s="4">
        <f>HLOOKUP($D$5,'Bourgeoisies Comptes 2021'!$E$3:$R$165,105,0)</f>
        <v>9352.2800000000007</v>
      </c>
    </row>
    <row r="112" spans="2:5" x14ac:dyDescent="0.25">
      <c r="C112">
        <v>442</v>
      </c>
      <c r="D112" t="s">
        <v>165</v>
      </c>
      <c r="E112" s="4">
        <f>HLOOKUP($D$5,'Bourgeoisies Comptes 2021'!$E$3:$R$165,106,0)</f>
        <v>2605.75</v>
      </c>
    </row>
    <row r="113" spans="2:5" x14ac:dyDescent="0.25">
      <c r="C113">
        <v>443</v>
      </c>
      <c r="D113" t="s">
        <v>166</v>
      </c>
      <c r="E113" s="4">
        <f>HLOOKUP($D$5,'Bourgeoisies Comptes 2021'!$E$3:$R$165,107,0)</f>
        <v>672099.35</v>
      </c>
    </row>
    <row r="114" spans="2:5" x14ac:dyDescent="0.25">
      <c r="C114">
        <v>444</v>
      </c>
      <c r="D114" t="s">
        <v>106</v>
      </c>
      <c r="E114" s="4">
        <f>HLOOKUP($D$5,'Bourgeoisies Comptes 2021'!$E$3:$R$165,108,0)</f>
        <v>14093.8</v>
      </c>
    </row>
    <row r="115" spans="2:5" x14ac:dyDescent="0.25">
      <c r="C115">
        <v>445</v>
      </c>
      <c r="D115" t="s">
        <v>167</v>
      </c>
      <c r="E115" s="4">
        <f>HLOOKUP($D$5,'Bourgeoisies Comptes 2021'!$E$3:$R$165,109,0)</f>
        <v>0</v>
      </c>
    </row>
    <row r="116" spans="2:5" x14ac:dyDescent="0.25">
      <c r="C116">
        <v>446</v>
      </c>
      <c r="D116" t="s">
        <v>168</v>
      </c>
      <c r="E116" s="4">
        <f>HLOOKUP($D$5,'Bourgeoisies Comptes 2021'!$E$3:$R$165,110,0)</f>
        <v>0</v>
      </c>
    </row>
    <row r="117" spans="2:5" x14ac:dyDescent="0.25">
      <c r="C117">
        <v>447</v>
      </c>
      <c r="D117" t="s">
        <v>169</v>
      </c>
      <c r="E117" s="4">
        <f>HLOOKUP($D$5,'Bourgeoisies Comptes 2021'!$E$3:$R$165,111,0)</f>
        <v>419419.4</v>
      </c>
    </row>
    <row r="118" spans="2:5" x14ac:dyDescent="0.25">
      <c r="C118">
        <v>448</v>
      </c>
      <c r="D118" t="s">
        <v>170</v>
      </c>
      <c r="E118" s="4">
        <f>HLOOKUP($D$5,'Bourgeoisies Comptes 2021'!$E$3:$R$165,112,0)</f>
        <v>0</v>
      </c>
    </row>
    <row r="119" spans="2:5" x14ac:dyDescent="0.25">
      <c r="C119">
        <v>449</v>
      </c>
      <c r="D119" t="s">
        <v>171</v>
      </c>
      <c r="E119" s="4">
        <f>HLOOKUP($D$5,'Bourgeoisies Comptes 2021'!$E$3:$R$165,113,0)</f>
        <v>0</v>
      </c>
    </row>
    <row r="120" spans="2:5" x14ac:dyDescent="0.25">
      <c r="E120" s="4"/>
    </row>
    <row r="121" spans="2:5" x14ac:dyDescent="0.25">
      <c r="B121" s="78">
        <v>45</v>
      </c>
      <c r="C121" s="78"/>
      <c r="D121" s="78" t="s">
        <v>174</v>
      </c>
      <c r="E121" s="73">
        <f>SUM(E122:E123)</f>
        <v>174300</v>
      </c>
    </row>
    <row r="122" spans="2:5" x14ac:dyDescent="0.25">
      <c r="C122">
        <v>450</v>
      </c>
      <c r="D122" t="s">
        <v>172</v>
      </c>
      <c r="E122" s="4">
        <f>HLOOKUP($D$5,'Bourgeoisies Comptes 2021'!$E$3:$R$165,116,0)</f>
        <v>0</v>
      </c>
    </row>
    <row r="123" spans="2:5" x14ac:dyDescent="0.25">
      <c r="C123">
        <v>451</v>
      </c>
      <c r="D123" t="s">
        <v>173</v>
      </c>
      <c r="E123" s="4">
        <f>HLOOKUP($D$5,'Bourgeoisies Comptes 2021'!$E$3:$R$165,117,0)</f>
        <v>174300</v>
      </c>
    </row>
    <row r="124" spans="2:5" x14ac:dyDescent="0.25">
      <c r="E124" s="4"/>
    </row>
    <row r="125" spans="2:5" x14ac:dyDescent="0.25">
      <c r="B125" s="78">
        <v>46</v>
      </c>
      <c r="C125" s="78"/>
      <c r="D125" s="78" t="s">
        <v>175</v>
      </c>
      <c r="E125" s="73">
        <f>SUM(E126:E130)</f>
        <v>17055</v>
      </c>
    </row>
    <row r="126" spans="2:5" x14ac:dyDescent="0.25">
      <c r="C126">
        <v>460</v>
      </c>
      <c r="D126" t="s">
        <v>176</v>
      </c>
      <c r="E126" s="4">
        <f>HLOOKUP($D$5,'Bourgeoisies Comptes 2021'!$E$3:$R$165,120,0)</f>
        <v>0</v>
      </c>
    </row>
    <row r="127" spans="2:5" x14ac:dyDescent="0.25">
      <c r="C127">
        <v>461</v>
      </c>
      <c r="D127" t="s">
        <v>177</v>
      </c>
      <c r="E127" s="4">
        <f>HLOOKUP($D$5,'Bourgeoisies Comptes 2021'!$E$3:$R$165,121,0)</f>
        <v>0</v>
      </c>
    </row>
    <row r="128" spans="2:5" x14ac:dyDescent="0.25">
      <c r="C128">
        <v>462</v>
      </c>
      <c r="D128" t="s">
        <v>113</v>
      </c>
      <c r="E128" s="4">
        <f>HLOOKUP($D$5,'Bourgeoisies Comptes 2021'!$E$3:$R$165,122,0)</f>
        <v>0</v>
      </c>
    </row>
    <row r="129" spans="2:5" x14ac:dyDescent="0.25">
      <c r="C129">
        <v>463</v>
      </c>
      <c r="D129" t="s">
        <v>178</v>
      </c>
      <c r="E129" s="4">
        <f>HLOOKUP($D$5,'Bourgeoisies Comptes 2021'!$E$3:$R$165,123,0)</f>
        <v>17055</v>
      </c>
    </row>
    <row r="130" spans="2:5" x14ac:dyDescent="0.25">
      <c r="C130">
        <v>469</v>
      </c>
      <c r="D130" t="s">
        <v>179</v>
      </c>
      <c r="E130" s="4">
        <f>HLOOKUP($D$5,'Bourgeoisies Comptes 2021'!$E$3:$R$165,124,0)</f>
        <v>0</v>
      </c>
    </row>
    <row r="131" spans="2:5" x14ac:dyDescent="0.25">
      <c r="E131" s="4"/>
    </row>
    <row r="132" spans="2:5" x14ac:dyDescent="0.25">
      <c r="B132" s="78">
        <v>47</v>
      </c>
      <c r="C132" s="78"/>
      <c r="D132" s="78" t="s">
        <v>119</v>
      </c>
      <c r="E132" s="73">
        <f>SUM(E133)</f>
        <v>0</v>
      </c>
    </row>
    <row r="133" spans="2:5" x14ac:dyDescent="0.25">
      <c r="C133">
        <v>470</v>
      </c>
      <c r="D133" t="s">
        <v>180</v>
      </c>
      <c r="E133" s="4">
        <f>HLOOKUP($D$5,'Bourgeoisies Comptes 2021'!$E$3:$R$165,127,0)</f>
        <v>0</v>
      </c>
    </row>
    <row r="134" spans="2:5" x14ac:dyDescent="0.25">
      <c r="E134" s="4"/>
    </row>
    <row r="135" spans="2:5" x14ac:dyDescent="0.25">
      <c r="B135" s="78">
        <v>48</v>
      </c>
      <c r="C135" s="78"/>
      <c r="D135" s="78" t="s">
        <v>181</v>
      </c>
      <c r="E135" s="73">
        <f>SUM(E136:E142)</f>
        <v>0</v>
      </c>
    </row>
    <row r="136" spans="2:5" x14ac:dyDescent="0.25">
      <c r="C136">
        <v>481</v>
      </c>
      <c r="D136" t="s">
        <v>182</v>
      </c>
      <c r="E136" s="4">
        <f>HLOOKUP($D$5,'Bourgeoisies Comptes 2021'!$E$3:$R$165,130,0)</f>
        <v>0</v>
      </c>
    </row>
    <row r="137" spans="2:5" x14ac:dyDescent="0.25">
      <c r="C137">
        <v>482</v>
      </c>
      <c r="D137" t="s">
        <v>183</v>
      </c>
      <c r="E137" s="4">
        <f>HLOOKUP($D$5,'Bourgeoisies Comptes 2021'!$E$3:$R$165,131,0)</f>
        <v>0</v>
      </c>
    </row>
    <row r="138" spans="2:5" x14ac:dyDescent="0.25">
      <c r="C138">
        <v>483</v>
      </c>
      <c r="D138" t="s">
        <v>184</v>
      </c>
      <c r="E138" s="4">
        <f>HLOOKUP($D$5,'Bourgeoisies Comptes 2021'!$E$3:$R$165,132,0)</f>
        <v>0</v>
      </c>
    </row>
    <row r="139" spans="2:5" x14ac:dyDescent="0.25">
      <c r="C139">
        <v>484</v>
      </c>
      <c r="D139" t="s">
        <v>185</v>
      </c>
      <c r="E139" s="4">
        <f>HLOOKUP($D$5,'Bourgeoisies Comptes 2021'!$E$3:$R$165,133,0)</f>
        <v>0</v>
      </c>
    </row>
    <row r="140" spans="2:5" x14ac:dyDescent="0.25">
      <c r="C140">
        <v>485</v>
      </c>
      <c r="D140" t="s">
        <v>186</v>
      </c>
      <c r="E140" s="4">
        <f>HLOOKUP($D$5,'Bourgeoisies Comptes 2021'!$E$3:$R$165,134,0)</f>
        <v>0</v>
      </c>
    </row>
    <row r="141" spans="2:5" x14ac:dyDescent="0.25">
      <c r="C141">
        <v>486</v>
      </c>
      <c r="D141" t="s">
        <v>187</v>
      </c>
      <c r="E141" s="4">
        <f>HLOOKUP($D$5,'Bourgeoisies Comptes 2021'!$E$3:$R$165,135,0)</f>
        <v>0</v>
      </c>
    </row>
    <row r="142" spans="2:5" x14ac:dyDescent="0.25">
      <c r="C142">
        <v>489</v>
      </c>
      <c r="D142" t="s">
        <v>188</v>
      </c>
      <c r="E142" s="4">
        <f>HLOOKUP($D$5,'Bourgeoisies Comptes 2021'!$E$3:$R$165,136,0)</f>
        <v>0</v>
      </c>
    </row>
    <row r="143" spans="2:5" x14ac:dyDescent="0.25">
      <c r="E143" s="4"/>
    </row>
    <row r="144" spans="2:5" x14ac:dyDescent="0.25">
      <c r="B144" s="78">
        <v>49</v>
      </c>
      <c r="C144" s="78"/>
      <c r="D144" s="78" t="s">
        <v>128</v>
      </c>
      <c r="E144" s="73">
        <f>SUM(E145:E152)</f>
        <v>0</v>
      </c>
    </row>
    <row r="145" spans="1:5" x14ac:dyDescent="0.25">
      <c r="C145">
        <v>490</v>
      </c>
      <c r="D145" t="s">
        <v>129</v>
      </c>
      <c r="E145" s="4">
        <f>HLOOKUP($D$5,'Bourgeoisies Comptes 2021'!$E$3:$R$165,139,0)</f>
        <v>0</v>
      </c>
    </row>
    <row r="146" spans="1:5" x14ac:dyDescent="0.25">
      <c r="C146">
        <v>491</v>
      </c>
      <c r="D146" t="s">
        <v>130</v>
      </c>
      <c r="E146" s="4">
        <f>HLOOKUP($D$5,'Bourgeoisies Comptes 2021'!$E$3:$R$165,140,0)</f>
        <v>0</v>
      </c>
    </row>
    <row r="147" spans="1:5" x14ac:dyDescent="0.25">
      <c r="C147">
        <v>492</v>
      </c>
      <c r="D147" t="s">
        <v>189</v>
      </c>
      <c r="E147" s="4">
        <f>HLOOKUP($D$5,'Bourgeoisies Comptes 2021'!$E$3:$R$165,141,0)</f>
        <v>0</v>
      </c>
    </row>
    <row r="148" spans="1:5" x14ac:dyDescent="0.25">
      <c r="C148">
        <v>493</v>
      </c>
      <c r="D148" t="s">
        <v>190</v>
      </c>
      <c r="E148" s="4">
        <f>HLOOKUP($D$5,'Bourgeoisies Comptes 2021'!$E$3:$R$165,142,0)</f>
        <v>0</v>
      </c>
    </row>
    <row r="149" spans="1:5" x14ac:dyDescent="0.25">
      <c r="C149">
        <v>494</v>
      </c>
      <c r="D149" t="s">
        <v>133</v>
      </c>
      <c r="E149" s="4">
        <f>HLOOKUP($D$5,'Bourgeoisies Comptes 2021'!$E$3:$R$165,143,0)</f>
        <v>0</v>
      </c>
    </row>
    <row r="150" spans="1:5" x14ac:dyDescent="0.25">
      <c r="C150">
        <v>495</v>
      </c>
      <c r="D150" t="s">
        <v>191</v>
      </c>
      <c r="E150" s="4">
        <f>HLOOKUP($D$5,'Bourgeoisies Comptes 2021'!$E$3:$R$165,144,0)</f>
        <v>0</v>
      </c>
    </row>
    <row r="151" spans="1:5" x14ac:dyDescent="0.25">
      <c r="C151">
        <v>498</v>
      </c>
      <c r="D151" t="s">
        <v>192</v>
      </c>
      <c r="E151" s="4">
        <f>HLOOKUP($D$5,'Bourgeoisies Comptes 2021'!$E$3:$R$165,145,0)</f>
        <v>0</v>
      </c>
    </row>
    <row r="152" spans="1:5" x14ac:dyDescent="0.25">
      <c r="C152">
        <v>499</v>
      </c>
      <c r="D152" t="s">
        <v>136</v>
      </c>
      <c r="E152" s="4">
        <f>HLOOKUP($D$5,'Bourgeoisies Comptes 2021'!$E$3:$R$165,146,0)</f>
        <v>0</v>
      </c>
    </row>
    <row r="153" spans="1:5" x14ac:dyDescent="0.25">
      <c r="E153" s="4"/>
    </row>
    <row r="154" spans="1:5" x14ac:dyDescent="0.25">
      <c r="E154" s="4"/>
    </row>
    <row r="155" spans="1:5" x14ac:dyDescent="0.25">
      <c r="E155" s="4"/>
    </row>
    <row r="156" spans="1:5" x14ac:dyDescent="0.25">
      <c r="A156" s="88">
        <v>9</v>
      </c>
      <c r="B156" s="88"/>
      <c r="C156" s="88"/>
      <c r="D156" s="88" t="s">
        <v>194</v>
      </c>
      <c r="E156" s="89"/>
    </row>
    <row r="157" spans="1:5" x14ac:dyDescent="0.25">
      <c r="A157" s="88"/>
      <c r="B157" s="88">
        <v>90</v>
      </c>
      <c r="C157" s="88"/>
      <c r="D157" s="88" t="s">
        <v>195</v>
      </c>
      <c r="E157" s="90">
        <f>SUM(E158:E159)</f>
        <v>-699.52</v>
      </c>
    </row>
    <row r="158" spans="1:5" x14ac:dyDescent="0.25">
      <c r="C158">
        <v>900</v>
      </c>
      <c r="D158" t="s">
        <v>196</v>
      </c>
      <c r="E158" s="4">
        <f>HLOOKUP($D$5,'Bourgeoisies Comptes 2021'!$E$3:$R$165,152,0)</f>
        <v>-699.52</v>
      </c>
    </row>
    <row r="159" spans="1:5" x14ac:dyDescent="0.25">
      <c r="C159">
        <v>901</v>
      </c>
      <c r="D159" t="s">
        <v>197</v>
      </c>
      <c r="E159" s="4">
        <f>HLOOKUP($D$5,'Bourgeoisies Comptes 2021'!$E$3:$R$165,153,0)</f>
        <v>0</v>
      </c>
    </row>
    <row r="160" spans="1:5" x14ac:dyDescent="0.25">
      <c r="E160" s="4"/>
    </row>
    <row r="161" spans="4:5" x14ac:dyDescent="0.25">
      <c r="D161" s="7" t="s">
        <v>198</v>
      </c>
      <c r="E161" s="4">
        <f>HLOOKUP($D$5,'Bourgeoisies Comptes 2021'!$E$3:$R$165,155,0)</f>
        <v>-699.52</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600-000000000000}">
          <x14:formula1>
            <xm:f>'Bourgeoisies Comptes 2021'!$E$3:$R$3</xm:f>
          </x14:formula1>
          <xm:sqref>D5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pageSetUpPr fitToPage="1"/>
  </sheetPr>
  <dimension ref="A1:O59"/>
  <sheetViews>
    <sheetView topLeftCell="A16" zoomScaleNormal="100" workbookViewId="0">
      <selection activeCell="C24" sqref="C24"/>
    </sheetView>
  </sheetViews>
  <sheetFormatPr baseColWidth="10" defaultColWidth="11.42578125" defaultRowHeight="12.75" x14ac:dyDescent="0.2"/>
  <cols>
    <col min="1" max="1" width="3.42578125" style="10" customWidth="1"/>
    <col min="2" max="2" width="14" style="10" customWidth="1"/>
    <col min="3" max="12" width="11.42578125" style="10"/>
    <col min="13" max="13" width="3.42578125" style="10" customWidth="1"/>
    <col min="14" max="14" width="14" style="10" customWidth="1"/>
    <col min="15" max="16384" width="11.42578125" style="10"/>
  </cols>
  <sheetData>
    <row r="1" spans="1:15" ht="13.5" thickBot="1" x14ac:dyDescent="0.25">
      <c r="A1" s="12" t="s">
        <v>70</v>
      </c>
      <c r="B1" s="12" t="s">
        <v>67</v>
      </c>
      <c r="C1" s="12">
        <v>2021</v>
      </c>
      <c r="D1" s="12"/>
      <c r="E1" s="12"/>
      <c r="F1" s="12"/>
      <c r="G1" s="12"/>
      <c r="H1" s="12"/>
      <c r="I1" s="12"/>
      <c r="M1" s="12" t="s">
        <v>70</v>
      </c>
      <c r="N1" s="12" t="s">
        <v>67</v>
      </c>
      <c r="O1" s="12">
        <v>2021</v>
      </c>
    </row>
    <row r="2" spans="1:15" ht="13.5" thickBot="1" x14ac:dyDescent="0.25">
      <c r="A2" s="23">
        <v>1</v>
      </c>
      <c r="B2" s="23" t="s">
        <v>56</v>
      </c>
      <c r="C2" s="24">
        <v>947</v>
      </c>
      <c r="D2" s="11"/>
      <c r="G2" s="172" t="s">
        <v>740</v>
      </c>
      <c r="H2" s="173"/>
      <c r="I2" s="173"/>
      <c r="J2" s="173"/>
      <c r="K2" s="174"/>
      <c r="M2" s="160">
        <v>1</v>
      </c>
      <c r="N2" s="16" t="s">
        <v>52</v>
      </c>
      <c r="O2" s="15">
        <f>C34</f>
        <v>1891</v>
      </c>
    </row>
    <row r="3" spans="1:15" x14ac:dyDescent="0.2">
      <c r="A3" s="23">
        <v>2</v>
      </c>
      <c r="B3" s="23" t="s">
        <v>18</v>
      </c>
      <c r="C3" s="24">
        <v>265</v>
      </c>
      <c r="D3" s="11"/>
      <c r="M3" s="160">
        <v>2</v>
      </c>
      <c r="N3" s="16" t="s">
        <v>32</v>
      </c>
      <c r="O3" s="15">
        <f>C36</f>
        <v>1225</v>
      </c>
    </row>
    <row r="4" spans="1:15" x14ac:dyDescent="0.2">
      <c r="A4" s="23">
        <v>3</v>
      </c>
      <c r="B4" s="23" t="s">
        <v>57</v>
      </c>
      <c r="C4" s="24">
        <v>469</v>
      </c>
      <c r="D4" s="11"/>
      <c r="M4" s="160">
        <v>3</v>
      </c>
      <c r="N4" s="16" t="s">
        <v>29</v>
      </c>
      <c r="O4" s="15">
        <f>C37</f>
        <v>117</v>
      </c>
    </row>
    <row r="5" spans="1:15" x14ac:dyDescent="0.2">
      <c r="A5" s="23">
        <v>4</v>
      </c>
      <c r="B5" s="23" t="s">
        <v>53</v>
      </c>
      <c r="C5" s="24">
        <v>439</v>
      </c>
      <c r="D5" s="11"/>
      <c r="F5" s="17" t="s">
        <v>72</v>
      </c>
      <c r="M5" s="160">
        <v>4</v>
      </c>
      <c r="N5" s="23" t="s">
        <v>56</v>
      </c>
      <c r="O5" s="24">
        <f>C2</f>
        <v>947</v>
      </c>
    </row>
    <row r="6" spans="1:15" x14ac:dyDescent="0.2">
      <c r="A6" s="23">
        <v>5</v>
      </c>
      <c r="B6" s="23" t="s">
        <v>33</v>
      </c>
      <c r="C6" s="24">
        <v>3728</v>
      </c>
      <c r="D6" s="11"/>
      <c r="F6" s="19" t="s">
        <v>28</v>
      </c>
      <c r="G6" s="19"/>
      <c r="H6" s="20">
        <f>SUM(C2:C20)</f>
        <v>39125</v>
      </c>
      <c r="M6" s="160">
        <v>5</v>
      </c>
      <c r="N6" s="16" t="s">
        <v>26</v>
      </c>
      <c r="O6" s="15">
        <f>C38</f>
        <v>1185</v>
      </c>
    </row>
    <row r="7" spans="1:15" x14ac:dyDescent="0.2">
      <c r="A7" s="23">
        <v>6</v>
      </c>
      <c r="B7" s="23" t="s">
        <v>10</v>
      </c>
      <c r="C7" s="24">
        <v>3345</v>
      </c>
      <c r="D7" s="11"/>
      <c r="F7" s="26" t="s">
        <v>64</v>
      </c>
      <c r="G7" s="26"/>
      <c r="H7" s="27">
        <f>SUM(C21:C33)</f>
        <v>10478</v>
      </c>
      <c r="M7" s="160">
        <v>6</v>
      </c>
      <c r="N7" s="16" t="s">
        <v>48</v>
      </c>
      <c r="O7" s="15">
        <f>C39</f>
        <v>642</v>
      </c>
    </row>
    <row r="8" spans="1:15" x14ac:dyDescent="0.2">
      <c r="A8" s="23">
        <v>7</v>
      </c>
      <c r="B8" s="23" t="s">
        <v>15</v>
      </c>
      <c r="C8" s="24">
        <v>2652</v>
      </c>
      <c r="D8" s="11"/>
      <c r="F8" s="16" t="s">
        <v>16</v>
      </c>
      <c r="G8" s="16"/>
      <c r="H8" s="25">
        <f>SUM(C34:C54)</f>
        <v>24195</v>
      </c>
      <c r="M8" s="160">
        <v>7</v>
      </c>
      <c r="N8" s="23" t="s">
        <v>18</v>
      </c>
      <c r="O8" s="24">
        <f>C3</f>
        <v>265</v>
      </c>
    </row>
    <row r="9" spans="1:15" x14ac:dyDescent="0.2">
      <c r="A9" s="23">
        <v>8</v>
      </c>
      <c r="B9" s="23" t="s">
        <v>28</v>
      </c>
      <c r="C9" s="24">
        <v>12479</v>
      </c>
      <c r="D9" s="11"/>
      <c r="H9" s="18">
        <f>SUM(H6:H8)</f>
        <v>73798</v>
      </c>
      <c r="M9" s="160">
        <v>8</v>
      </c>
      <c r="N9" s="16" t="s">
        <v>44</v>
      </c>
      <c r="O9" s="15">
        <f>C40</f>
        <v>633</v>
      </c>
    </row>
    <row r="10" spans="1:15" x14ac:dyDescent="0.2">
      <c r="A10" s="23">
        <v>9</v>
      </c>
      <c r="B10" s="23" t="s">
        <v>42</v>
      </c>
      <c r="C10" s="24">
        <v>1359</v>
      </c>
      <c r="D10" s="11"/>
      <c r="M10" s="160">
        <v>9</v>
      </c>
      <c r="N10" s="23" t="s">
        <v>57</v>
      </c>
      <c r="O10" s="24">
        <f>C4</f>
        <v>469</v>
      </c>
    </row>
    <row r="11" spans="1:15" x14ac:dyDescent="0.2">
      <c r="A11" s="23">
        <v>10</v>
      </c>
      <c r="B11" s="23" t="s">
        <v>23</v>
      </c>
      <c r="C11" s="24">
        <v>117</v>
      </c>
      <c r="D11" s="11"/>
      <c r="M11" s="160">
        <v>10</v>
      </c>
      <c r="N11" s="16" t="s">
        <v>37</v>
      </c>
      <c r="O11" s="15">
        <f>C41</f>
        <v>1284</v>
      </c>
    </row>
    <row r="12" spans="1:15" x14ac:dyDescent="0.2">
      <c r="A12" s="23">
        <v>11</v>
      </c>
      <c r="B12" s="23" t="s">
        <v>22</v>
      </c>
      <c r="C12" s="24">
        <v>7261</v>
      </c>
      <c r="D12" s="11"/>
      <c r="M12" s="160">
        <v>11</v>
      </c>
      <c r="N12" s="16" t="s">
        <v>51</v>
      </c>
      <c r="O12" s="15">
        <f>C42</f>
        <v>731</v>
      </c>
    </row>
    <row r="13" spans="1:15" x14ac:dyDescent="0.2">
      <c r="A13" s="23">
        <v>12</v>
      </c>
      <c r="B13" s="23" t="s">
        <v>13</v>
      </c>
      <c r="C13" s="24">
        <v>538</v>
      </c>
      <c r="D13" s="11"/>
      <c r="M13" s="160">
        <v>12</v>
      </c>
      <c r="N13" s="16" t="s">
        <v>8</v>
      </c>
      <c r="O13" s="15">
        <f>C43</f>
        <v>1016</v>
      </c>
    </row>
    <row r="14" spans="1:15" x14ac:dyDescent="0.2">
      <c r="A14" s="23">
        <v>13</v>
      </c>
      <c r="B14" s="23" t="s">
        <v>17</v>
      </c>
      <c r="C14" s="24">
        <v>111</v>
      </c>
      <c r="D14" s="11"/>
      <c r="M14" s="160">
        <v>13</v>
      </c>
      <c r="N14" s="23" t="s">
        <v>53</v>
      </c>
      <c r="O14" s="24">
        <f>C5</f>
        <v>439</v>
      </c>
    </row>
    <row r="15" spans="1:15" x14ac:dyDescent="0.2">
      <c r="A15" s="23">
        <v>14</v>
      </c>
      <c r="B15" s="23" t="s">
        <v>43</v>
      </c>
      <c r="C15" s="24">
        <v>421</v>
      </c>
      <c r="D15" s="11"/>
      <c r="M15" s="160">
        <v>14</v>
      </c>
      <c r="N15" s="16" t="s">
        <v>24</v>
      </c>
      <c r="O15" s="15">
        <f>C44</f>
        <v>304</v>
      </c>
    </row>
    <row r="16" spans="1:15" x14ac:dyDescent="0.2">
      <c r="A16" s="23">
        <v>15</v>
      </c>
      <c r="B16" s="23" t="s">
        <v>40</v>
      </c>
      <c r="C16" s="24">
        <v>346</v>
      </c>
      <c r="D16" s="11"/>
      <c r="M16" s="160">
        <v>15</v>
      </c>
      <c r="N16" s="16" t="s">
        <v>9</v>
      </c>
      <c r="O16" s="15">
        <f>C45</f>
        <v>2412</v>
      </c>
    </row>
    <row r="17" spans="1:15" x14ac:dyDescent="0.2">
      <c r="A17" s="23">
        <v>16</v>
      </c>
      <c r="B17" s="23" t="s">
        <v>31</v>
      </c>
      <c r="C17" s="24">
        <v>710</v>
      </c>
      <c r="D17" s="11"/>
      <c r="M17" s="160">
        <v>16</v>
      </c>
      <c r="N17" s="23" t="s">
        <v>33</v>
      </c>
      <c r="O17" s="24">
        <f>C6</f>
        <v>3728</v>
      </c>
    </row>
    <row r="18" spans="1:15" x14ac:dyDescent="0.2">
      <c r="A18" s="23">
        <v>17</v>
      </c>
      <c r="B18" s="23" t="s">
        <v>12</v>
      </c>
      <c r="C18" s="24">
        <v>269</v>
      </c>
      <c r="D18" s="11"/>
      <c r="M18" s="160">
        <v>17</v>
      </c>
      <c r="N18" s="23" t="s">
        <v>10</v>
      </c>
      <c r="O18" s="24">
        <f>C7</f>
        <v>3345</v>
      </c>
    </row>
    <row r="19" spans="1:15" x14ac:dyDescent="0.2">
      <c r="A19" s="23">
        <v>18</v>
      </c>
      <c r="B19" s="23" t="s">
        <v>59</v>
      </c>
      <c r="C19" s="24">
        <v>440</v>
      </c>
      <c r="D19" s="11"/>
      <c r="M19" s="160">
        <v>18</v>
      </c>
      <c r="N19" s="16" t="s">
        <v>62</v>
      </c>
      <c r="O19" s="15">
        <f>C46</f>
        <v>735</v>
      </c>
    </row>
    <row r="20" spans="1:15" x14ac:dyDescent="0.2">
      <c r="A20" s="23">
        <v>19</v>
      </c>
      <c r="B20" s="23" t="s">
        <v>27</v>
      </c>
      <c r="C20" s="24">
        <v>3229</v>
      </c>
      <c r="D20" s="11"/>
      <c r="M20" s="160">
        <v>19</v>
      </c>
      <c r="N20" s="23" t="s">
        <v>15</v>
      </c>
      <c r="O20" s="24">
        <f>C8</f>
        <v>2652</v>
      </c>
    </row>
    <row r="21" spans="1:15" x14ac:dyDescent="0.2">
      <c r="A21" s="21">
        <v>20</v>
      </c>
      <c r="B21" s="21" t="s">
        <v>30</v>
      </c>
      <c r="C21" s="22">
        <v>310</v>
      </c>
      <c r="D21" s="11"/>
      <c r="M21" s="160">
        <v>20</v>
      </c>
      <c r="N21" s="16" t="s">
        <v>46</v>
      </c>
      <c r="O21" s="15">
        <f>C47</f>
        <v>185</v>
      </c>
    </row>
    <row r="22" spans="1:15" x14ac:dyDescent="0.2">
      <c r="A22" s="21">
        <v>21</v>
      </c>
      <c r="B22" s="21" t="s">
        <v>20</v>
      </c>
      <c r="C22" s="22">
        <v>1270</v>
      </c>
      <c r="D22" s="11"/>
      <c r="M22" s="160">
        <v>21</v>
      </c>
      <c r="N22" s="23" t="s">
        <v>28</v>
      </c>
      <c r="O22" s="24">
        <f>C9</f>
        <v>12479</v>
      </c>
    </row>
    <row r="23" spans="1:15" x14ac:dyDescent="0.2">
      <c r="A23" s="21">
        <v>22</v>
      </c>
      <c r="B23" s="21" t="s">
        <v>45</v>
      </c>
      <c r="C23" s="22">
        <v>1506</v>
      </c>
      <c r="D23" s="11"/>
      <c r="E23" s="11"/>
      <c r="M23" s="160">
        <v>22</v>
      </c>
      <c r="N23" s="23" t="s">
        <v>42</v>
      </c>
      <c r="O23" s="24">
        <f>C10</f>
        <v>1359</v>
      </c>
    </row>
    <row r="24" spans="1:15" x14ac:dyDescent="0.2">
      <c r="A24" s="21">
        <v>23</v>
      </c>
      <c r="B24" s="21" t="s">
        <v>71</v>
      </c>
      <c r="C24" s="22">
        <v>96</v>
      </c>
      <c r="D24" s="11"/>
      <c r="M24" s="160">
        <v>23</v>
      </c>
      <c r="N24" s="23" t="s">
        <v>23</v>
      </c>
      <c r="O24" s="24">
        <f>C11</f>
        <v>117</v>
      </c>
    </row>
    <row r="25" spans="1:15" x14ac:dyDescent="0.2">
      <c r="A25" s="21">
        <v>24</v>
      </c>
      <c r="B25" s="21" t="s">
        <v>39</v>
      </c>
      <c r="C25" s="22">
        <v>148</v>
      </c>
      <c r="D25" s="11"/>
      <c r="M25" s="160">
        <v>24</v>
      </c>
      <c r="N25" s="16" t="s">
        <v>35</v>
      </c>
      <c r="O25" s="15">
        <f>C48</f>
        <v>340</v>
      </c>
    </row>
    <row r="26" spans="1:15" x14ac:dyDescent="0.2">
      <c r="A26" s="21">
        <v>25</v>
      </c>
      <c r="B26" s="21" t="s">
        <v>19</v>
      </c>
      <c r="C26" s="22">
        <v>518</v>
      </c>
      <c r="D26" s="11"/>
      <c r="M26" s="160">
        <v>25</v>
      </c>
      <c r="N26" s="16" t="s">
        <v>49</v>
      </c>
      <c r="O26" s="15">
        <f>C49</f>
        <v>1697</v>
      </c>
    </row>
    <row r="27" spans="1:15" x14ac:dyDescent="0.2">
      <c r="A27" s="21">
        <v>26</v>
      </c>
      <c r="B27" s="21" t="s">
        <v>41</v>
      </c>
      <c r="C27" s="22">
        <v>701</v>
      </c>
      <c r="D27" s="11"/>
      <c r="M27" s="160">
        <v>26</v>
      </c>
      <c r="N27" s="16" t="s">
        <v>47</v>
      </c>
      <c r="O27" s="15">
        <f>C50</f>
        <v>390</v>
      </c>
    </row>
    <row r="28" spans="1:15" x14ac:dyDescent="0.2">
      <c r="A28" s="21">
        <v>27</v>
      </c>
      <c r="B28" s="21" t="s">
        <v>36</v>
      </c>
      <c r="C28" s="22">
        <v>564</v>
      </c>
      <c r="D28" s="11"/>
      <c r="M28" s="160">
        <v>27</v>
      </c>
      <c r="N28" s="16" t="s">
        <v>58</v>
      </c>
      <c r="O28" s="15">
        <f>C51</f>
        <v>1073</v>
      </c>
    </row>
    <row r="29" spans="1:15" x14ac:dyDescent="0.2">
      <c r="A29" s="21">
        <v>28</v>
      </c>
      <c r="B29" s="21" t="s">
        <v>7</v>
      </c>
      <c r="C29" s="22">
        <v>525</v>
      </c>
      <c r="D29" s="11"/>
      <c r="M29" s="160">
        <v>28</v>
      </c>
      <c r="N29" s="23" t="s">
        <v>22</v>
      </c>
      <c r="O29" s="24">
        <f>C12</f>
        <v>7261</v>
      </c>
    </row>
    <row r="30" spans="1:15" x14ac:dyDescent="0.2">
      <c r="A30" s="21">
        <v>29</v>
      </c>
      <c r="B30" s="21" t="s">
        <v>55</v>
      </c>
      <c r="C30" s="22">
        <v>1909</v>
      </c>
      <c r="D30" s="11"/>
      <c r="M30" s="160">
        <v>29</v>
      </c>
      <c r="N30" s="16" t="s">
        <v>14</v>
      </c>
      <c r="O30" s="15">
        <f>C35</f>
        <v>1126</v>
      </c>
    </row>
    <row r="31" spans="1:15" x14ac:dyDescent="0.2">
      <c r="A31" s="21">
        <v>30</v>
      </c>
      <c r="B31" s="21" t="s">
        <v>21</v>
      </c>
      <c r="C31" s="22">
        <v>2580</v>
      </c>
      <c r="D31" s="11"/>
      <c r="M31" s="160">
        <v>30</v>
      </c>
      <c r="N31" s="21" t="s">
        <v>71</v>
      </c>
      <c r="O31" s="22">
        <f>C24</f>
        <v>96</v>
      </c>
    </row>
    <row r="32" spans="1:15" x14ac:dyDescent="0.2">
      <c r="A32" s="21">
        <v>31</v>
      </c>
      <c r="B32" s="21" t="s">
        <v>6</v>
      </c>
      <c r="C32" s="22">
        <v>222</v>
      </c>
      <c r="D32" s="11"/>
      <c r="M32" s="160">
        <v>31</v>
      </c>
      <c r="N32" s="21" t="s">
        <v>41</v>
      </c>
      <c r="O32" s="22">
        <f>C27</f>
        <v>701</v>
      </c>
    </row>
    <row r="33" spans="1:15" x14ac:dyDescent="0.2">
      <c r="A33" s="21">
        <v>32</v>
      </c>
      <c r="B33" s="21" t="s">
        <v>34</v>
      </c>
      <c r="C33" s="22">
        <v>129</v>
      </c>
      <c r="D33" s="11"/>
      <c r="M33" s="160">
        <v>32</v>
      </c>
      <c r="N33" s="21" t="s">
        <v>30</v>
      </c>
      <c r="O33" s="22">
        <f>C21</f>
        <v>310</v>
      </c>
    </row>
    <row r="34" spans="1:15" x14ac:dyDescent="0.2">
      <c r="A34" s="16">
        <v>33</v>
      </c>
      <c r="B34" s="16" t="s">
        <v>52</v>
      </c>
      <c r="C34" s="15">
        <v>1891</v>
      </c>
      <c r="D34" s="11"/>
      <c r="M34" s="160">
        <v>33</v>
      </c>
      <c r="N34" s="21" t="s">
        <v>55</v>
      </c>
      <c r="O34" s="22">
        <f>C30</f>
        <v>1909</v>
      </c>
    </row>
    <row r="35" spans="1:15" x14ac:dyDescent="0.2">
      <c r="A35" s="16">
        <v>34</v>
      </c>
      <c r="B35" s="16" t="s">
        <v>14</v>
      </c>
      <c r="C35" s="15">
        <v>1126</v>
      </c>
      <c r="D35" s="11"/>
      <c r="M35" s="160">
        <v>34</v>
      </c>
      <c r="N35" s="21" t="s">
        <v>20</v>
      </c>
      <c r="O35" s="22">
        <f>C22</f>
        <v>1270</v>
      </c>
    </row>
    <row r="36" spans="1:15" x14ac:dyDescent="0.2">
      <c r="A36" s="16">
        <v>35</v>
      </c>
      <c r="B36" s="16" t="s">
        <v>32</v>
      </c>
      <c r="C36" s="15">
        <v>1225</v>
      </c>
      <c r="D36" s="11"/>
      <c r="E36" s="11"/>
      <c r="M36" s="160">
        <v>35</v>
      </c>
      <c r="N36" s="21" t="s">
        <v>45</v>
      </c>
      <c r="O36" s="22">
        <f>C23</f>
        <v>1506</v>
      </c>
    </row>
    <row r="37" spans="1:15" x14ac:dyDescent="0.2">
      <c r="A37" s="16">
        <v>36</v>
      </c>
      <c r="B37" s="16" t="s">
        <v>29</v>
      </c>
      <c r="C37" s="15">
        <v>117</v>
      </c>
      <c r="D37" s="11"/>
      <c r="M37" s="160">
        <v>36</v>
      </c>
      <c r="N37" s="21" t="s">
        <v>39</v>
      </c>
      <c r="O37" s="22">
        <f>C25</f>
        <v>148</v>
      </c>
    </row>
    <row r="38" spans="1:15" x14ac:dyDescent="0.2">
      <c r="A38" s="16">
        <v>37</v>
      </c>
      <c r="B38" s="16" t="s">
        <v>26</v>
      </c>
      <c r="C38" s="15">
        <v>1185</v>
      </c>
      <c r="D38" s="11"/>
      <c r="M38" s="160">
        <v>37</v>
      </c>
      <c r="N38" s="21" t="s">
        <v>19</v>
      </c>
      <c r="O38" s="22">
        <f>C26</f>
        <v>518</v>
      </c>
    </row>
    <row r="39" spans="1:15" x14ac:dyDescent="0.2">
      <c r="A39" s="16">
        <v>38</v>
      </c>
      <c r="B39" s="16" t="s">
        <v>48</v>
      </c>
      <c r="C39" s="15">
        <v>642</v>
      </c>
      <c r="D39" s="11"/>
      <c r="M39" s="160">
        <v>38</v>
      </c>
      <c r="N39" s="16" t="s">
        <v>50</v>
      </c>
      <c r="O39" s="15">
        <f>C52</f>
        <v>184</v>
      </c>
    </row>
    <row r="40" spans="1:15" x14ac:dyDescent="0.2">
      <c r="A40" s="16">
        <v>39</v>
      </c>
      <c r="B40" s="16" t="s">
        <v>44</v>
      </c>
      <c r="C40" s="15">
        <v>633</v>
      </c>
      <c r="D40" s="11"/>
      <c r="M40" s="160">
        <v>39</v>
      </c>
      <c r="N40" s="23" t="s">
        <v>13</v>
      </c>
      <c r="O40" s="24">
        <f>C13</f>
        <v>538</v>
      </c>
    </row>
    <row r="41" spans="1:15" x14ac:dyDescent="0.2">
      <c r="A41" s="16">
        <v>40</v>
      </c>
      <c r="B41" s="16" t="s">
        <v>37</v>
      </c>
      <c r="C41" s="15">
        <v>1284</v>
      </c>
      <c r="D41" s="11"/>
      <c r="M41" s="160">
        <v>40</v>
      </c>
      <c r="N41" s="23" t="s">
        <v>17</v>
      </c>
      <c r="O41" s="24">
        <f>C14</f>
        <v>111</v>
      </c>
    </row>
    <row r="42" spans="1:15" x14ac:dyDescent="0.2">
      <c r="A42" s="16">
        <v>41</v>
      </c>
      <c r="B42" s="16" t="s">
        <v>51</v>
      </c>
      <c r="C42" s="15">
        <v>731</v>
      </c>
      <c r="D42" s="11"/>
      <c r="M42" s="160">
        <v>41</v>
      </c>
      <c r="N42" s="21" t="s">
        <v>36</v>
      </c>
      <c r="O42" s="22">
        <f>C28</f>
        <v>564</v>
      </c>
    </row>
    <row r="43" spans="1:15" x14ac:dyDescent="0.2">
      <c r="A43" s="16">
        <v>42</v>
      </c>
      <c r="B43" s="16" t="s">
        <v>8</v>
      </c>
      <c r="C43" s="15">
        <v>1016</v>
      </c>
      <c r="D43" s="11"/>
      <c r="M43" s="160">
        <v>42</v>
      </c>
      <c r="N43" s="23" t="s">
        <v>43</v>
      </c>
      <c r="O43" s="24">
        <f>C15</f>
        <v>421</v>
      </c>
    </row>
    <row r="44" spans="1:15" x14ac:dyDescent="0.2">
      <c r="A44" s="16">
        <v>43</v>
      </c>
      <c r="B44" s="16" t="s">
        <v>24</v>
      </c>
      <c r="C44" s="15">
        <v>304</v>
      </c>
      <c r="D44" s="11"/>
      <c r="M44" s="160">
        <v>43</v>
      </c>
      <c r="N44" s="21" t="s">
        <v>7</v>
      </c>
      <c r="O44" s="22">
        <f>C29</f>
        <v>525</v>
      </c>
    </row>
    <row r="45" spans="1:15" x14ac:dyDescent="0.2">
      <c r="A45" s="16">
        <v>44</v>
      </c>
      <c r="B45" s="16" t="s">
        <v>9</v>
      </c>
      <c r="C45" s="15">
        <v>2412</v>
      </c>
      <c r="D45" s="11"/>
      <c r="M45" s="160">
        <v>44</v>
      </c>
      <c r="N45" s="23" t="s">
        <v>40</v>
      </c>
      <c r="O45" s="24">
        <f>C16</f>
        <v>346</v>
      </c>
    </row>
    <row r="46" spans="1:15" x14ac:dyDescent="0.2">
      <c r="A46" s="16">
        <v>45</v>
      </c>
      <c r="B46" s="16" t="s">
        <v>62</v>
      </c>
      <c r="C46" s="15">
        <v>735</v>
      </c>
      <c r="D46" s="11"/>
      <c r="M46" s="160">
        <v>45</v>
      </c>
      <c r="N46" s="16" t="s">
        <v>16</v>
      </c>
      <c r="O46" s="15">
        <f>C53</f>
        <v>6466</v>
      </c>
    </row>
    <row r="47" spans="1:15" x14ac:dyDescent="0.2">
      <c r="A47" s="16">
        <v>46</v>
      </c>
      <c r="B47" s="16" t="s">
        <v>46</v>
      </c>
      <c r="C47" s="15">
        <v>185</v>
      </c>
      <c r="D47" s="11"/>
      <c r="M47" s="160">
        <v>46</v>
      </c>
      <c r="N47" s="23" t="s">
        <v>31</v>
      </c>
      <c r="O47" s="24">
        <f>C17</f>
        <v>710</v>
      </c>
    </row>
    <row r="48" spans="1:15" x14ac:dyDescent="0.2">
      <c r="A48" s="16">
        <v>47</v>
      </c>
      <c r="B48" s="16" t="s">
        <v>35</v>
      </c>
      <c r="C48" s="15">
        <v>340</v>
      </c>
      <c r="D48" s="11"/>
      <c r="M48" s="160">
        <v>47</v>
      </c>
      <c r="N48" s="21" t="s">
        <v>21</v>
      </c>
      <c r="O48" s="22">
        <f>C31</f>
        <v>2580</v>
      </c>
    </row>
    <row r="49" spans="1:15" x14ac:dyDescent="0.2">
      <c r="A49" s="16">
        <v>48</v>
      </c>
      <c r="B49" s="16" t="s">
        <v>49</v>
      </c>
      <c r="C49" s="15">
        <v>1697</v>
      </c>
      <c r="D49" s="11"/>
      <c r="M49" s="160">
        <v>48</v>
      </c>
      <c r="N49" s="21" t="s">
        <v>6</v>
      </c>
      <c r="O49" s="22">
        <f>C32</f>
        <v>222</v>
      </c>
    </row>
    <row r="50" spans="1:15" x14ac:dyDescent="0.2">
      <c r="A50" s="16">
        <v>49</v>
      </c>
      <c r="B50" s="16" t="s">
        <v>47</v>
      </c>
      <c r="C50" s="15">
        <v>390</v>
      </c>
      <c r="D50" s="11"/>
      <c r="M50" s="160">
        <v>49</v>
      </c>
      <c r="N50" s="23" t="s">
        <v>12</v>
      </c>
      <c r="O50" s="24">
        <f>C18</f>
        <v>269</v>
      </c>
    </row>
    <row r="51" spans="1:15" x14ac:dyDescent="0.2">
      <c r="A51" s="16">
        <v>50</v>
      </c>
      <c r="B51" s="16" t="s">
        <v>58</v>
      </c>
      <c r="C51" s="15">
        <v>1073</v>
      </c>
      <c r="D51" s="11"/>
      <c r="M51" s="160">
        <v>50</v>
      </c>
      <c r="N51" s="21" t="s">
        <v>34</v>
      </c>
      <c r="O51" s="22">
        <f>C33</f>
        <v>129</v>
      </c>
    </row>
    <row r="52" spans="1:15" x14ac:dyDescent="0.2">
      <c r="A52" s="16">
        <v>51</v>
      </c>
      <c r="B52" s="16" t="s">
        <v>50</v>
      </c>
      <c r="C52" s="15">
        <v>184</v>
      </c>
      <c r="D52" s="11"/>
      <c r="M52" s="160">
        <v>51</v>
      </c>
      <c r="N52" s="23" t="s">
        <v>59</v>
      </c>
      <c r="O52" s="24">
        <f>C19</f>
        <v>440</v>
      </c>
    </row>
    <row r="53" spans="1:15" x14ac:dyDescent="0.2">
      <c r="A53" s="16">
        <v>52</v>
      </c>
      <c r="B53" s="16" t="s">
        <v>16</v>
      </c>
      <c r="C53" s="15">
        <v>6466</v>
      </c>
      <c r="D53" s="11"/>
      <c r="M53" s="160">
        <v>52</v>
      </c>
      <c r="N53" s="23" t="s">
        <v>27</v>
      </c>
      <c r="O53" s="24">
        <f>C20</f>
        <v>3229</v>
      </c>
    </row>
    <row r="54" spans="1:15" x14ac:dyDescent="0.2">
      <c r="A54" s="16">
        <v>53</v>
      </c>
      <c r="B54" s="16" t="s">
        <v>25</v>
      </c>
      <c r="C54" s="25">
        <v>559</v>
      </c>
      <c r="D54" s="11"/>
      <c r="M54" s="160">
        <v>53</v>
      </c>
      <c r="N54" s="16" t="s">
        <v>25</v>
      </c>
      <c r="O54" s="25">
        <f>C54</f>
        <v>559</v>
      </c>
    </row>
    <row r="55" spans="1:15" x14ac:dyDescent="0.2">
      <c r="B55" s="10" t="s">
        <v>65</v>
      </c>
      <c r="C55" s="15">
        <f>SUM(C2:C54)</f>
        <v>73798</v>
      </c>
      <c r="D55" s="11" t="s">
        <v>836</v>
      </c>
      <c r="N55" s="10" t="s">
        <v>65</v>
      </c>
      <c r="O55" s="15">
        <f>SUM(O2:O54)</f>
        <v>73798</v>
      </c>
    </row>
    <row r="56" spans="1:15" x14ac:dyDescent="0.2">
      <c r="D56" s="11"/>
    </row>
    <row r="57" spans="1:15" x14ac:dyDescent="0.2">
      <c r="D57" s="11"/>
    </row>
    <row r="58" spans="1:15" x14ac:dyDescent="0.2">
      <c r="D58" s="13"/>
      <c r="E58" s="11"/>
    </row>
    <row r="59" spans="1:15" x14ac:dyDescent="0.2">
      <c r="D59" s="11"/>
      <c r="E59" s="15"/>
      <c r="F59" s="11"/>
      <c r="G59" s="11"/>
      <c r="H59" s="11"/>
      <c r="I59" s="11"/>
    </row>
  </sheetData>
  <sortState xmlns:xlrd2="http://schemas.microsoft.com/office/spreadsheetml/2017/richdata2" ref="M2:O58">
    <sortCondition ref="N2:N58"/>
  </sortState>
  <mergeCells count="1">
    <mergeCell ref="G2:K2"/>
  </mergeCells>
  <pageMargins left="0.23622047244094491" right="0.23622047244094491" top="0.35433070866141736" bottom="0.35433070866141736" header="0.31496062992125984" footer="0.31496062992125984"/>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F0"/>
  </sheetPr>
  <dimension ref="A1:C9"/>
  <sheetViews>
    <sheetView workbookViewId="0">
      <selection activeCell="C6" sqref="C6"/>
    </sheetView>
  </sheetViews>
  <sheetFormatPr baseColWidth="10" defaultColWidth="11.42578125" defaultRowHeight="15" x14ac:dyDescent="0.25"/>
  <cols>
    <col min="1" max="1" width="9.140625" customWidth="1"/>
    <col min="2" max="2" width="38.5703125" customWidth="1"/>
    <col min="3" max="3" width="22.85546875" customWidth="1"/>
  </cols>
  <sheetData>
    <row r="1" spans="1:3" ht="26.25" x14ac:dyDescent="0.4">
      <c r="A1" s="32" t="s">
        <v>839</v>
      </c>
    </row>
    <row r="3" spans="1:3" x14ac:dyDescent="0.25">
      <c r="A3" s="7" t="s">
        <v>756</v>
      </c>
    </row>
    <row r="5" spans="1:3" x14ac:dyDescent="0.25">
      <c r="A5" s="39" t="s">
        <v>216</v>
      </c>
      <c r="B5" s="39" t="s">
        <v>201</v>
      </c>
      <c r="C5" s="39" t="s">
        <v>840</v>
      </c>
    </row>
    <row r="6" spans="1:3" x14ac:dyDescent="0.25">
      <c r="A6" s="40">
        <v>90</v>
      </c>
      <c r="B6" s="41" t="s">
        <v>798</v>
      </c>
      <c r="C6" s="44">
        <f>'Bourgeoisies Comptes 2021'!R153</f>
        <v>162009.20000000001</v>
      </c>
    </row>
    <row r="7" spans="1:3" x14ac:dyDescent="0.25">
      <c r="A7" s="40">
        <v>900</v>
      </c>
      <c r="B7" s="41" t="s">
        <v>219</v>
      </c>
      <c r="C7" s="44">
        <f>'Bourgeoisies Comptes 2021'!R154</f>
        <v>162009.20000000001</v>
      </c>
    </row>
    <row r="8" spans="1:3" x14ac:dyDescent="0.25">
      <c r="A8" s="40">
        <v>901</v>
      </c>
      <c r="B8" s="41" t="s">
        <v>220</v>
      </c>
      <c r="C8" s="44">
        <f>'Bourgeoisies Comptes 2021'!R155</f>
        <v>0</v>
      </c>
    </row>
    <row r="9" spans="1:3" x14ac:dyDescent="0.25">
      <c r="A9" s="40" t="s">
        <v>217</v>
      </c>
      <c r="B9" s="41" t="s">
        <v>221</v>
      </c>
      <c r="C9" s="44">
        <f>'Bourgeoisie investissement'!R182</f>
        <v>-65757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F0"/>
  </sheetPr>
  <dimension ref="A1:C17"/>
  <sheetViews>
    <sheetView workbookViewId="0">
      <selection activeCell="B5" sqref="B5"/>
    </sheetView>
  </sheetViews>
  <sheetFormatPr baseColWidth="10" defaultColWidth="11.42578125" defaultRowHeight="15" x14ac:dyDescent="0.25"/>
  <cols>
    <col min="1" max="1" width="9.28515625" customWidth="1"/>
    <col min="2" max="2" width="39.7109375" customWidth="1"/>
    <col min="3" max="3" width="27.85546875" customWidth="1"/>
    <col min="4" max="4" width="23" customWidth="1"/>
  </cols>
  <sheetData>
    <row r="1" spans="1:3" ht="26.25" x14ac:dyDescent="0.4">
      <c r="A1" s="32" t="s">
        <v>856</v>
      </c>
    </row>
    <row r="4" spans="1:3" ht="15.75" thickBot="1" x14ac:dyDescent="0.3">
      <c r="B4" t="s">
        <v>758</v>
      </c>
    </row>
    <row r="5" spans="1:3" ht="15.75" thickBot="1" x14ac:dyDescent="0.3">
      <c r="B5" s="142" t="s">
        <v>28</v>
      </c>
    </row>
    <row r="8" spans="1:3" x14ac:dyDescent="0.25">
      <c r="A8" s="39" t="s">
        <v>216</v>
      </c>
      <c r="B8" s="39" t="s">
        <v>201</v>
      </c>
      <c r="C8" s="39" t="s">
        <v>840</v>
      </c>
    </row>
    <row r="9" spans="1:3" x14ac:dyDescent="0.25">
      <c r="A9" s="40">
        <v>90</v>
      </c>
      <c r="B9" s="41" t="s">
        <v>798</v>
      </c>
      <c r="C9" s="44">
        <f>HLOOKUP($B$5,'Bourgeoisies Comptes 2021'!$E$3:$R$165,151,0)</f>
        <v>-699.52</v>
      </c>
    </row>
    <row r="10" spans="1:3" x14ac:dyDescent="0.25">
      <c r="A10" s="40">
        <v>900</v>
      </c>
      <c r="B10" s="41" t="s">
        <v>219</v>
      </c>
      <c r="C10" s="44">
        <f>HLOOKUP($B$5,'Bourgeoisies Comptes 2021'!$E$3:$R$165,152,0)</f>
        <v>-699.52</v>
      </c>
    </row>
    <row r="11" spans="1:3" x14ac:dyDescent="0.25">
      <c r="A11" s="40">
        <v>901</v>
      </c>
      <c r="B11" s="41" t="s">
        <v>220</v>
      </c>
      <c r="C11" s="44">
        <f>HLOOKUP($B$5,'Bourgeoisies Comptes 2021'!$E$3:$R$165,153,0)</f>
        <v>0</v>
      </c>
    </row>
    <row r="12" spans="1:3" x14ac:dyDescent="0.25">
      <c r="A12" s="40" t="s">
        <v>217</v>
      </c>
      <c r="B12" s="41" t="s">
        <v>221</v>
      </c>
      <c r="C12" s="44">
        <f>HLOOKUP($B$5,'Bourgeoisie investissement'!$E$3:$R$184,180,0)</f>
        <v>-94682.25</v>
      </c>
    </row>
    <row r="14" spans="1:3" x14ac:dyDescent="0.25">
      <c r="C14" s="1"/>
    </row>
    <row r="15" spans="1:3" x14ac:dyDescent="0.25">
      <c r="C15" s="4"/>
    </row>
    <row r="16" spans="1:3" x14ac:dyDescent="0.25">
      <c r="C16" s="4"/>
    </row>
    <row r="17" spans="3:3" x14ac:dyDescent="0.25">
      <c r="C17" s="4"/>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800-000000000000}">
          <x14:formula1>
            <xm:f>'Bourgeoisies Comptes 2021'!$E$3:$R$3</xm:f>
          </x14:formula1>
          <xm:sqref>B5</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F0"/>
  </sheetPr>
  <dimension ref="A1:C22"/>
  <sheetViews>
    <sheetView workbookViewId="0">
      <selection activeCell="A6" sqref="A6"/>
    </sheetView>
  </sheetViews>
  <sheetFormatPr baseColWidth="10" defaultColWidth="11.42578125" defaultRowHeight="15" x14ac:dyDescent="0.25"/>
  <cols>
    <col min="1" max="1" width="22.7109375" customWidth="1"/>
    <col min="2" max="2" width="34.42578125" customWidth="1"/>
    <col min="3" max="3" width="23" customWidth="1"/>
  </cols>
  <sheetData>
    <row r="1" spans="1:3" ht="26.25" x14ac:dyDescent="0.4">
      <c r="A1" s="32" t="s">
        <v>842</v>
      </c>
    </row>
    <row r="4" spans="1:3" x14ac:dyDescent="0.25">
      <c r="A4" s="7" t="s">
        <v>757</v>
      </c>
    </row>
    <row r="5" spans="1:3" x14ac:dyDescent="0.25">
      <c r="A5" s="7" t="s">
        <v>843</v>
      </c>
    </row>
    <row r="7" spans="1:3" x14ac:dyDescent="0.25">
      <c r="A7" s="39" t="s">
        <v>200</v>
      </c>
      <c r="B7" s="39" t="s">
        <v>201</v>
      </c>
      <c r="C7" s="39" t="s">
        <v>202</v>
      </c>
    </row>
    <row r="8" spans="1:3" x14ac:dyDescent="0.25">
      <c r="A8" s="40" t="s">
        <v>209</v>
      </c>
      <c r="B8" s="41" t="s">
        <v>203</v>
      </c>
      <c r="C8" s="44">
        <f>'Bourgeoisies Comptes 2021'!R5+'Bourgeoisies Comptes 2021'!R15+'Bourgeoisies Comptes 2021'!R27+'Bourgeoisies Comptes 2021'!R39+'Bourgeoisies Comptes 2021'!R43+'Bourgeoisies Comptes 2021'!R53</f>
        <v>3274257.9099999997</v>
      </c>
    </row>
    <row r="9" spans="1:3" x14ac:dyDescent="0.25">
      <c r="A9" s="40" t="s">
        <v>210</v>
      </c>
      <c r="B9" s="41" t="s">
        <v>204</v>
      </c>
      <c r="C9" s="44">
        <f>'Bourgeoisies Comptes 2021'!R76+'Bourgeoisies Comptes 2021'!R82+'Bourgeoisies Comptes 2021'!R88+'Bourgeoisies Comptes 2021'!R99+'Bourgeoisies Comptes 2021'!R117+'Bourgeoisies Comptes 2021'!R121+'Bourgeoisies Comptes 2021'!R128</f>
        <v>2036220.64</v>
      </c>
    </row>
    <row r="10" spans="1:3" x14ac:dyDescent="0.25">
      <c r="A10" s="41"/>
      <c r="B10" s="43" t="s">
        <v>205</v>
      </c>
      <c r="C10" s="50">
        <f>C9-C8</f>
        <v>-1238037.2699999998</v>
      </c>
    </row>
    <row r="11" spans="1:3" x14ac:dyDescent="0.25">
      <c r="A11" s="41"/>
      <c r="B11" s="41"/>
      <c r="C11" s="41"/>
    </row>
    <row r="12" spans="1:3" x14ac:dyDescent="0.25">
      <c r="A12" s="41">
        <v>34</v>
      </c>
      <c r="B12" s="41" t="s">
        <v>101</v>
      </c>
      <c r="C12" s="44">
        <f>'Bourgeoisies Comptes 2021'!R31</f>
        <v>314117.31</v>
      </c>
    </row>
    <row r="13" spans="1:3" x14ac:dyDescent="0.25">
      <c r="A13" s="41">
        <v>44</v>
      </c>
      <c r="B13" s="41" t="s">
        <v>162</v>
      </c>
      <c r="C13" s="44">
        <f>'Bourgeoisies Comptes 2021'!R105</f>
        <v>1957428.23</v>
      </c>
    </row>
    <row r="14" spans="1:3" x14ac:dyDescent="0.25">
      <c r="A14" s="41"/>
      <c r="B14" s="43" t="s">
        <v>238</v>
      </c>
      <c r="C14" s="50">
        <f>C13-C12</f>
        <v>1643310.92</v>
      </c>
    </row>
    <row r="15" spans="1:3" x14ac:dyDescent="0.25">
      <c r="A15" s="41"/>
      <c r="B15" s="41"/>
      <c r="C15" s="41"/>
    </row>
    <row r="16" spans="1:3" x14ac:dyDescent="0.25">
      <c r="A16" s="41"/>
      <c r="B16" s="43" t="s">
        <v>206</v>
      </c>
      <c r="C16" s="50">
        <f>C10+C14</f>
        <v>405273.65000000014</v>
      </c>
    </row>
    <row r="17" spans="1:3" x14ac:dyDescent="0.25">
      <c r="A17" s="41"/>
      <c r="B17" s="41"/>
      <c r="C17" s="41"/>
    </row>
    <row r="18" spans="1:3" x14ac:dyDescent="0.25">
      <c r="A18" s="41">
        <v>38</v>
      </c>
      <c r="B18" s="41" t="s">
        <v>121</v>
      </c>
      <c r="C18" s="44">
        <f>'Bourgeoisies Comptes 2021'!R56</f>
        <v>352666.18</v>
      </c>
    </row>
    <row r="19" spans="1:3" x14ac:dyDescent="0.25">
      <c r="A19" s="41">
        <v>48</v>
      </c>
      <c r="B19" s="41" t="s">
        <v>181</v>
      </c>
      <c r="C19" s="44">
        <f>'Bourgeoisies Comptes 2021'!R131</f>
        <v>115891.98</v>
      </c>
    </row>
    <row r="20" spans="1:3" x14ac:dyDescent="0.25">
      <c r="A20" s="41"/>
      <c r="B20" s="43" t="s">
        <v>207</v>
      </c>
      <c r="C20" s="50">
        <f>C19-C18</f>
        <v>-236774.2</v>
      </c>
    </row>
    <row r="21" spans="1:3" x14ac:dyDescent="0.25">
      <c r="A21" s="41"/>
      <c r="B21" s="41"/>
      <c r="C21" s="41"/>
    </row>
    <row r="22" spans="1:3" x14ac:dyDescent="0.25">
      <c r="A22" s="41"/>
      <c r="B22" s="43" t="s">
        <v>208</v>
      </c>
      <c r="C22" s="50">
        <f>C16+C20</f>
        <v>168499.45000000013</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F0"/>
  </sheetPr>
  <dimension ref="A1:C27"/>
  <sheetViews>
    <sheetView workbookViewId="0">
      <selection activeCell="B5" sqref="B5"/>
    </sheetView>
  </sheetViews>
  <sheetFormatPr baseColWidth="10" defaultColWidth="11.42578125" defaultRowHeight="15" x14ac:dyDescent="0.25"/>
  <cols>
    <col min="1" max="1" width="21.85546875" customWidth="1"/>
    <col min="2" max="2" width="40.42578125" customWidth="1"/>
    <col min="3" max="3" width="22.85546875" customWidth="1"/>
  </cols>
  <sheetData>
    <row r="1" spans="1:3" ht="26.25" x14ac:dyDescent="0.4">
      <c r="A1" s="32" t="s">
        <v>842</v>
      </c>
    </row>
    <row r="4" spans="1:3" ht="15.75" thickBot="1" x14ac:dyDescent="0.3">
      <c r="B4" t="s">
        <v>758</v>
      </c>
    </row>
    <row r="5" spans="1:3" ht="15.75" thickBot="1" x14ac:dyDescent="0.3">
      <c r="B5" s="142" t="s">
        <v>28</v>
      </c>
    </row>
    <row r="7" spans="1:3" x14ac:dyDescent="0.25">
      <c r="A7" s="39" t="s">
        <v>200</v>
      </c>
      <c r="B7" s="39" t="s">
        <v>201</v>
      </c>
      <c r="C7" s="39" t="s">
        <v>202</v>
      </c>
    </row>
    <row r="8" spans="1:3" x14ac:dyDescent="0.25">
      <c r="A8" s="40" t="s">
        <v>209</v>
      </c>
      <c r="B8" s="41" t="s">
        <v>203</v>
      </c>
      <c r="C8" s="44">
        <f>HLOOKUP($B$5,'Bourgeoisies Comptes 2021'!$E$3:$R$168,162,0)</f>
        <v>1205679.48</v>
      </c>
    </row>
    <row r="9" spans="1:3" x14ac:dyDescent="0.25">
      <c r="A9" s="40" t="s">
        <v>210</v>
      </c>
      <c r="B9" s="41" t="s">
        <v>204</v>
      </c>
      <c r="C9" s="44">
        <f>HLOOKUP($B$5,'Bourgeoisies Comptes 2021'!$E$3:$R$168,163,0)</f>
        <v>512059.55000000005</v>
      </c>
    </row>
    <row r="10" spans="1:3" x14ac:dyDescent="0.25">
      <c r="A10" s="41"/>
      <c r="B10" s="43" t="s">
        <v>205</v>
      </c>
      <c r="C10" s="50">
        <f>C9-C8</f>
        <v>-693619.92999999993</v>
      </c>
    </row>
    <row r="11" spans="1:3" x14ac:dyDescent="0.25">
      <c r="A11" s="41"/>
      <c r="B11" s="41"/>
      <c r="C11" s="41"/>
    </row>
    <row r="12" spans="1:3" x14ac:dyDescent="0.25">
      <c r="A12" s="41">
        <v>34</v>
      </c>
      <c r="B12" s="41" t="s">
        <v>101</v>
      </c>
      <c r="C12" s="44">
        <f>HLOOKUP($B$5,'Bourgeoisies Comptes 2021'!$E$3:$R$168,29,0)</f>
        <v>117707.35</v>
      </c>
    </row>
    <row r="13" spans="1:3" x14ac:dyDescent="0.25">
      <c r="A13" s="41">
        <v>44</v>
      </c>
      <c r="B13" s="41" t="s">
        <v>162</v>
      </c>
      <c r="C13" s="44">
        <f>HLOOKUP($B$5,'Bourgeoisies Comptes 2021'!$E$3:$R$168,103,0)</f>
        <v>1160627.76</v>
      </c>
    </row>
    <row r="14" spans="1:3" x14ac:dyDescent="0.25">
      <c r="A14" s="41"/>
      <c r="B14" s="43" t="s">
        <v>238</v>
      </c>
      <c r="C14" s="50">
        <f>C13-C12</f>
        <v>1042920.41</v>
      </c>
    </row>
    <row r="15" spans="1:3" x14ac:dyDescent="0.25">
      <c r="A15" s="41"/>
      <c r="B15" s="41"/>
      <c r="C15" s="41"/>
    </row>
    <row r="16" spans="1:3" x14ac:dyDescent="0.25">
      <c r="A16" s="41"/>
      <c r="B16" s="43" t="s">
        <v>206</v>
      </c>
      <c r="C16" s="50">
        <f>C10+C14</f>
        <v>349300.4800000001</v>
      </c>
    </row>
    <row r="17" spans="1:3" x14ac:dyDescent="0.25">
      <c r="A17" s="41"/>
      <c r="B17" s="41"/>
      <c r="C17" s="41"/>
    </row>
    <row r="18" spans="1:3" x14ac:dyDescent="0.25">
      <c r="A18" s="41">
        <v>38</v>
      </c>
      <c r="B18" s="41" t="s">
        <v>121</v>
      </c>
      <c r="C18" s="44">
        <f>HLOOKUP($B$5,'Bourgeoisies Comptes 2021'!$E$3:$R$168,54,0)</f>
        <v>350000</v>
      </c>
    </row>
    <row r="19" spans="1:3" x14ac:dyDescent="0.25">
      <c r="A19" s="41">
        <v>48</v>
      </c>
      <c r="B19" s="41" t="s">
        <v>181</v>
      </c>
      <c r="C19" s="44">
        <f>HLOOKUP($B$5,'Bourgeoisies Comptes 2021'!$E$3:$R$168,129,0)</f>
        <v>0</v>
      </c>
    </row>
    <row r="20" spans="1:3" x14ac:dyDescent="0.25">
      <c r="A20" s="41"/>
      <c r="B20" s="43" t="s">
        <v>207</v>
      </c>
      <c r="C20" s="50">
        <f>C19-C18</f>
        <v>-350000</v>
      </c>
    </row>
    <row r="21" spans="1:3" x14ac:dyDescent="0.25">
      <c r="A21" s="41"/>
      <c r="B21" s="41"/>
      <c r="C21" s="41"/>
    </row>
    <row r="22" spans="1:3" x14ac:dyDescent="0.25">
      <c r="A22" s="41"/>
      <c r="B22" s="43" t="s">
        <v>208</v>
      </c>
      <c r="C22" s="50">
        <f>C16+C20</f>
        <v>-699.51999999990221</v>
      </c>
    </row>
    <row r="25" spans="1:3" x14ac:dyDescent="0.25">
      <c r="C25" s="83"/>
    </row>
    <row r="26" spans="1:3" x14ac:dyDescent="0.25">
      <c r="C26" s="4"/>
    </row>
    <row r="27" spans="1:3" x14ac:dyDescent="0.25">
      <c r="C27" s="83"/>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A00-000000000000}">
          <x14:formula1>
            <xm:f>'Bourgeoisies Comptes 2021'!$E$3:$R$3</xm:f>
          </x14:formula1>
          <xm:sqref>B5</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F0"/>
  </sheetPr>
  <dimension ref="A1:D23"/>
  <sheetViews>
    <sheetView workbookViewId="0">
      <selection activeCell="A6" sqref="A6"/>
    </sheetView>
  </sheetViews>
  <sheetFormatPr baseColWidth="10" defaultColWidth="11.42578125" defaultRowHeight="15" x14ac:dyDescent="0.25"/>
  <cols>
    <col min="2" max="2" width="4" customWidth="1"/>
    <col min="3" max="3" width="68.42578125" customWidth="1"/>
    <col min="4" max="4" width="22.85546875" customWidth="1"/>
  </cols>
  <sheetData>
    <row r="1" spans="1:4" ht="26.25" x14ac:dyDescent="0.4">
      <c r="A1" s="32" t="s">
        <v>222</v>
      </c>
    </row>
    <row r="4" spans="1:4" x14ac:dyDescent="0.25">
      <c r="A4" s="7" t="s">
        <v>757</v>
      </c>
    </row>
    <row r="5" spans="1:4" x14ac:dyDescent="0.25">
      <c r="A5" s="7" t="s">
        <v>844</v>
      </c>
    </row>
    <row r="7" spans="1:4" x14ac:dyDescent="0.25">
      <c r="A7" s="39" t="s">
        <v>223</v>
      </c>
      <c r="B7" s="39"/>
      <c r="C7" s="39" t="s">
        <v>201</v>
      </c>
      <c r="D7" s="39" t="s">
        <v>202</v>
      </c>
    </row>
    <row r="8" spans="1:4" x14ac:dyDescent="0.25">
      <c r="A8" s="41">
        <v>90</v>
      </c>
      <c r="B8" s="46"/>
      <c r="C8" s="41" t="s">
        <v>799</v>
      </c>
      <c r="D8" s="44">
        <f>'Bourgeoisies Comptes 2021'!R153</f>
        <v>162009.20000000001</v>
      </c>
    </row>
    <row r="9" spans="1:4" x14ac:dyDescent="0.25">
      <c r="A9" s="41">
        <v>33</v>
      </c>
      <c r="B9" s="46" t="s">
        <v>225</v>
      </c>
      <c r="C9" s="41" t="s">
        <v>98</v>
      </c>
      <c r="D9" s="44">
        <f>'Bourgeoisies Comptes 2021'!R27</f>
        <v>207297.65</v>
      </c>
    </row>
    <row r="10" spans="1:4" x14ac:dyDescent="0.25">
      <c r="A10" s="41">
        <v>35</v>
      </c>
      <c r="B10" s="46" t="s">
        <v>225</v>
      </c>
      <c r="C10" s="41" t="s">
        <v>227</v>
      </c>
      <c r="D10" s="44">
        <f>'Bourgeoisies Comptes 2021'!R39</f>
        <v>268855.77999999997</v>
      </c>
    </row>
    <row r="11" spans="1:4" x14ac:dyDescent="0.25">
      <c r="A11" s="41">
        <v>45</v>
      </c>
      <c r="B11" s="46" t="s">
        <v>226</v>
      </c>
      <c r="C11" s="41" t="s">
        <v>174</v>
      </c>
      <c r="D11" s="44">
        <f>'Bourgeoisies Comptes 2021'!R117</f>
        <v>201025.57</v>
      </c>
    </row>
    <row r="12" spans="1:4" x14ac:dyDescent="0.25">
      <c r="A12" s="41">
        <v>364</v>
      </c>
      <c r="B12" s="46" t="s">
        <v>225</v>
      </c>
      <c r="C12" s="41" t="s">
        <v>234</v>
      </c>
      <c r="D12" s="44">
        <f>'Bourgeoisies Comptes 2021'!R48</f>
        <v>0</v>
      </c>
    </row>
    <row r="13" spans="1:4" x14ac:dyDescent="0.25">
      <c r="A13" s="41">
        <v>365</v>
      </c>
      <c r="B13" s="46" t="s">
        <v>225</v>
      </c>
      <c r="C13" s="41" t="s">
        <v>235</v>
      </c>
      <c r="D13" s="44">
        <f>'Bourgeoisies Comptes 2021'!R49</f>
        <v>0</v>
      </c>
    </row>
    <row r="14" spans="1:4" x14ac:dyDescent="0.25">
      <c r="A14" s="41">
        <v>366</v>
      </c>
      <c r="B14" s="46" t="s">
        <v>225</v>
      </c>
      <c r="C14" s="41" t="s">
        <v>232</v>
      </c>
      <c r="D14" s="44">
        <f>'Bourgeoisies Comptes 2021'!R50</f>
        <v>0</v>
      </c>
    </row>
    <row r="15" spans="1:4" x14ac:dyDescent="0.25">
      <c r="A15" s="41">
        <v>389</v>
      </c>
      <c r="B15" s="46" t="s">
        <v>225</v>
      </c>
      <c r="C15" s="41" t="s">
        <v>228</v>
      </c>
      <c r="D15" s="44">
        <f>'Bourgeoisies Comptes 2021'!R62</f>
        <v>352666.18</v>
      </c>
    </row>
    <row r="16" spans="1:4" x14ac:dyDescent="0.25">
      <c r="A16" s="41">
        <v>4490</v>
      </c>
      <c r="B16" s="46" t="s">
        <v>226</v>
      </c>
      <c r="C16" s="41" t="s">
        <v>236</v>
      </c>
      <c r="D16" s="44">
        <f>'Bourgeoisies Comptes 2021'!R115</f>
        <v>0</v>
      </c>
    </row>
    <row r="17" spans="1:4" x14ac:dyDescent="0.25">
      <c r="A17" s="41">
        <v>489</v>
      </c>
      <c r="B17" s="46" t="s">
        <v>226</v>
      </c>
      <c r="C17" s="41" t="s">
        <v>233</v>
      </c>
      <c r="D17" s="44">
        <f>'Bourgeoisies Comptes 2021'!R138</f>
        <v>1.98</v>
      </c>
    </row>
    <row r="18" spans="1:4" x14ac:dyDescent="0.25">
      <c r="A18" s="41"/>
      <c r="B18" s="46"/>
      <c r="C18" s="41"/>
      <c r="D18" s="44"/>
    </row>
    <row r="19" spans="1:4" x14ac:dyDescent="0.25">
      <c r="A19" s="42"/>
      <c r="B19" s="42"/>
      <c r="C19" s="43" t="s">
        <v>229</v>
      </c>
      <c r="D19" s="50">
        <f>D8+D9+D10-D11+D12+D13+D14+D15-D16-D17</f>
        <v>789801.25999999989</v>
      </c>
    </row>
    <row r="20" spans="1:4" x14ac:dyDescent="0.25">
      <c r="A20" s="41"/>
      <c r="B20" s="41"/>
      <c r="C20" s="41"/>
      <c r="D20" s="44"/>
    </row>
    <row r="21" spans="1:4" x14ac:dyDescent="0.25">
      <c r="A21" s="41" t="s">
        <v>224</v>
      </c>
      <c r="B21" s="47" t="s">
        <v>226</v>
      </c>
      <c r="C21" s="41" t="s">
        <v>230</v>
      </c>
      <c r="D21" s="44">
        <f>'Bourgeoisie investissement'!R182</f>
        <v>-65757</v>
      </c>
    </row>
    <row r="22" spans="1:4" x14ac:dyDescent="0.25">
      <c r="A22" s="41"/>
      <c r="B22" s="41"/>
      <c r="C22" s="41"/>
      <c r="D22" s="44"/>
    </row>
    <row r="23" spans="1:4" x14ac:dyDescent="0.25">
      <c r="A23" s="42"/>
      <c r="B23" s="42"/>
      <c r="C23" s="43" t="s">
        <v>231</v>
      </c>
      <c r="D23" s="50">
        <f>D19-D21</f>
        <v>855558.25999999989</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F0"/>
    <pageSetUpPr fitToPage="1"/>
  </sheetPr>
  <dimension ref="A1:E23"/>
  <sheetViews>
    <sheetView workbookViewId="0">
      <selection activeCell="B5" sqref="B5:D5"/>
    </sheetView>
  </sheetViews>
  <sheetFormatPr baseColWidth="10" defaultColWidth="11.42578125" defaultRowHeight="15" x14ac:dyDescent="0.25"/>
  <cols>
    <col min="3" max="3" width="6" customWidth="1"/>
    <col min="4" max="4" width="65" customWidth="1"/>
    <col min="5" max="5" width="16.85546875" customWidth="1"/>
  </cols>
  <sheetData>
    <row r="1" spans="1:5" ht="26.25" x14ac:dyDescent="0.4">
      <c r="A1" s="32" t="s">
        <v>800</v>
      </c>
    </row>
    <row r="4" spans="1:5" ht="15.75" thickBot="1" x14ac:dyDescent="0.3">
      <c r="B4" t="s">
        <v>758</v>
      </c>
    </row>
    <row r="5" spans="1:5" ht="15.75" thickBot="1" x14ac:dyDescent="0.3">
      <c r="B5" s="175" t="s">
        <v>28</v>
      </c>
      <c r="C5" s="176"/>
      <c r="D5" s="177"/>
    </row>
    <row r="7" spans="1:5" x14ac:dyDescent="0.25">
      <c r="B7" s="39" t="s">
        <v>223</v>
      </c>
      <c r="C7" s="39"/>
      <c r="D7" s="39" t="s">
        <v>201</v>
      </c>
      <c r="E7" s="39" t="s">
        <v>202</v>
      </c>
    </row>
    <row r="8" spans="1:5" x14ac:dyDescent="0.25">
      <c r="B8" s="41">
        <v>90</v>
      </c>
      <c r="C8" s="46"/>
      <c r="D8" s="41" t="s">
        <v>799</v>
      </c>
      <c r="E8" s="44">
        <f>HLOOKUP($B$5,'Bourgeoisies Comptes 2021'!$E$3:$R$167,151,0)</f>
        <v>-699.52</v>
      </c>
    </row>
    <row r="9" spans="1:5" x14ac:dyDescent="0.25">
      <c r="B9" s="41">
        <v>33</v>
      </c>
      <c r="C9" s="46" t="s">
        <v>225</v>
      </c>
      <c r="D9" s="41" t="s">
        <v>98</v>
      </c>
      <c r="E9" s="44">
        <f>HLOOKUP($B$5,'Bourgeoisies Comptes 2021'!$E$3:$R$167,25,0)</f>
        <v>41330</v>
      </c>
    </row>
    <row r="10" spans="1:5" x14ac:dyDescent="0.25">
      <c r="B10" s="41">
        <v>35</v>
      </c>
      <c r="C10" s="46" t="s">
        <v>225</v>
      </c>
      <c r="D10" s="41" t="s">
        <v>227</v>
      </c>
      <c r="E10" s="44">
        <f>HLOOKUP($B$5,'Bourgeoisies Comptes 2021'!$E$3:$R$167,37,0)</f>
        <v>234871.18</v>
      </c>
    </row>
    <row r="11" spans="1:5" x14ac:dyDescent="0.25">
      <c r="B11" s="41">
        <v>45</v>
      </c>
      <c r="C11" s="46" t="s">
        <v>226</v>
      </c>
      <c r="D11" s="41" t="s">
        <v>174</v>
      </c>
      <c r="E11" s="44">
        <f>HLOOKUP($B$5,'Bourgeoisies Comptes 2021'!$E$3:$R$167,115,0)</f>
        <v>174300</v>
      </c>
    </row>
    <row r="12" spans="1:5" x14ac:dyDescent="0.25">
      <c r="B12" s="41">
        <v>364</v>
      </c>
      <c r="C12" s="46" t="s">
        <v>225</v>
      </c>
      <c r="D12" s="41" t="s">
        <v>234</v>
      </c>
      <c r="E12" s="44">
        <f>HLOOKUP($B$5,'Bourgeoisies Comptes 2021'!$E$3:$R$167,46,0)</f>
        <v>0</v>
      </c>
    </row>
    <row r="13" spans="1:5" x14ac:dyDescent="0.25">
      <c r="B13" s="41">
        <v>365</v>
      </c>
      <c r="C13" s="46" t="s">
        <v>225</v>
      </c>
      <c r="D13" s="41" t="s">
        <v>235</v>
      </c>
      <c r="E13" s="44">
        <f>HLOOKUP($B$5,'Bourgeoisies Comptes 2021'!$E$3:$R$167,47,0)</f>
        <v>0</v>
      </c>
    </row>
    <row r="14" spans="1:5" x14ac:dyDescent="0.25">
      <c r="B14" s="41">
        <v>366</v>
      </c>
      <c r="C14" s="46" t="s">
        <v>225</v>
      </c>
      <c r="D14" s="41" t="s">
        <v>232</v>
      </c>
      <c r="E14" s="44">
        <f>HLOOKUP($B$5,'Bourgeoisies Comptes 2021'!$E$3:$R$167,48,0)</f>
        <v>0</v>
      </c>
    </row>
    <row r="15" spans="1:5" x14ac:dyDescent="0.25">
      <c r="B15" s="41">
        <v>389</v>
      </c>
      <c r="C15" s="46" t="s">
        <v>225</v>
      </c>
      <c r="D15" s="41" t="s">
        <v>228</v>
      </c>
      <c r="E15" s="44">
        <f>HLOOKUP($B$5,'Bourgeoisies Comptes 2021'!$E$3:$R$167,60,0)</f>
        <v>350000</v>
      </c>
    </row>
    <row r="16" spans="1:5" x14ac:dyDescent="0.25">
      <c r="B16" s="41">
        <v>4490</v>
      </c>
      <c r="C16" s="46" t="s">
        <v>226</v>
      </c>
      <c r="D16" s="41" t="s">
        <v>236</v>
      </c>
      <c r="E16" s="44">
        <f>HLOOKUP($B$5,'Bourgeoisies Comptes 2021'!$E$3:$R$167,113,0)</f>
        <v>0</v>
      </c>
    </row>
    <row r="17" spans="2:5" x14ac:dyDescent="0.25">
      <c r="B17" s="41">
        <v>489</v>
      </c>
      <c r="C17" s="46" t="s">
        <v>226</v>
      </c>
      <c r="D17" s="41" t="s">
        <v>233</v>
      </c>
      <c r="E17" s="44">
        <f>HLOOKUP($B$5,'Bourgeoisies Comptes 2021'!$E$3:$R$167,136,0)</f>
        <v>0</v>
      </c>
    </row>
    <row r="18" spans="2:5" x14ac:dyDescent="0.25">
      <c r="B18" s="41"/>
      <c r="C18" s="46"/>
      <c r="D18" s="41"/>
      <c r="E18" s="44"/>
    </row>
    <row r="19" spans="2:5" x14ac:dyDescent="0.25">
      <c r="B19" s="42"/>
      <c r="C19" s="42"/>
      <c r="D19" s="43" t="s">
        <v>229</v>
      </c>
      <c r="E19" s="50">
        <f>E8+E9+E10-E11+E12+E13+E14+E15-E16-E17</f>
        <v>451201.66</v>
      </c>
    </row>
    <row r="20" spans="2:5" x14ac:dyDescent="0.25">
      <c r="B20" s="41"/>
      <c r="C20" s="41"/>
      <c r="D20" s="41"/>
      <c r="E20" s="44"/>
    </row>
    <row r="21" spans="2:5" x14ac:dyDescent="0.25">
      <c r="B21" s="41" t="s">
        <v>224</v>
      </c>
      <c r="C21" s="47" t="s">
        <v>226</v>
      </c>
      <c r="D21" s="41" t="s">
        <v>230</v>
      </c>
      <c r="E21" s="44">
        <f>HLOOKUP($B$5,'Bourgeoisie investissement'!$E$3:$R$183,180,0)</f>
        <v>-94682.25</v>
      </c>
    </row>
    <row r="22" spans="2:5" x14ac:dyDescent="0.25">
      <c r="B22" s="41"/>
      <c r="C22" s="41"/>
      <c r="D22" s="41"/>
      <c r="E22" s="44"/>
    </row>
    <row r="23" spans="2:5" x14ac:dyDescent="0.25">
      <c r="B23" s="42"/>
      <c r="C23" s="42"/>
      <c r="D23" s="43" t="s">
        <v>231</v>
      </c>
      <c r="E23" s="50">
        <f>E19-E21</f>
        <v>545883.90999999992</v>
      </c>
    </row>
  </sheetData>
  <mergeCells count="1">
    <mergeCell ref="B5:D5"/>
  </mergeCells>
  <pageMargins left="0.25" right="0.25" top="0.75" bottom="0.75" header="0.3" footer="0.3"/>
  <pageSetup paperSize="9" scale="8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C00-000000000000}">
          <x14:formula1>
            <xm:f>'Bourgeoisies Comptes 2021'!$E$3:$R$3</xm:f>
          </x14:formula1>
          <xm:sqref>B5</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F0"/>
  </sheetPr>
  <dimension ref="A1:T225"/>
  <sheetViews>
    <sheetView zoomScaleNormal="100" workbookViewId="0">
      <pane xSplit="5" ySplit="3" topLeftCell="K193" activePane="bottomRight" state="frozen"/>
      <selection pane="topRight" activeCell="F1" sqref="F1"/>
      <selection pane="bottomLeft" activeCell="A4" sqref="A4"/>
      <selection pane="bottomRight" activeCell="K218" sqref="K218"/>
    </sheetView>
  </sheetViews>
  <sheetFormatPr baseColWidth="10" defaultColWidth="11.42578125" defaultRowHeight="15" x14ac:dyDescent="0.25"/>
  <cols>
    <col min="1" max="3" width="4.7109375" customWidth="1"/>
    <col min="4" max="4" width="9" customWidth="1"/>
    <col min="5" max="5" width="63.5703125" customWidth="1"/>
    <col min="6" max="17" width="16.28515625" customWidth="1"/>
    <col min="18" max="18" width="18.140625" customWidth="1"/>
    <col min="19" max="19" width="16.28515625" customWidth="1"/>
  </cols>
  <sheetData>
    <row r="1" spans="1:20" ht="26.25" x14ac:dyDescent="0.4">
      <c r="A1" s="32" t="s">
        <v>848</v>
      </c>
      <c r="B1" s="7"/>
      <c r="C1" s="7"/>
      <c r="D1" s="7"/>
      <c r="E1" s="7"/>
    </row>
    <row r="2" spans="1:20" ht="18.75" x14ac:dyDescent="0.3">
      <c r="A2" s="157" t="s">
        <v>746</v>
      </c>
      <c r="F2" s="45">
        <v>1</v>
      </c>
      <c r="G2" s="45">
        <v>2</v>
      </c>
      <c r="H2" s="45">
        <v>3</v>
      </c>
      <c r="I2" s="45">
        <v>4</v>
      </c>
      <c r="J2" s="45">
        <v>5</v>
      </c>
      <c r="K2" s="45">
        <v>6</v>
      </c>
      <c r="L2" s="45">
        <v>7</v>
      </c>
      <c r="M2" s="45">
        <v>8</v>
      </c>
      <c r="N2" s="45">
        <v>9</v>
      </c>
      <c r="O2" s="45">
        <v>10</v>
      </c>
      <c r="P2" s="45">
        <v>11</v>
      </c>
      <c r="Q2" s="45">
        <v>12</v>
      </c>
      <c r="R2" s="45">
        <v>13</v>
      </c>
      <c r="S2" s="45">
        <f>SUM(F2:R2)</f>
        <v>91</v>
      </c>
    </row>
    <row r="3" spans="1:20" x14ac:dyDescent="0.25">
      <c r="F3" s="33" t="s">
        <v>56</v>
      </c>
      <c r="G3" s="33" t="s">
        <v>18</v>
      </c>
      <c r="H3" s="33" t="s">
        <v>57</v>
      </c>
      <c r="I3" s="33" t="s">
        <v>750</v>
      </c>
      <c r="J3" s="33" t="s">
        <v>33</v>
      </c>
      <c r="K3" s="33" t="s">
        <v>28</v>
      </c>
      <c r="L3" s="33" t="s">
        <v>751</v>
      </c>
      <c r="M3" s="33" t="s">
        <v>16</v>
      </c>
      <c r="N3" s="33" t="s">
        <v>752</v>
      </c>
      <c r="O3" s="33" t="s">
        <v>753</v>
      </c>
      <c r="P3" s="33" t="s">
        <v>59</v>
      </c>
      <c r="Q3" s="33" t="s">
        <v>754</v>
      </c>
      <c r="R3" s="33" t="s">
        <v>755</v>
      </c>
      <c r="S3" s="36" t="s">
        <v>65</v>
      </c>
    </row>
    <row r="4" spans="1:20" ht="21" x14ac:dyDescent="0.35">
      <c r="A4" s="59">
        <v>1</v>
      </c>
      <c r="B4" s="59"/>
      <c r="C4" s="59"/>
      <c r="D4" s="59"/>
      <c r="E4" s="59" t="s">
        <v>239</v>
      </c>
      <c r="F4" s="70">
        <f>F6+F14+F24+F30+F40+F47+F53+F61+F68+F79+F85+F96+F107</f>
        <v>10703812.6</v>
      </c>
      <c r="G4" s="70">
        <f t="shared" ref="G4:R4" si="0">G6+G14+G24+G30+G40+G47+G53+G61+G68+G79+G85+G96+G107</f>
        <v>897352.89</v>
      </c>
      <c r="H4" s="70">
        <f t="shared" si="0"/>
        <v>1043671.3</v>
      </c>
      <c r="I4" s="70">
        <f t="shared" si="0"/>
        <v>863468.63</v>
      </c>
      <c r="J4" s="70">
        <f t="shared" si="0"/>
        <v>2912386.12</v>
      </c>
      <c r="K4" s="70">
        <f t="shared" si="0"/>
        <v>34168981.130000003</v>
      </c>
      <c r="L4" s="70">
        <f t="shared" si="0"/>
        <v>1102922.9099999999</v>
      </c>
      <c r="M4" s="70">
        <f t="shared" si="0"/>
        <v>1789389.38</v>
      </c>
      <c r="N4" s="70">
        <f t="shared" si="0"/>
        <v>0</v>
      </c>
      <c r="O4" s="70">
        <f t="shared" si="0"/>
        <v>584363.77</v>
      </c>
      <c r="P4" s="70">
        <f t="shared" si="0"/>
        <v>2641660.5499999998</v>
      </c>
      <c r="Q4" s="70">
        <f t="shared" si="0"/>
        <v>1948320.34</v>
      </c>
      <c r="R4" s="70">
        <f t="shared" si="0"/>
        <v>2482468.69</v>
      </c>
      <c r="S4" s="70">
        <f t="shared" ref="S4:S12" si="1">SUM(F4:R4)</f>
        <v>61138798.310000002</v>
      </c>
      <c r="T4">
        <v>2</v>
      </c>
    </row>
    <row r="5" spans="1:20" x14ac:dyDescent="0.25">
      <c r="A5" s="7"/>
      <c r="B5" s="60">
        <v>10</v>
      </c>
      <c r="C5" s="60"/>
      <c r="D5" s="60"/>
      <c r="E5" s="60" t="s">
        <v>240</v>
      </c>
      <c r="F5" s="61">
        <f>F6+F14+F24+F30+F40+F47+F53+F61</f>
        <v>8416072.5999999996</v>
      </c>
      <c r="G5" s="61">
        <f t="shared" ref="G5:R5" si="2">G6+G14+G24+G30+G40+G47+G53+G61</f>
        <v>91261.89</v>
      </c>
      <c r="H5" s="61">
        <f t="shared" si="2"/>
        <v>416713.9</v>
      </c>
      <c r="I5" s="61">
        <f t="shared" si="2"/>
        <v>291699.63</v>
      </c>
      <c r="J5" s="61">
        <f t="shared" si="2"/>
        <v>1480316.77</v>
      </c>
      <c r="K5" s="61">
        <f t="shared" si="2"/>
        <v>31956806.93</v>
      </c>
      <c r="L5" s="61">
        <f t="shared" si="2"/>
        <v>453352.90999999992</v>
      </c>
      <c r="M5" s="61">
        <f t="shared" si="2"/>
        <v>700771.38</v>
      </c>
      <c r="N5" s="61">
        <f t="shared" si="2"/>
        <v>0</v>
      </c>
      <c r="O5" s="61">
        <f t="shared" si="2"/>
        <v>582363.77</v>
      </c>
      <c r="P5" s="61">
        <f t="shared" si="2"/>
        <v>1358276.4</v>
      </c>
      <c r="Q5" s="61">
        <f t="shared" si="2"/>
        <v>898560.29</v>
      </c>
      <c r="R5" s="61">
        <f t="shared" si="2"/>
        <v>951662.69</v>
      </c>
      <c r="S5" s="61">
        <f t="shared" si="1"/>
        <v>47597859.159999996</v>
      </c>
      <c r="T5">
        <v>3</v>
      </c>
    </row>
    <row r="6" spans="1:20" x14ac:dyDescent="0.25">
      <c r="C6" s="56">
        <v>100</v>
      </c>
      <c r="D6" s="56"/>
      <c r="E6" s="56" t="s">
        <v>241</v>
      </c>
      <c r="F6" s="57">
        <f>F7+F8+F9+F10+F11+F12</f>
        <v>1356376</v>
      </c>
      <c r="G6" s="57">
        <f t="shared" ref="G6:R6" si="3">G7+G8+G9+G10+G11+G12</f>
        <v>59338.049999999996</v>
      </c>
      <c r="H6" s="57">
        <f t="shared" si="3"/>
        <v>126057.15</v>
      </c>
      <c r="I6" s="57">
        <f t="shared" si="3"/>
        <v>278824.44</v>
      </c>
      <c r="J6" s="57">
        <f t="shared" si="3"/>
        <v>763429.7699999999</v>
      </c>
      <c r="K6" s="57">
        <f t="shared" si="3"/>
        <v>1045060.5399999999</v>
      </c>
      <c r="L6" s="57">
        <f t="shared" si="3"/>
        <v>220372.70999999996</v>
      </c>
      <c r="M6" s="57">
        <f t="shared" si="3"/>
        <v>659510.38</v>
      </c>
      <c r="N6" s="57">
        <f t="shared" si="3"/>
        <v>0</v>
      </c>
      <c r="O6" s="57">
        <f t="shared" si="3"/>
        <v>296901.77</v>
      </c>
      <c r="P6" s="57">
        <f t="shared" si="3"/>
        <v>745815.37</v>
      </c>
      <c r="Q6" s="57">
        <f t="shared" si="3"/>
        <v>3641.21</v>
      </c>
      <c r="R6" s="57">
        <f t="shared" si="3"/>
        <v>267305.56</v>
      </c>
      <c r="S6" s="57">
        <f t="shared" si="1"/>
        <v>5822632.9500000002</v>
      </c>
      <c r="T6">
        <v>4</v>
      </c>
    </row>
    <row r="7" spans="1:20" x14ac:dyDescent="0.25">
      <c r="D7">
        <v>1000</v>
      </c>
      <c r="E7" t="s">
        <v>313</v>
      </c>
      <c r="F7" s="4">
        <v>2396.9</v>
      </c>
      <c r="G7" s="4">
        <v>41.1</v>
      </c>
      <c r="H7" s="4">
        <v>653.16999999999996</v>
      </c>
      <c r="I7" s="4">
        <v>423.2</v>
      </c>
      <c r="J7" s="4">
        <v>988.7</v>
      </c>
      <c r="K7" s="4">
        <v>2949.1</v>
      </c>
      <c r="L7" s="4">
        <v>11.05</v>
      </c>
      <c r="M7" s="4">
        <v>380.95</v>
      </c>
      <c r="N7" s="4"/>
      <c r="O7" s="4">
        <v>1904.5</v>
      </c>
      <c r="P7" s="4">
        <v>521.6</v>
      </c>
      <c r="Q7" s="4">
        <v>1695.1</v>
      </c>
      <c r="R7" s="4">
        <v>0</v>
      </c>
      <c r="S7" s="31">
        <f t="shared" si="1"/>
        <v>11965.37</v>
      </c>
      <c r="T7">
        <v>5</v>
      </c>
    </row>
    <row r="8" spans="1:20" x14ac:dyDescent="0.25">
      <c r="D8">
        <v>1001</v>
      </c>
      <c r="E8" t="s">
        <v>314</v>
      </c>
      <c r="F8" s="4">
        <v>1304.71</v>
      </c>
      <c r="G8" s="4">
        <v>0</v>
      </c>
      <c r="H8" s="4">
        <v>24009.19</v>
      </c>
      <c r="I8" s="4">
        <v>0</v>
      </c>
      <c r="J8" s="4">
        <v>295617.25</v>
      </c>
      <c r="K8" s="4">
        <v>16250.99</v>
      </c>
      <c r="L8" s="4">
        <v>182617.36</v>
      </c>
      <c r="M8" s="4">
        <v>55067.59</v>
      </c>
      <c r="N8" s="4"/>
      <c r="O8" s="4">
        <v>174314.5</v>
      </c>
      <c r="P8" s="4">
        <v>0</v>
      </c>
      <c r="Q8" s="4">
        <v>1898.23</v>
      </c>
      <c r="R8" s="4">
        <v>0</v>
      </c>
      <c r="S8" s="31">
        <f t="shared" si="1"/>
        <v>751079.82</v>
      </c>
      <c r="T8">
        <v>6</v>
      </c>
    </row>
    <row r="9" spans="1:20" x14ac:dyDescent="0.25">
      <c r="D9">
        <v>1002</v>
      </c>
      <c r="E9" t="s">
        <v>322</v>
      </c>
      <c r="F9" s="4">
        <v>1344332.69</v>
      </c>
      <c r="G9" s="4">
        <v>59296.95</v>
      </c>
      <c r="H9" s="4">
        <v>101394.79</v>
      </c>
      <c r="I9" s="4">
        <v>278401.24</v>
      </c>
      <c r="J9" s="4">
        <v>446552.72</v>
      </c>
      <c r="K9" s="4">
        <v>1025860.45</v>
      </c>
      <c r="L9" s="4">
        <v>28808.15</v>
      </c>
      <c r="M9" s="4">
        <v>563364.11</v>
      </c>
      <c r="N9" s="4"/>
      <c r="O9" s="4">
        <v>120682.77</v>
      </c>
      <c r="P9" s="4">
        <v>745293.77</v>
      </c>
      <c r="Q9" s="4">
        <v>47.88</v>
      </c>
      <c r="R9" s="4">
        <v>267305.56</v>
      </c>
      <c r="S9" s="31">
        <f t="shared" si="1"/>
        <v>4981341.0799999991</v>
      </c>
      <c r="T9">
        <v>7</v>
      </c>
    </row>
    <row r="10" spans="1:20" x14ac:dyDescent="0.25">
      <c r="D10">
        <v>1003</v>
      </c>
      <c r="E10" t="s">
        <v>315</v>
      </c>
      <c r="F10" s="4">
        <v>0</v>
      </c>
      <c r="G10" s="4">
        <v>0</v>
      </c>
      <c r="H10" s="4">
        <v>0</v>
      </c>
      <c r="I10" s="4">
        <v>0</v>
      </c>
      <c r="J10" s="4">
        <v>20271.099999999999</v>
      </c>
      <c r="K10" s="4">
        <v>0</v>
      </c>
      <c r="L10" s="4">
        <v>0</v>
      </c>
      <c r="M10" s="4">
        <v>40697.730000000003</v>
      </c>
      <c r="N10" s="4"/>
      <c r="O10" s="4">
        <v>0</v>
      </c>
      <c r="P10" s="4">
        <v>0</v>
      </c>
      <c r="Q10" s="4">
        <v>0</v>
      </c>
      <c r="R10" s="4">
        <v>0</v>
      </c>
      <c r="S10" s="31">
        <f t="shared" si="1"/>
        <v>60968.83</v>
      </c>
      <c r="T10">
        <v>8</v>
      </c>
    </row>
    <row r="11" spans="1:20" x14ac:dyDescent="0.25">
      <c r="D11">
        <v>1004</v>
      </c>
      <c r="E11" t="s">
        <v>316</v>
      </c>
      <c r="F11" s="4">
        <v>8341.7000000000007</v>
      </c>
      <c r="G11" s="4">
        <v>0</v>
      </c>
      <c r="H11" s="4">
        <v>0</v>
      </c>
      <c r="I11" s="4">
        <v>0</v>
      </c>
      <c r="J11" s="4">
        <v>0</v>
      </c>
      <c r="K11" s="4">
        <v>0</v>
      </c>
      <c r="L11" s="4">
        <v>0</v>
      </c>
      <c r="M11" s="4">
        <v>0</v>
      </c>
      <c r="N11" s="4"/>
      <c r="O11" s="4">
        <v>0</v>
      </c>
      <c r="P11" s="4">
        <v>0</v>
      </c>
      <c r="Q11" s="4">
        <v>0</v>
      </c>
      <c r="R11" s="4">
        <v>0</v>
      </c>
      <c r="S11" s="31">
        <f t="shared" si="1"/>
        <v>8341.7000000000007</v>
      </c>
      <c r="T11">
        <v>9</v>
      </c>
    </row>
    <row r="12" spans="1:20" x14ac:dyDescent="0.25">
      <c r="D12">
        <v>1009</v>
      </c>
      <c r="E12" t="s">
        <v>317</v>
      </c>
      <c r="F12" s="4"/>
      <c r="G12" s="4">
        <v>0</v>
      </c>
      <c r="H12" s="4">
        <v>0</v>
      </c>
      <c r="I12" s="4">
        <v>0</v>
      </c>
      <c r="J12" s="4">
        <v>0</v>
      </c>
      <c r="K12" s="4">
        <v>0</v>
      </c>
      <c r="L12" s="4">
        <v>8936.15</v>
      </c>
      <c r="M12" s="4">
        <v>0</v>
      </c>
      <c r="N12" s="4"/>
      <c r="O12" s="4">
        <v>0</v>
      </c>
      <c r="P12" s="4">
        <v>0</v>
      </c>
      <c r="Q12" s="4">
        <v>0</v>
      </c>
      <c r="R12" s="4">
        <v>0</v>
      </c>
      <c r="S12" s="31">
        <f t="shared" si="1"/>
        <v>8936.15</v>
      </c>
      <c r="T12">
        <v>10</v>
      </c>
    </row>
    <row r="13" spans="1:20" x14ac:dyDescent="0.25">
      <c r="F13" s="4"/>
      <c r="G13" s="4"/>
      <c r="H13" s="4"/>
      <c r="I13" s="4"/>
      <c r="J13" s="4"/>
      <c r="K13" s="4"/>
      <c r="L13" s="4"/>
      <c r="M13" s="4"/>
      <c r="N13" s="4"/>
      <c r="O13" s="4"/>
      <c r="P13" s="4"/>
      <c r="Q13" s="4"/>
      <c r="R13" s="4"/>
      <c r="S13" s="31"/>
      <c r="T13">
        <v>11</v>
      </c>
    </row>
    <row r="14" spans="1:20" x14ac:dyDescent="0.25">
      <c r="C14" s="56">
        <v>101</v>
      </c>
      <c r="D14" s="56"/>
      <c r="E14" s="56" t="s">
        <v>242</v>
      </c>
      <c r="F14" s="57">
        <f>F15+F16+F17+F18+F19+F20+F21+F22</f>
        <v>16065.85</v>
      </c>
      <c r="G14" s="57">
        <f t="shared" ref="G14:R14" si="4">G15+G16+G17+G18+G19+G20+G21+G22</f>
        <v>31921.84</v>
      </c>
      <c r="H14" s="57">
        <f t="shared" si="4"/>
        <v>1.75</v>
      </c>
      <c r="I14" s="57">
        <f t="shared" si="4"/>
        <v>12869.19</v>
      </c>
      <c r="J14" s="57">
        <f t="shared" si="4"/>
        <v>0</v>
      </c>
      <c r="K14" s="57">
        <f t="shared" si="4"/>
        <v>3965421.84</v>
      </c>
      <c r="L14" s="57">
        <f t="shared" si="4"/>
        <v>7200</v>
      </c>
      <c r="M14" s="57">
        <f t="shared" si="4"/>
        <v>0</v>
      </c>
      <c r="N14" s="57">
        <f t="shared" si="4"/>
        <v>0</v>
      </c>
      <c r="O14" s="57">
        <f t="shared" si="4"/>
        <v>0</v>
      </c>
      <c r="P14" s="57">
        <f t="shared" si="4"/>
        <v>0.33</v>
      </c>
      <c r="Q14" s="57">
        <f t="shared" si="4"/>
        <v>0</v>
      </c>
      <c r="R14" s="57">
        <f t="shared" si="4"/>
        <v>6709.75</v>
      </c>
      <c r="S14" s="57">
        <f t="shared" ref="S14:S22" si="5">SUM(F14:R14)</f>
        <v>4040190.55</v>
      </c>
      <c r="T14">
        <v>12</v>
      </c>
    </row>
    <row r="15" spans="1:20" x14ac:dyDescent="0.25">
      <c r="D15">
        <v>1010</v>
      </c>
      <c r="E15" t="s">
        <v>318</v>
      </c>
      <c r="F15" s="4">
        <v>15992.35</v>
      </c>
      <c r="G15" s="4">
        <v>31921.9</v>
      </c>
      <c r="H15" s="4">
        <v>0</v>
      </c>
      <c r="I15" s="4">
        <v>0</v>
      </c>
      <c r="J15" s="4">
        <v>0</v>
      </c>
      <c r="K15" s="4">
        <v>17848.84</v>
      </c>
      <c r="L15" s="4">
        <v>0</v>
      </c>
      <c r="M15" s="4">
        <v>0</v>
      </c>
      <c r="N15" s="4"/>
      <c r="O15" s="4">
        <v>0</v>
      </c>
      <c r="P15" s="4">
        <v>0.33</v>
      </c>
      <c r="Q15" s="4">
        <v>0</v>
      </c>
      <c r="R15" s="4">
        <v>6709.75</v>
      </c>
      <c r="S15" s="31">
        <f t="shared" si="5"/>
        <v>72473.17</v>
      </c>
      <c r="T15">
        <v>13</v>
      </c>
    </row>
    <row r="16" spans="1:20" x14ac:dyDescent="0.25">
      <c r="D16">
        <v>1011</v>
      </c>
      <c r="E16" t="s">
        <v>399</v>
      </c>
      <c r="F16" s="4">
        <v>0</v>
      </c>
      <c r="G16" s="4">
        <v>0</v>
      </c>
      <c r="H16" s="4">
        <v>0</v>
      </c>
      <c r="I16" s="4">
        <v>12869.19</v>
      </c>
      <c r="J16" s="4">
        <v>0</v>
      </c>
      <c r="K16" s="4">
        <v>3947573</v>
      </c>
      <c r="L16" s="4">
        <v>7200</v>
      </c>
      <c r="M16" s="4">
        <v>0</v>
      </c>
      <c r="N16" s="4"/>
      <c r="O16" s="4">
        <v>0</v>
      </c>
      <c r="P16" s="4">
        <v>0</v>
      </c>
      <c r="Q16" s="4">
        <v>0</v>
      </c>
      <c r="R16" s="4">
        <v>0</v>
      </c>
      <c r="S16" s="31">
        <f t="shared" si="5"/>
        <v>3967642.19</v>
      </c>
      <c r="T16">
        <v>14</v>
      </c>
    </row>
    <row r="17" spans="3:20" x14ac:dyDescent="0.25">
      <c r="D17">
        <v>1012</v>
      </c>
      <c r="E17" t="s">
        <v>319</v>
      </c>
      <c r="F17" s="4">
        <v>0</v>
      </c>
      <c r="G17" s="4">
        <v>-0.06</v>
      </c>
      <c r="H17" s="4">
        <v>0</v>
      </c>
      <c r="I17" s="4">
        <v>0</v>
      </c>
      <c r="J17" s="4">
        <v>0</v>
      </c>
      <c r="K17" s="4">
        <v>0</v>
      </c>
      <c r="L17" s="4">
        <v>0</v>
      </c>
      <c r="M17" s="4">
        <v>0</v>
      </c>
      <c r="N17" s="4"/>
      <c r="O17" s="4">
        <v>0</v>
      </c>
      <c r="P17" s="4">
        <v>0</v>
      </c>
      <c r="Q17" s="4">
        <v>0</v>
      </c>
      <c r="R17" s="4">
        <v>0</v>
      </c>
      <c r="S17" s="31">
        <f t="shared" si="5"/>
        <v>-0.06</v>
      </c>
      <c r="T17">
        <v>15</v>
      </c>
    </row>
    <row r="18" spans="3:20" x14ac:dyDescent="0.25">
      <c r="D18">
        <v>1013</v>
      </c>
      <c r="E18" t="s">
        <v>320</v>
      </c>
      <c r="F18" s="4">
        <v>0</v>
      </c>
      <c r="G18" s="4">
        <v>0</v>
      </c>
      <c r="H18" s="4">
        <v>0</v>
      </c>
      <c r="I18" s="4">
        <v>0</v>
      </c>
      <c r="J18" s="4">
        <v>0</v>
      </c>
      <c r="K18" s="4">
        <v>0</v>
      </c>
      <c r="L18" s="4">
        <v>0</v>
      </c>
      <c r="M18" s="4">
        <v>0</v>
      </c>
      <c r="N18" s="4"/>
      <c r="O18" s="4">
        <v>0</v>
      </c>
      <c r="P18" s="4">
        <v>0</v>
      </c>
      <c r="Q18" s="4">
        <v>0</v>
      </c>
      <c r="R18" s="4">
        <v>0</v>
      </c>
      <c r="S18" s="31">
        <f t="shared" si="5"/>
        <v>0</v>
      </c>
      <c r="T18">
        <v>16</v>
      </c>
    </row>
    <row r="19" spans="3:20" x14ac:dyDescent="0.25">
      <c r="D19">
        <v>1014</v>
      </c>
      <c r="E19" t="s">
        <v>321</v>
      </c>
      <c r="F19" s="4">
        <v>0</v>
      </c>
      <c r="G19" s="4">
        <v>0</v>
      </c>
      <c r="H19" s="4">
        <v>0</v>
      </c>
      <c r="I19" s="4">
        <v>0</v>
      </c>
      <c r="J19" s="4">
        <v>0</v>
      </c>
      <c r="K19" s="4">
        <v>0</v>
      </c>
      <c r="L19" s="4">
        <v>0</v>
      </c>
      <c r="M19" s="4">
        <v>0</v>
      </c>
      <c r="N19" s="4"/>
      <c r="O19" s="4">
        <v>0</v>
      </c>
      <c r="P19" s="4">
        <v>0</v>
      </c>
      <c r="Q19" s="4"/>
      <c r="R19" s="4">
        <v>0</v>
      </c>
      <c r="S19" s="31">
        <f t="shared" si="5"/>
        <v>0</v>
      </c>
      <c r="T19">
        <v>17</v>
      </c>
    </row>
    <row r="20" spans="3:20" x14ac:dyDescent="0.25">
      <c r="D20">
        <v>1015</v>
      </c>
      <c r="E20" t="s">
        <v>323</v>
      </c>
      <c r="F20" s="4">
        <v>0</v>
      </c>
      <c r="G20" s="4">
        <v>0</v>
      </c>
      <c r="H20" s="4">
        <v>0</v>
      </c>
      <c r="I20" s="4">
        <v>0</v>
      </c>
      <c r="J20" s="4">
        <v>0</v>
      </c>
      <c r="K20" s="4">
        <v>0</v>
      </c>
      <c r="L20" s="4">
        <v>0</v>
      </c>
      <c r="M20" s="4">
        <v>0</v>
      </c>
      <c r="N20" s="4"/>
      <c r="O20" s="4">
        <v>0</v>
      </c>
      <c r="P20" s="4">
        <v>0</v>
      </c>
      <c r="Q20" s="4">
        <v>0</v>
      </c>
      <c r="R20" s="4">
        <v>0</v>
      </c>
      <c r="S20" s="31">
        <f t="shared" si="5"/>
        <v>0</v>
      </c>
      <c r="T20">
        <v>18</v>
      </c>
    </row>
    <row r="21" spans="3:20" x14ac:dyDescent="0.25">
      <c r="D21">
        <v>1016</v>
      </c>
      <c r="E21" t="s">
        <v>324</v>
      </c>
      <c r="F21" s="4">
        <v>0</v>
      </c>
      <c r="G21" s="4">
        <v>0</v>
      </c>
      <c r="H21" s="4">
        <v>0</v>
      </c>
      <c r="I21" s="4">
        <v>0</v>
      </c>
      <c r="J21" s="4">
        <v>0</v>
      </c>
      <c r="K21" s="4">
        <v>0</v>
      </c>
      <c r="L21" s="4">
        <v>0</v>
      </c>
      <c r="M21" s="4">
        <v>0</v>
      </c>
      <c r="N21" s="4"/>
      <c r="O21" s="4">
        <v>0</v>
      </c>
      <c r="P21" s="4">
        <v>0</v>
      </c>
      <c r="Q21" s="4">
        <v>0</v>
      </c>
      <c r="R21" s="4">
        <v>0</v>
      </c>
      <c r="S21" s="31">
        <f t="shared" si="5"/>
        <v>0</v>
      </c>
      <c r="T21">
        <v>19</v>
      </c>
    </row>
    <row r="22" spans="3:20" x14ac:dyDescent="0.25">
      <c r="D22">
        <v>1019</v>
      </c>
      <c r="E22" t="s">
        <v>325</v>
      </c>
      <c r="F22" s="4">
        <v>73.5</v>
      </c>
      <c r="G22" s="4">
        <v>0</v>
      </c>
      <c r="H22" s="4">
        <v>1.75</v>
      </c>
      <c r="I22" s="4">
        <v>0</v>
      </c>
      <c r="J22" s="4">
        <v>0</v>
      </c>
      <c r="K22" s="4">
        <v>0</v>
      </c>
      <c r="L22" s="4">
        <v>0</v>
      </c>
      <c r="M22" s="4">
        <v>0</v>
      </c>
      <c r="N22" s="4"/>
      <c r="O22" s="4">
        <v>0</v>
      </c>
      <c r="P22" s="4">
        <v>0</v>
      </c>
      <c r="Q22" s="4">
        <v>0</v>
      </c>
      <c r="R22" s="4">
        <v>0</v>
      </c>
      <c r="S22" s="31">
        <f t="shared" si="5"/>
        <v>75.25</v>
      </c>
      <c r="T22">
        <v>20</v>
      </c>
    </row>
    <row r="23" spans="3:20" x14ac:dyDescent="0.25">
      <c r="F23" s="4"/>
      <c r="G23" s="4"/>
      <c r="H23" s="4"/>
      <c r="I23" s="4"/>
      <c r="J23" s="4"/>
      <c r="K23" s="4"/>
      <c r="L23" s="4"/>
      <c r="M23" s="4"/>
      <c r="N23" s="4"/>
      <c r="O23" s="4"/>
      <c r="P23" s="4"/>
      <c r="Q23" s="4"/>
      <c r="R23" s="4"/>
      <c r="S23" s="31"/>
      <c r="T23">
        <v>21</v>
      </c>
    </row>
    <row r="24" spans="3:20" x14ac:dyDescent="0.25">
      <c r="C24" s="56">
        <v>102</v>
      </c>
      <c r="D24" s="56"/>
      <c r="E24" s="56" t="s">
        <v>243</v>
      </c>
      <c r="F24" s="57">
        <f>F25+F26+F27+F28</f>
        <v>0</v>
      </c>
      <c r="G24" s="57">
        <f t="shared" ref="G24:R24" si="6">G25+G26+G27+G28</f>
        <v>0</v>
      </c>
      <c r="H24" s="57">
        <f t="shared" si="6"/>
        <v>0</v>
      </c>
      <c r="I24" s="57">
        <f t="shared" si="6"/>
        <v>0</v>
      </c>
      <c r="J24" s="57">
        <f>J25+J26+J27+J28</f>
        <v>0</v>
      </c>
      <c r="K24" s="57">
        <f t="shared" si="6"/>
        <v>0</v>
      </c>
      <c r="L24" s="57">
        <f t="shared" si="6"/>
        <v>0</v>
      </c>
      <c r="M24" s="57">
        <f t="shared" si="6"/>
        <v>0</v>
      </c>
      <c r="N24" s="57">
        <f t="shared" si="6"/>
        <v>0</v>
      </c>
      <c r="O24" s="57">
        <f t="shared" si="6"/>
        <v>0</v>
      </c>
      <c r="P24" s="57">
        <f t="shared" si="6"/>
        <v>0</v>
      </c>
      <c r="Q24" s="57">
        <f t="shared" si="6"/>
        <v>0</v>
      </c>
      <c r="R24" s="57">
        <f t="shared" si="6"/>
        <v>85025.55</v>
      </c>
      <c r="S24" s="57">
        <f>SUM(F24:R24)</f>
        <v>85025.55</v>
      </c>
      <c r="T24">
        <v>22</v>
      </c>
    </row>
    <row r="25" spans="3:20" x14ac:dyDescent="0.25">
      <c r="D25">
        <v>1020</v>
      </c>
      <c r="E25" t="s">
        <v>326</v>
      </c>
      <c r="F25" s="4">
        <v>0</v>
      </c>
      <c r="G25" s="4">
        <v>0</v>
      </c>
      <c r="H25" s="4">
        <v>0</v>
      </c>
      <c r="I25" s="4">
        <v>0</v>
      </c>
      <c r="J25" s="4">
        <v>0</v>
      </c>
      <c r="K25" s="4">
        <v>0</v>
      </c>
      <c r="L25" s="4">
        <v>0</v>
      </c>
      <c r="M25" s="4">
        <v>0</v>
      </c>
      <c r="N25" s="4"/>
      <c r="O25" s="4">
        <v>0</v>
      </c>
      <c r="P25" s="4">
        <v>0</v>
      </c>
      <c r="Q25" s="4">
        <v>0</v>
      </c>
      <c r="R25" s="4">
        <v>85025.55</v>
      </c>
      <c r="S25" s="31">
        <f>SUM(F25:R25)</f>
        <v>85025.55</v>
      </c>
      <c r="T25">
        <v>23</v>
      </c>
    </row>
    <row r="26" spans="3:20" x14ac:dyDescent="0.25">
      <c r="D26">
        <v>1022</v>
      </c>
      <c r="E26" t="s">
        <v>327</v>
      </c>
      <c r="F26" s="4">
        <v>0</v>
      </c>
      <c r="G26" s="4">
        <v>0</v>
      </c>
      <c r="H26" s="4">
        <v>0</v>
      </c>
      <c r="I26" s="4">
        <v>0</v>
      </c>
      <c r="J26" s="4">
        <v>0</v>
      </c>
      <c r="K26" s="4">
        <v>0</v>
      </c>
      <c r="L26" s="4">
        <v>0</v>
      </c>
      <c r="M26" s="4">
        <v>0</v>
      </c>
      <c r="N26" s="4"/>
      <c r="O26" s="4">
        <v>0</v>
      </c>
      <c r="P26" s="4">
        <v>0</v>
      </c>
      <c r="Q26" s="4">
        <v>0</v>
      </c>
      <c r="R26" s="4">
        <v>0</v>
      </c>
      <c r="S26" s="31">
        <f>SUM(F26:R26)</f>
        <v>0</v>
      </c>
      <c r="T26">
        <v>24</v>
      </c>
    </row>
    <row r="27" spans="3:20" x14ac:dyDescent="0.25">
      <c r="D27">
        <v>1023</v>
      </c>
      <c r="E27" t="s">
        <v>328</v>
      </c>
      <c r="F27" s="4">
        <v>0</v>
      </c>
      <c r="G27" s="4">
        <v>0</v>
      </c>
      <c r="H27" s="4">
        <v>0</v>
      </c>
      <c r="I27" s="4">
        <v>0</v>
      </c>
      <c r="J27" s="4">
        <v>0</v>
      </c>
      <c r="K27" s="4">
        <v>0</v>
      </c>
      <c r="L27" s="4">
        <v>0</v>
      </c>
      <c r="M27" s="4">
        <v>0</v>
      </c>
      <c r="N27" s="4"/>
      <c r="O27" s="4">
        <v>0</v>
      </c>
      <c r="P27" s="4">
        <v>0</v>
      </c>
      <c r="Q27" s="4">
        <v>0</v>
      </c>
      <c r="R27" s="4">
        <v>0</v>
      </c>
      <c r="S27" s="31">
        <f>SUM(F27:R27)</f>
        <v>0</v>
      </c>
      <c r="T27">
        <v>25</v>
      </c>
    </row>
    <row r="28" spans="3:20" x14ac:dyDescent="0.25">
      <c r="D28">
        <v>1029</v>
      </c>
      <c r="E28" t="s">
        <v>329</v>
      </c>
      <c r="F28" s="4">
        <v>0</v>
      </c>
      <c r="G28" s="4">
        <v>0</v>
      </c>
      <c r="H28" s="4">
        <v>0</v>
      </c>
      <c r="I28" s="4">
        <v>0</v>
      </c>
      <c r="J28" s="4">
        <v>0</v>
      </c>
      <c r="K28" s="4">
        <v>0</v>
      </c>
      <c r="L28" s="4">
        <v>0</v>
      </c>
      <c r="M28" s="4">
        <v>0</v>
      </c>
      <c r="N28" s="4"/>
      <c r="O28" s="4">
        <v>0</v>
      </c>
      <c r="P28" s="4">
        <v>0</v>
      </c>
      <c r="Q28" s="4">
        <v>0</v>
      </c>
      <c r="R28" s="4">
        <v>0</v>
      </c>
      <c r="S28" s="31">
        <f>SUM(F28:R28)</f>
        <v>0</v>
      </c>
      <c r="T28">
        <v>26</v>
      </c>
    </row>
    <row r="29" spans="3:20" x14ac:dyDescent="0.25">
      <c r="F29" s="4"/>
      <c r="G29" s="4"/>
      <c r="H29" s="4"/>
      <c r="I29" s="4"/>
      <c r="J29" s="4"/>
      <c r="K29" s="4"/>
      <c r="L29" s="4"/>
      <c r="M29" s="4"/>
      <c r="N29" s="4"/>
      <c r="O29" s="4"/>
      <c r="P29" s="4"/>
      <c r="Q29" s="4"/>
      <c r="R29" s="4"/>
      <c r="S29" s="31"/>
      <c r="T29">
        <v>27</v>
      </c>
    </row>
    <row r="30" spans="3:20" x14ac:dyDescent="0.25">
      <c r="C30" s="56">
        <v>104</v>
      </c>
      <c r="D30" s="56"/>
      <c r="E30" s="56" t="s">
        <v>244</v>
      </c>
      <c r="F30" s="57">
        <f>F31+F32+F33+F34+F35+F36+F37+F38</f>
        <v>86012.2</v>
      </c>
      <c r="G30" s="57">
        <f t="shared" ref="G30:R30" si="7">G31+G32+G33+G34+G35+G36+G37+G38</f>
        <v>0</v>
      </c>
      <c r="H30" s="57">
        <f t="shared" si="7"/>
        <v>56.85</v>
      </c>
      <c r="I30" s="57">
        <f t="shared" si="7"/>
        <v>0</v>
      </c>
      <c r="J30" s="57">
        <f t="shared" si="7"/>
        <v>22307</v>
      </c>
      <c r="K30" s="57">
        <f t="shared" si="7"/>
        <v>14774.55</v>
      </c>
      <c r="L30" s="57">
        <f t="shared" si="7"/>
        <v>2848.35</v>
      </c>
      <c r="M30" s="57">
        <f t="shared" si="7"/>
        <v>0</v>
      </c>
      <c r="N30" s="57">
        <f t="shared" si="7"/>
        <v>0</v>
      </c>
      <c r="O30" s="57">
        <f t="shared" si="7"/>
        <v>0</v>
      </c>
      <c r="P30" s="57">
        <f t="shared" si="7"/>
        <v>2708.7</v>
      </c>
      <c r="Q30" s="57">
        <f t="shared" si="7"/>
        <v>-450</v>
      </c>
      <c r="R30" s="57">
        <f t="shared" si="7"/>
        <v>30455.599999999999</v>
      </c>
      <c r="S30" s="57">
        <f t="shared" ref="S30:S38" si="8">SUM(F30:R30)</f>
        <v>158713.25</v>
      </c>
      <c r="T30">
        <v>28</v>
      </c>
    </row>
    <row r="31" spans="3:20" x14ac:dyDescent="0.25">
      <c r="D31">
        <v>1040</v>
      </c>
      <c r="E31" t="s">
        <v>61</v>
      </c>
      <c r="F31" s="4">
        <v>0</v>
      </c>
      <c r="G31" s="4">
        <v>0</v>
      </c>
      <c r="H31" s="4">
        <v>0</v>
      </c>
      <c r="I31" s="4">
        <v>0</v>
      </c>
      <c r="J31" s="4">
        <v>3257</v>
      </c>
      <c r="K31" s="4">
        <v>0</v>
      </c>
      <c r="L31" s="4">
        <v>0</v>
      </c>
      <c r="M31" s="4">
        <v>0</v>
      </c>
      <c r="N31" s="4"/>
      <c r="O31" s="4">
        <v>0</v>
      </c>
      <c r="P31" s="4">
        <v>0</v>
      </c>
      <c r="Q31" s="4">
        <v>0</v>
      </c>
      <c r="R31" s="4">
        <v>0</v>
      </c>
      <c r="S31" s="31">
        <f t="shared" si="8"/>
        <v>3257</v>
      </c>
      <c r="T31">
        <v>29</v>
      </c>
    </row>
    <row r="32" spans="3:20" x14ac:dyDescent="0.25">
      <c r="D32">
        <v>1041</v>
      </c>
      <c r="E32" t="s">
        <v>330</v>
      </c>
      <c r="F32" s="4">
        <v>86012.2</v>
      </c>
      <c r="G32" s="4">
        <v>0</v>
      </c>
      <c r="H32" s="4">
        <v>0</v>
      </c>
      <c r="I32" s="4">
        <v>0</v>
      </c>
      <c r="J32" s="4">
        <v>19050</v>
      </c>
      <c r="K32" s="4">
        <v>0</v>
      </c>
      <c r="L32" s="4">
        <v>0</v>
      </c>
      <c r="M32" s="4">
        <v>0</v>
      </c>
      <c r="N32" s="4"/>
      <c r="O32" s="4">
        <v>0</v>
      </c>
      <c r="P32" s="4">
        <v>0</v>
      </c>
      <c r="Q32" s="4">
        <v>-450</v>
      </c>
      <c r="R32" s="4">
        <v>0</v>
      </c>
      <c r="S32" s="31">
        <f t="shared" si="8"/>
        <v>104612.2</v>
      </c>
      <c r="T32">
        <v>30</v>
      </c>
    </row>
    <row r="33" spans="3:20" x14ac:dyDescent="0.25">
      <c r="D33">
        <v>1042</v>
      </c>
      <c r="E33" t="s">
        <v>331</v>
      </c>
      <c r="F33" s="4">
        <v>0</v>
      </c>
      <c r="G33" s="4">
        <v>0</v>
      </c>
      <c r="H33" s="4">
        <v>0</v>
      </c>
      <c r="I33" s="4">
        <v>0</v>
      </c>
      <c r="J33" s="4">
        <v>0</v>
      </c>
      <c r="K33" s="4">
        <v>0</v>
      </c>
      <c r="L33" s="4">
        <v>0</v>
      </c>
      <c r="M33" s="4">
        <v>0</v>
      </c>
      <c r="N33" s="4"/>
      <c r="O33" s="4">
        <v>0</v>
      </c>
      <c r="P33" s="4">
        <v>0</v>
      </c>
      <c r="Q33" s="4">
        <v>0</v>
      </c>
      <c r="R33" s="4">
        <v>0</v>
      </c>
      <c r="S33" s="31">
        <f t="shared" si="8"/>
        <v>0</v>
      </c>
      <c r="T33">
        <v>31</v>
      </c>
    </row>
    <row r="34" spans="3:20" x14ac:dyDescent="0.25">
      <c r="D34">
        <v>1043</v>
      </c>
      <c r="E34" t="s">
        <v>332</v>
      </c>
      <c r="F34" s="4">
        <v>0</v>
      </c>
      <c r="G34" s="4">
        <v>0</v>
      </c>
      <c r="H34" s="4">
        <v>0</v>
      </c>
      <c r="I34" s="4">
        <v>0</v>
      </c>
      <c r="J34" s="4">
        <v>0</v>
      </c>
      <c r="K34" s="4">
        <v>0</v>
      </c>
      <c r="L34" s="4">
        <v>0</v>
      </c>
      <c r="M34" s="4">
        <v>0</v>
      </c>
      <c r="N34" s="4"/>
      <c r="O34" s="4">
        <v>0</v>
      </c>
      <c r="P34" s="4">
        <v>0</v>
      </c>
      <c r="Q34" s="4">
        <v>0</v>
      </c>
      <c r="R34" s="4">
        <v>0</v>
      </c>
      <c r="S34" s="31">
        <f t="shared" si="8"/>
        <v>0</v>
      </c>
      <c r="T34">
        <v>32</v>
      </c>
    </row>
    <row r="35" spans="3:20" x14ac:dyDescent="0.25">
      <c r="D35">
        <v>1044</v>
      </c>
      <c r="E35" t="s">
        <v>333</v>
      </c>
      <c r="F35" s="4">
        <v>0</v>
      </c>
      <c r="G35" s="4">
        <v>0</v>
      </c>
      <c r="H35" s="4">
        <v>56.85</v>
      </c>
      <c r="I35" s="4">
        <v>0</v>
      </c>
      <c r="J35" s="4">
        <v>0</v>
      </c>
      <c r="K35" s="4">
        <v>0</v>
      </c>
      <c r="L35" s="4">
        <v>2848.35</v>
      </c>
      <c r="M35" s="4">
        <v>0</v>
      </c>
      <c r="N35" s="4"/>
      <c r="O35" s="4">
        <v>0</v>
      </c>
      <c r="P35" s="4">
        <v>0</v>
      </c>
      <c r="Q35" s="4">
        <v>0</v>
      </c>
      <c r="R35" s="4">
        <v>0</v>
      </c>
      <c r="S35" s="31">
        <f t="shared" si="8"/>
        <v>2905.2</v>
      </c>
      <c r="T35">
        <v>33</v>
      </c>
    </row>
    <row r="36" spans="3:20" x14ac:dyDescent="0.25">
      <c r="D36">
        <v>1045</v>
      </c>
      <c r="E36" t="s">
        <v>334</v>
      </c>
      <c r="F36" s="4">
        <v>0</v>
      </c>
      <c r="G36" s="4">
        <v>0</v>
      </c>
      <c r="H36" s="4">
        <v>0</v>
      </c>
      <c r="I36" s="4">
        <v>0</v>
      </c>
      <c r="J36" s="4">
        <v>0</v>
      </c>
      <c r="K36" s="4">
        <v>0</v>
      </c>
      <c r="L36" s="4">
        <v>0</v>
      </c>
      <c r="M36" s="4">
        <v>0</v>
      </c>
      <c r="N36" s="4"/>
      <c r="O36" s="4">
        <v>0</v>
      </c>
      <c r="P36" s="4">
        <v>0</v>
      </c>
      <c r="Q36" s="4">
        <v>0</v>
      </c>
      <c r="R36" s="4">
        <v>30455.599999999999</v>
      </c>
      <c r="S36" s="31">
        <f t="shared" si="8"/>
        <v>30455.599999999999</v>
      </c>
      <c r="T36">
        <v>34</v>
      </c>
    </row>
    <row r="37" spans="3:20" x14ac:dyDescent="0.25">
      <c r="D37">
        <v>1046</v>
      </c>
      <c r="E37" t="s">
        <v>335</v>
      </c>
      <c r="F37" s="4">
        <v>0</v>
      </c>
      <c r="G37" s="4">
        <v>0</v>
      </c>
      <c r="H37" s="4">
        <v>0</v>
      </c>
      <c r="I37" s="4">
        <v>0</v>
      </c>
      <c r="J37" s="4">
        <v>0</v>
      </c>
      <c r="K37" s="4">
        <v>0</v>
      </c>
      <c r="L37" s="4">
        <v>0</v>
      </c>
      <c r="M37" s="4">
        <v>0</v>
      </c>
      <c r="N37" s="4"/>
      <c r="O37" s="4">
        <v>0</v>
      </c>
      <c r="P37" s="4">
        <v>0</v>
      </c>
      <c r="Q37" s="4">
        <v>0</v>
      </c>
      <c r="R37" s="4">
        <v>0</v>
      </c>
      <c r="S37" s="31">
        <f t="shared" si="8"/>
        <v>0</v>
      </c>
      <c r="T37">
        <v>35</v>
      </c>
    </row>
    <row r="38" spans="3:20" x14ac:dyDescent="0.25">
      <c r="D38">
        <v>1049</v>
      </c>
      <c r="E38" t="s">
        <v>336</v>
      </c>
      <c r="F38" s="4">
        <v>0</v>
      </c>
      <c r="G38" s="4">
        <v>0</v>
      </c>
      <c r="H38" s="4">
        <v>0</v>
      </c>
      <c r="I38" s="4">
        <v>0</v>
      </c>
      <c r="J38" s="4">
        <v>0</v>
      </c>
      <c r="K38" s="4">
        <v>14774.55</v>
      </c>
      <c r="L38" s="4">
        <v>0</v>
      </c>
      <c r="M38" s="4">
        <v>0</v>
      </c>
      <c r="N38" s="4"/>
      <c r="O38" s="4">
        <v>0</v>
      </c>
      <c r="P38" s="4">
        <v>2708.7</v>
      </c>
      <c r="Q38" s="4">
        <v>0</v>
      </c>
      <c r="R38" s="4">
        <v>0</v>
      </c>
      <c r="S38" s="31">
        <f t="shared" si="8"/>
        <v>17483.25</v>
      </c>
      <c r="T38">
        <v>36</v>
      </c>
    </row>
    <row r="39" spans="3:20" x14ac:dyDescent="0.25">
      <c r="F39" s="4"/>
      <c r="G39" s="4"/>
      <c r="H39" s="4"/>
      <c r="I39" s="4"/>
      <c r="J39" s="4"/>
      <c r="K39" s="4"/>
      <c r="L39" s="4"/>
      <c r="M39" s="4"/>
      <c r="N39" s="4"/>
      <c r="O39" s="4"/>
      <c r="P39" s="4"/>
      <c r="Q39" s="4"/>
      <c r="R39" s="4"/>
      <c r="S39" s="31"/>
      <c r="T39">
        <v>37</v>
      </c>
    </row>
    <row r="40" spans="3:20" x14ac:dyDescent="0.25">
      <c r="C40" s="56">
        <v>106</v>
      </c>
      <c r="D40" s="56"/>
      <c r="E40" s="56" t="s">
        <v>245</v>
      </c>
      <c r="F40" s="57">
        <f>F41+F42+F43+F44+F45</f>
        <v>108954.3</v>
      </c>
      <c r="G40" s="57">
        <f t="shared" ref="G40:R40" si="9">G41+G42+G43+G44+G45</f>
        <v>0</v>
      </c>
      <c r="H40" s="57">
        <f t="shared" si="9"/>
        <v>0</v>
      </c>
      <c r="I40" s="57">
        <f t="shared" si="9"/>
        <v>0</v>
      </c>
      <c r="J40" s="57">
        <f t="shared" si="9"/>
        <v>0</v>
      </c>
      <c r="K40" s="57">
        <f t="shared" si="9"/>
        <v>0</v>
      </c>
      <c r="L40" s="57">
        <f t="shared" si="9"/>
        <v>0</v>
      </c>
      <c r="M40" s="57">
        <f t="shared" si="9"/>
        <v>0</v>
      </c>
      <c r="N40" s="57">
        <f t="shared" si="9"/>
        <v>0</v>
      </c>
      <c r="O40" s="57">
        <f t="shared" si="9"/>
        <v>0</v>
      </c>
      <c r="P40" s="57">
        <f t="shared" si="9"/>
        <v>0</v>
      </c>
      <c r="Q40" s="57">
        <f t="shared" si="9"/>
        <v>0</v>
      </c>
      <c r="R40" s="57">
        <f t="shared" si="9"/>
        <v>0</v>
      </c>
      <c r="S40" s="57">
        <f t="shared" ref="S40:S45" si="10">SUM(F40:R40)</f>
        <v>108954.3</v>
      </c>
      <c r="T40">
        <v>38</v>
      </c>
    </row>
    <row r="41" spans="3:20" x14ac:dyDescent="0.25">
      <c r="D41">
        <v>1060</v>
      </c>
      <c r="E41" t="s">
        <v>337</v>
      </c>
      <c r="F41" s="4">
        <v>108954.3</v>
      </c>
      <c r="G41" s="4">
        <v>0</v>
      </c>
      <c r="H41" s="4">
        <v>0</v>
      </c>
      <c r="I41" s="4">
        <v>0</v>
      </c>
      <c r="J41" s="4">
        <v>0</v>
      </c>
      <c r="K41" s="4">
        <v>0</v>
      </c>
      <c r="L41" s="4">
        <v>0</v>
      </c>
      <c r="M41" s="4">
        <v>0</v>
      </c>
      <c r="N41" s="4"/>
      <c r="O41" s="4">
        <v>0</v>
      </c>
      <c r="P41" s="4">
        <v>0</v>
      </c>
      <c r="Q41" s="4">
        <v>0</v>
      </c>
      <c r="R41" s="4">
        <v>0</v>
      </c>
      <c r="S41" s="31">
        <f t="shared" si="10"/>
        <v>108954.3</v>
      </c>
      <c r="T41">
        <v>39</v>
      </c>
    </row>
    <row r="42" spans="3:20" x14ac:dyDescent="0.25">
      <c r="D42">
        <v>1061</v>
      </c>
      <c r="E42" t="s">
        <v>338</v>
      </c>
      <c r="F42" s="4">
        <v>0</v>
      </c>
      <c r="G42" s="4">
        <v>0</v>
      </c>
      <c r="H42" s="4">
        <v>0</v>
      </c>
      <c r="I42" s="4">
        <v>0</v>
      </c>
      <c r="J42" s="4">
        <v>0</v>
      </c>
      <c r="K42" s="4">
        <v>0</v>
      </c>
      <c r="L42" s="4">
        <v>0</v>
      </c>
      <c r="M42" s="4">
        <v>0</v>
      </c>
      <c r="N42" s="4"/>
      <c r="O42" s="4">
        <v>0</v>
      </c>
      <c r="P42" s="4">
        <v>0</v>
      </c>
      <c r="Q42" s="4">
        <v>0</v>
      </c>
      <c r="R42" s="4">
        <v>0</v>
      </c>
      <c r="S42" s="31">
        <f t="shared" si="10"/>
        <v>0</v>
      </c>
      <c r="T42">
        <v>40</v>
      </c>
    </row>
    <row r="43" spans="3:20" x14ac:dyDescent="0.25">
      <c r="D43">
        <v>1062</v>
      </c>
      <c r="E43" t="s">
        <v>339</v>
      </c>
      <c r="F43" s="4">
        <v>0</v>
      </c>
      <c r="G43" s="4">
        <v>0</v>
      </c>
      <c r="H43" s="4">
        <v>0</v>
      </c>
      <c r="I43" s="4">
        <v>0</v>
      </c>
      <c r="J43" s="4">
        <v>0</v>
      </c>
      <c r="K43" s="4">
        <v>0</v>
      </c>
      <c r="L43" s="4">
        <v>0</v>
      </c>
      <c r="M43" s="4">
        <v>0</v>
      </c>
      <c r="N43" s="4"/>
      <c r="O43" s="4">
        <v>0</v>
      </c>
      <c r="P43" s="4">
        <v>0</v>
      </c>
      <c r="Q43" s="4">
        <v>0</v>
      </c>
      <c r="R43" s="4">
        <v>0</v>
      </c>
      <c r="S43" s="31">
        <f t="shared" si="10"/>
        <v>0</v>
      </c>
      <c r="T43">
        <v>41</v>
      </c>
    </row>
    <row r="44" spans="3:20" x14ac:dyDescent="0.25">
      <c r="D44">
        <v>1063</v>
      </c>
      <c r="E44" t="s">
        <v>340</v>
      </c>
      <c r="F44" s="4">
        <v>0</v>
      </c>
      <c r="G44" s="4">
        <v>0</v>
      </c>
      <c r="H44" s="4">
        <v>0</v>
      </c>
      <c r="I44" s="4">
        <v>0</v>
      </c>
      <c r="J44" s="4">
        <v>0</v>
      </c>
      <c r="K44" s="4">
        <v>0</v>
      </c>
      <c r="L44" s="4">
        <v>0</v>
      </c>
      <c r="M44" s="4">
        <v>0</v>
      </c>
      <c r="N44" s="4"/>
      <c r="O44" s="4">
        <v>0</v>
      </c>
      <c r="P44" s="4">
        <v>0</v>
      </c>
      <c r="Q44" s="4">
        <v>0</v>
      </c>
      <c r="R44" s="4">
        <v>0</v>
      </c>
      <c r="S44" s="31">
        <f t="shared" si="10"/>
        <v>0</v>
      </c>
      <c r="T44">
        <v>42</v>
      </c>
    </row>
    <row r="45" spans="3:20" x14ac:dyDescent="0.25">
      <c r="D45">
        <v>1068</v>
      </c>
      <c r="E45" t="s">
        <v>341</v>
      </c>
      <c r="F45" s="4">
        <v>0</v>
      </c>
      <c r="G45" s="4">
        <v>0</v>
      </c>
      <c r="H45" s="4">
        <v>0</v>
      </c>
      <c r="I45" s="4">
        <v>0</v>
      </c>
      <c r="J45" s="4">
        <v>0</v>
      </c>
      <c r="K45" s="4">
        <v>0</v>
      </c>
      <c r="L45" s="4">
        <v>0</v>
      </c>
      <c r="M45" s="4">
        <v>0</v>
      </c>
      <c r="N45" s="4"/>
      <c r="O45" s="4">
        <v>0</v>
      </c>
      <c r="P45" s="4">
        <v>0</v>
      </c>
      <c r="Q45" s="4">
        <v>0</v>
      </c>
      <c r="R45" s="4">
        <v>0</v>
      </c>
      <c r="S45" s="31">
        <f t="shared" si="10"/>
        <v>0</v>
      </c>
      <c r="T45">
        <v>43</v>
      </c>
    </row>
    <row r="46" spans="3:20" x14ac:dyDescent="0.25">
      <c r="F46" s="4"/>
      <c r="G46" s="4"/>
      <c r="H46" s="4"/>
      <c r="I46" s="4"/>
      <c r="J46" s="4"/>
      <c r="K46" s="4"/>
      <c r="L46" s="4"/>
      <c r="M46" s="4"/>
      <c r="N46" s="4"/>
      <c r="O46" s="4"/>
      <c r="P46" s="4"/>
      <c r="Q46" s="4"/>
      <c r="R46" s="4"/>
      <c r="S46" s="31"/>
      <c r="T46">
        <v>44</v>
      </c>
    </row>
    <row r="47" spans="3:20" x14ac:dyDescent="0.25">
      <c r="C47" s="56">
        <v>107</v>
      </c>
      <c r="D47" s="56"/>
      <c r="E47" s="56" t="s">
        <v>346</v>
      </c>
      <c r="F47" s="57">
        <f>F48+F49+F50+F51</f>
        <v>16617.900000000001</v>
      </c>
      <c r="G47" s="57">
        <f t="shared" ref="G47:R47" si="11">G48+G49+G50+G51</f>
        <v>2</v>
      </c>
      <c r="H47" s="57">
        <f t="shared" si="11"/>
        <v>702</v>
      </c>
      <c r="I47" s="57">
        <f t="shared" si="11"/>
        <v>6</v>
      </c>
      <c r="J47" s="57">
        <f t="shared" si="11"/>
        <v>1200</v>
      </c>
      <c r="K47" s="57">
        <f t="shared" si="11"/>
        <v>5200</v>
      </c>
      <c r="L47" s="57">
        <f t="shared" si="11"/>
        <v>1503</v>
      </c>
      <c r="M47" s="57">
        <f t="shared" si="11"/>
        <v>39061</v>
      </c>
      <c r="N47" s="57">
        <f t="shared" si="11"/>
        <v>0</v>
      </c>
      <c r="O47" s="57">
        <f t="shared" si="11"/>
        <v>5002</v>
      </c>
      <c r="P47" s="57">
        <f t="shared" si="11"/>
        <v>452</v>
      </c>
      <c r="Q47" s="57">
        <f t="shared" si="11"/>
        <v>178759.03</v>
      </c>
      <c r="R47" s="57">
        <f t="shared" si="11"/>
        <v>562166.23</v>
      </c>
      <c r="S47" s="57">
        <f t="shared" ref="S47:S52" si="12">SUM(F47:R47)</f>
        <v>810671.15999999992</v>
      </c>
      <c r="T47">
        <v>45</v>
      </c>
    </row>
    <row r="48" spans="3:20" x14ac:dyDescent="0.25">
      <c r="D48">
        <v>1070</v>
      </c>
      <c r="E48" t="s">
        <v>342</v>
      </c>
      <c r="F48" s="4">
        <v>16617.900000000001</v>
      </c>
      <c r="G48" s="4">
        <v>2</v>
      </c>
      <c r="H48" s="4">
        <v>702</v>
      </c>
      <c r="I48" s="4">
        <v>6</v>
      </c>
      <c r="J48" s="4">
        <v>1200</v>
      </c>
      <c r="K48" s="4">
        <v>5200</v>
      </c>
      <c r="L48" s="4">
        <v>1503</v>
      </c>
      <c r="M48" s="4">
        <v>39061</v>
      </c>
      <c r="N48" s="4"/>
      <c r="O48" s="4">
        <v>5002</v>
      </c>
      <c r="P48" s="4">
        <v>452</v>
      </c>
      <c r="Q48" s="4">
        <v>8000</v>
      </c>
      <c r="R48" s="4">
        <v>185981.7</v>
      </c>
      <c r="S48" s="31">
        <f t="shared" si="12"/>
        <v>263727.59999999998</v>
      </c>
      <c r="T48">
        <v>46</v>
      </c>
    </row>
    <row r="49" spans="3:20" x14ac:dyDescent="0.25">
      <c r="D49">
        <v>1071</v>
      </c>
      <c r="E49" t="s">
        <v>343</v>
      </c>
      <c r="F49" s="4">
        <v>0</v>
      </c>
      <c r="G49" s="4">
        <v>0</v>
      </c>
      <c r="H49" s="4">
        <v>0</v>
      </c>
      <c r="I49" s="4">
        <v>0</v>
      </c>
      <c r="J49" s="4">
        <v>0</v>
      </c>
      <c r="K49" s="4">
        <v>0</v>
      </c>
      <c r="L49" s="4">
        <v>0</v>
      </c>
      <c r="M49" s="4">
        <v>0</v>
      </c>
      <c r="N49" s="4"/>
      <c r="O49" s="4">
        <v>0</v>
      </c>
      <c r="P49" s="4">
        <v>0</v>
      </c>
      <c r="Q49" s="4">
        <v>170759.03</v>
      </c>
      <c r="R49" s="4">
        <v>376184.53</v>
      </c>
      <c r="S49" s="31">
        <f t="shared" si="12"/>
        <v>546943.56000000006</v>
      </c>
      <c r="T49">
        <v>47</v>
      </c>
    </row>
    <row r="50" spans="3:20" x14ac:dyDescent="0.25">
      <c r="D50">
        <v>1072</v>
      </c>
      <c r="E50" t="s">
        <v>344</v>
      </c>
      <c r="F50" s="4">
        <v>0</v>
      </c>
      <c r="G50" s="4">
        <v>0</v>
      </c>
      <c r="H50" s="4">
        <v>0</v>
      </c>
      <c r="I50" s="4">
        <v>0</v>
      </c>
      <c r="J50" s="4">
        <v>0</v>
      </c>
      <c r="K50" s="4">
        <v>0</v>
      </c>
      <c r="L50" s="4">
        <v>0</v>
      </c>
      <c r="M50" s="4">
        <v>0</v>
      </c>
      <c r="N50" s="4"/>
      <c r="O50" s="4">
        <v>0</v>
      </c>
      <c r="P50" s="4">
        <v>0</v>
      </c>
      <c r="Q50" s="4">
        <v>0</v>
      </c>
      <c r="R50" s="4">
        <v>0</v>
      </c>
      <c r="S50" s="31">
        <f t="shared" si="12"/>
        <v>0</v>
      </c>
      <c r="T50">
        <v>48</v>
      </c>
    </row>
    <row r="51" spans="3:20" x14ac:dyDescent="0.25">
      <c r="D51">
        <v>1079</v>
      </c>
      <c r="E51" t="s">
        <v>345</v>
      </c>
      <c r="F51" s="4">
        <v>0</v>
      </c>
      <c r="G51" s="4">
        <v>0</v>
      </c>
      <c r="H51" s="4">
        <v>0</v>
      </c>
      <c r="I51" s="4">
        <v>0</v>
      </c>
      <c r="J51" s="4">
        <v>0</v>
      </c>
      <c r="K51" s="4">
        <v>0</v>
      </c>
      <c r="L51" s="4">
        <v>0</v>
      </c>
      <c r="M51" s="4">
        <v>0</v>
      </c>
      <c r="N51" s="4"/>
      <c r="O51" s="4">
        <v>0</v>
      </c>
      <c r="P51" s="4">
        <v>0</v>
      </c>
      <c r="Q51" s="4">
        <v>0</v>
      </c>
      <c r="R51" s="4">
        <v>0</v>
      </c>
      <c r="S51" s="31">
        <f t="shared" si="12"/>
        <v>0</v>
      </c>
      <c r="T51">
        <v>49</v>
      </c>
    </row>
    <row r="52" spans="3:20" x14ac:dyDescent="0.25">
      <c r="F52" s="4"/>
      <c r="G52" s="4"/>
      <c r="H52" s="4"/>
      <c r="I52" s="4"/>
      <c r="J52" s="4"/>
      <c r="K52" s="4"/>
      <c r="L52" s="4"/>
      <c r="M52" s="4"/>
      <c r="N52" s="4"/>
      <c r="O52" s="4"/>
      <c r="P52" s="4"/>
      <c r="Q52" s="4"/>
      <c r="R52" s="4"/>
      <c r="S52" s="31">
        <f t="shared" si="12"/>
        <v>0</v>
      </c>
      <c r="T52">
        <v>50</v>
      </c>
    </row>
    <row r="53" spans="3:20" x14ac:dyDescent="0.25">
      <c r="C53" s="56">
        <v>108</v>
      </c>
      <c r="D53" s="56"/>
      <c r="E53" s="56" t="s">
        <v>246</v>
      </c>
      <c r="F53" s="57">
        <f>F54+F55+F56+F57+F58+F59</f>
        <v>6832046.3499999996</v>
      </c>
      <c r="G53" s="57">
        <f t="shared" ref="G53:R53" si="13">G54+G55+G56+G57+G58+G59</f>
        <v>0</v>
      </c>
      <c r="H53" s="57">
        <f t="shared" si="13"/>
        <v>289896.15000000002</v>
      </c>
      <c r="I53" s="57">
        <f t="shared" si="13"/>
        <v>0</v>
      </c>
      <c r="J53" s="57">
        <f t="shared" si="13"/>
        <v>693380</v>
      </c>
      <c r="K53" s="57">
        <f t="shared" si="13"/>
        <v>26926350</v>
      </c>
      <c r="L53" s="57">
        <f t="shared" si="13"/>
        <v>166630</v>
      </c>
      <c r="M53" s="57">
        <f t="shared" si="13"/>
        <v>2200</v>
      </c>
      <c r="N53" s="57">
        <f t="shared" si="13"/>
        <v>0</v>
      </c>
      <c r="O53" s="57">
        <f t="shared" si="13"/>
        <v>280460</v>
      </c>
      <c r="P53" s="57">
        <f t="shared" si="13"/>
        <v>609300</v>
      </c>
      <c r="Q53" s="57">
        <f t="shared" si="13"/>
        <v>716610.05</v>
      </c>
      <c r="R53" s="57">
        <f t="shared" si="13"/>
        <v>0</v>
      </c>
      <c r="S53" s="57">
        <f t="shared" ref="S53:S59" si="14">SUM(F53:R53)</f>
        <v>36516872.549999997</v>
      </c>
      <c r="T53">
        <v>51</v>
      </c>
    </row>
    <row r="54" spans="3:20" x14ac:dyDescent="0.25">
      <c r="D54">
        <v>1080</v>
      </c>
      <c r="E54" t="s">
        <v>347</v>
      </c>
      <c r="F54" s="4">
        <v>487290</v>
      </c>
      <c r="G54" s="4">
        <v>0</v>
      </c>
      <c r="H54" s="4">
        <v>0</v>
      </c>
      <c r="I54" s="4">
        <v>0</v>
      </c>
      <c r="J54" s="4">
        <v>44240</v>
      </c>
      <c r="K54" s="4">
        <v>21626550</v>
      </c>
      <c r="L54" s="4">
        <v>166630</v>
      </c>
      <c r="M54" s="4">
        <v>0</v>
      </c>
      <c r="N54" s="4"/>
      <c r="O54" s="4">
        <v>280460</v>
      </c>
      <c r="P54" s="4">
        <v>0</v>
      </c>
      <c r="Q54" s="4">
        <v>716610.05</v>
      </c>
      <c r="R54" s="4">
        <v>0</v>
      </c>
      <c r="S54" s="31">
        <f t="shared" si="14"/>
        <v>23321780.050000001</v>
      </c>
      <c r="T54">
        <v>52</v>
      </c>
    </row>
    <row r="55" spans="3:20" x14ac:dyDescent="0.25">
      <c r="D55">
        <v>1084</v>
      </c>
      <c r="E55" t="s">
        <v>348</v>
      </c>
      <c r="F55" s="4">
        <v>1273320</v>
      </c>
      <c r="G55" s="4">
        <v>0</v>
      </c>
      <c r="H55" s="4">
        <v>289896.15000000002</v>
      </c>
      <c r="I55" s="4">
        <v>0</v>
      </c>
      <c r="J55" s="4">
        <v>649140</v>
      </c>
      <c r="K55" s="4">
        <v>5299800</v>
      </c>
      <c r="L55" s="4">
        <v>0</v>
      </c>
      <c r="M55" s="4">
        <v>0</v>
      </c>
      <c r="N55" s="4"/>
      <c r="O55" s="4">
        <v>0</v>
      </c>
      <c r="P55" s="4">
        <v>609300</v>
      </c>
      <c r="Q55" s="4">
        <v>0</v>
      </c>
      <c r="R55" s="4">
        <v>0</v>
      </c>
      <c r="S55" s="31">
        <f t="shared" si="14"/>
        <v>8121456.1500000004</v>
      </c>
      <c r="T55">
        <v>53</v>
      </c>
    </row>
    <row r="56" spans="3:20" x14ac:dyDescent="0.25">
      <c r="D56">
        <v>1086</v>
      </c>
      <c r="E56" t="s">
        <v>349</v>
      </c>
      <c r="F56" s="4">
        <v>0</v>
      </c>
      <c r="G56" s="4">
        <v>0</v>
      </c>
      <c r="H56" s="4">
        <v>0</v>
      </c>
      <c r="I56" s="4">
        <v>0</v>
      </c>
      <c r="J56" s="4">
        <v>0</v>
      </c>
      <c r="K56" s="4">
        <v>0</v>
      </c>
      <c r="L56" s="4">
        <v>0</v>
      </c>
      <c r="M56" s="4">
        <v>0</v>
      </c>
      <c r="N56" s="4"/>
      <c r="O56" s="4">
        <v>0</v>
      </c>
      <c r="P56" s="4">
        <v>0</v>
      </c>
      <c r="Q56" s="4">
        <v>0</v>
      </c>
      <c r="R56" s="4">
        <v>0</v>
      </c>
      <c r="S56" s="31">
        <f t="shared" si="14"/>
        <v>0</v>
      </c>
      <c r="T56">
        <v>54</v>
      </c>
    </row>
    <row r="57" spans="3:20" x14ac:dyDescent="0.25">
      <c r="D57">
        <v>1087</v>
      </c>
      <c r="E57" t="s">
        <v>350</v>
      </c>
      <c r="F57" s="4">
        <v>4967124.3499999996</v>
      </c>
      <c r="G57" s="4">
        <v>0</v>
      </c>
      <c r="H57" s="4">
        <v>0</v>
      </c>
      <c r="I57" s="4">
        <v>0</v>
      </c>
      <c r="J57" s="4">
        <v>0</v>
      </c>
      <c r="K57" s="4">
        <v>0</v>
      </c>
      <c r="L57" s="4">
        <v>0</v>
      </c>
      <c r="M57" s="4">
        <v>0</v>
      </c>
      <c r="N57" s="4"/>
      <c r="O57" s="4">
        <v>0</v>
      </c>
      <c r="P57" s="4">
        <v>0</v>
      </c>
      <c r="Q57" s="4">
        <v>0</v>
      </c>
      <c r="R57" s="4">
        <v>0</v>
      </c>
      <c r="S57" s="31">
        <f t="shared" si="14"/>
        <v>4967124.3499999996</v>
      </c>
      <c r="T57">
        <v>55</v>
      </c>
    </row>
    <row r="58" spans="3:20" x14ac:dyDescent="0.25">
      <c r="D58">
        <v>1088</v>
      </c>
      <c r="E58" t="s">
        <v>351</v>
      </c>
      <c r="F58" s="4">
        <v>0</v>
      </c>
      <c r="G58" s="4">
        <v>0</v>
      </c>
      <c r="H58" s="4">
        <v>0</v>
      </c>
      <c r="I58" s="4">
        <v>0</v>
      </c>
      <c r="J58" s="4">
        <v>0</v>
      </c>
      <c r="K58" s="4">
        <v>0</v>
      </c>
      <c r="L58" s="4">
        <v>0</v>
      </c>
      <c r="M58" s="4">
        <v>2200</v>
      </c>
      <c r="N58" s="4"/>
      <c r="O58" s="4">
        <v>0</v>
      </c>
      <c r="P58" s="4">
        <v>0</v>
      </c>
      <c r="Q58" s="4">
        <v>0</v>
      </c>
      <c r="R58" s="4">
        <v>0</v>
      </c>
      <c r="S58" s="31">
        <f t="shared" si="14"/>
        <v>2200</v>
      </c>
      <c r="T58">
        <v>56</v>
      </c>
    </row>
    <row r="59" spans="3:20" x14ac:dyDescent="0.25">
      <c r="D59">
        <v>1089</v>
      </c>
      <c r="E59" t="s">
        <v>352</v>
      </c>
      <c r="F59" s="4">
        <v>104312</v>
      </c>
      <c r="G59" s="4">
        <v>0</v>
      </c>
      <c r="H59" s="4">
        <v>0</v>
      </c>
      <c r="I59" s="4">
        <v>0</v>
      </c>
      <c r="J59" s="4">
        <v>0</v>
      </c>
      <c r="K59" s="4">
        <v>0</v>
      </c>
      <c r="L59" s="4">
        <v>0</v>
      </c>
      <c r="M59" s="4">
        <v>0</v>
      </c>
      <c r="N59" s="4"/>
      <c r="O59" s="4">
        <v>0</v>
      </c>
      <c r="P59" s="4">
        <v>0</v>
      </c>
      <c r="Q59" s="4">
        <v>0</v>
      </c>
      <c r="R59" s="4">
        <v>0</v>
      </c>
      <c r="S59" s="31">
        <f t="shared" si="14"/>
        <v>104312</v>
      </c>
      <c r="T59">
        <v>57</v>
      </c>
    </row>
    <row r="60" spans="3:20" x14ac:dyDescent="0.25">
      <c r="F60" s="4"/>
      <c r="G60" s="4"/>
      <c r="H60" s="4"/>
      <c r="I60" s="4"/>
      <c r="J60" s="4"/>
      <c r="K60" s="4"/>
      <c r="L60" s="4"/>
      <c r="M60" s="4"/>
      <c r="N60" s="4"/>
      <c r="O60" s="4"/>
      <c r="P60" s="4"/>
      <c r="Q60" s="4"/>
      <c r="R60" s="4"/>
      <c r="S60" s="31"/>
      <c r="T60">
        <v>58</v>
      </c>
    </row>
    <row r="61" spans="3:20" x14ac:dyDescent="0.25">
      <c r="C61" s="56">
        <v>109</v>
      </c>
      <c r="D61" s="56"/>
      <c r="E61" s="56" t="s">
        <v>353</v>
      </c>
      <c r="F61" s="57">
        <f>F62+F63+F64+F65</f>
        <v>0</v>
      </c>
      <c r="G61" s="57">
        <f t="shared" ref="G61:R61" si="15">G62+G63+G64+G65</f>
        <v>0</v>
      </c>
      <c r="H61" s="57">
        <f t="shared" si="15"/>
        <v>0</v>
      </c>
      <c r="I61" s="57">
        <f t="shared" si="15"/>
        <v>0</v>
      </c>
      <c r="J61" s="57">
        <f t="shared" si="15"/>
        <v>0</v>
      </c>
      <c r="K61" s="57">
        <f t="shared" si="15"/>
        <v>0</v>
      </c>
      <c r="L61" s="57">
        <f t="shared" si="15"/>
        <v>54798.85</v>
      </c>
      <c r="M61" s="57">
        <f t="shared" si="15"/>
        <v>0</v>
      </c>
      <c r="N61" s="57">
        <f t="shared" si="15"/>
        <v>0</v>
      </c>
      <c r="O61" s="57">
        <f t="shared" si="15"/>
        <v>0</v>
      </c>
      <c r="P61" s="57">
        <f t="shared" si="15"/>
        <v>0</v>
      </c>
      <c r="Q61" s="57">
        <f t="shared" si="15"/>
        <v>0</v>
      </c>
      <c r="R61" s="57">
        <f t="shared" si="15"/>
        <v>0</v>
      </c>
      <c r="S61" s="57">
        <f t="shared" ref="S61:S66" si="16">SUM(F61:R61)</f>
        <v>54798.85</v>
      </c>
      <c r="T61">
        <v>59</v>
      </c>
    </row>
    <row r="62" spans="3:20" x14ac:dyDescent="0.25">
      <c r="D62">
        <v>1090</v>
      </c>
      <c r="E62" t="s">
        <v>353</v>
      </c>
      <c r="F62" s="4">
        <v>0</v>
      </c>
      <c r="G62" s="4">
        <v>0</v>
      </c>
      <c r="H62" s="4">
        <v>0</v>
      </c>
      <c r="I62" s="4">
        <v>0</v>
      </c>
      <c r="J62" s="4">
        <v>0</v>
      </c>
      <c r="K62" s="4">
        <v>0</v>
      </c>
      <c r="L62" s="4">
        <v>54798.85</v>
      </c>
      <c r="M62" s="4">
        <v>0</v>
      </c>
      <c r="N62" s="4"/>
      <c r="O62" s="4">
        <v>0</v>
      </c>
      <c r="P62" s="4">
        <v>0</v>
      </c>
      <c r="Q62" s="4">
        <v>0</v>
      </c>
      <c r="R62" s="4">
        <v>0</v>
      </c>
      <c r="S62" s="31">
        <f t="shared" si="16"/>
        <v>54798.85</v>
      </c>
      <c r="T62">
        <v>60</v>
      </c>
    </row>
    <row r="63" spans="3:20" x14ac:dyDescent="0.25">
      <c r="D63">
        <v>1091</v>
      </c>
      <c r="E63" t="s">
        <v>354</v>
      </c>
      <c r="F63" s="4">
        <v>0</v>
      </c>
      <c r="G63" s="4">
        <v>0</v>
      </c>
      <c r="H63" s="4">
        <v>0</v>
      </c>
      <c r="I63" s="4">
        <v>0</v>
      </c>
      <c r="J63" s="4">
        <v>0</v>
      </c>
      <c r="K63" s="4">
        <v>0</v>
      </c>
      <c r="L63" s="4">
        <v>0</v>
      </c>
      <c r="M63" s="4">
        <v>0</v>
      </c>
      <c r="N63" s="4"/>
      <c r="O63" s="4">
        <v>0</v>
      </c>
      <c r="P63" s="4">
        <v>0</v>
      </c>
      <c r="Q63" s="4">
        <v>0</v>
      </c>
      <c r="R63" s="4">
        <v>0</v>
      </c>
      <c r="S63" s="31">
        <f t="shared" si="16"/>
        <v>0</v>
      </c>
      <c r="T63">
        <v>61</v>
      </c>
    </row>
    <row r="64" spans="3:20" x14ac:dyDescent="0.25">
      <c r="D64">
        <v>1092</v>
      </c>
      <c r="E64" t="s">
        <v>355</v>
      </c>
      <c r="F64" s="4">
        <v>0</v>
      </c>
      <c r="G64" s="4">
        <v>0</v>
      </c>
      <c r="H64" s="4">
        <v>0</v>
      </c>
      <c r="I64" s="4">
        <v>0</v>
      </c>
      <c r="J64" s="4">
        <v>0</v>
      </c>
      <c r="K64" s="4">
        <v>0</v>
      </c>
      <c r="L64" s="4">
        <v>0</v>
      </c>
      <c r="M64" s="4">
        <v>0</v>
      </c>
      <c r="N64" s="4"/>
      <c r="O64" s="4">
        <v>0</v>
      </c>
      <c r="P64" s="4">
        <v>0</v>
      </c>
      <c r="Q64" s="4">
        <v>0</v>
      </c>
      <c r="R64" s="4">
        <v>0</v>
      </c>
      <c r="S64" s="31">
        <f t="shared" si="16"/>
        <v>0</v>
      </c>
      <c r="T64">
        <v>62</v>
      </c>
    </row>
    <row r="65" spans="2:20" x14ac:dyDescent="0.25">
      <c r="D65">
        <v>1093</v>
      </c>
      <c r="E65" t="s">
        <v>356</v>
      </c>
      <c r="F65" s="4">
        <v>0</v>
      </c>
      <c r="G65" s="4">
        <v>0</v>
      </c>
      <c r="H65" s="4">
        <v>0</v>
      </c>
      <c r="I65" s="4">
        <v>0</v>
      </c>
      <c r="J65" s="4">
        <v>0</v>
      </c>
      <c r="K65" s="4">
        <v>0</v>
      </c>
      <c r="L65" s="4">
        <v>0</v>
      </c>
      <c r="M65" s="4">
        <v>0</v>
      </c>
      <c r="N65" s="4"/>
      <c r="O65" s="4">
        <v>0</v>
      </c>
      <c r="P65" s="4">
        <v>0</v>
      </c>
      <c r="Q65" s="4">
        <v>0</v>
      </c>
      <c r="R65" s="4">
        <v>0</v>
      </c>
      <c r="S65" s="31">
        <f t="shared" si="16"/>
        <v>0</v>
      </c>
      <c r="T65">
        <v>63</v>
      </c>
    </row>
    <row r="66" spans="2:20" x14ac:dyDescent="0.25">
      <c r="F66" s="4"/>
      <c r="G66" s="4"/>
      <c r="H66" s="4"/>
      <c r="I66" s="4"/>
      <c r="J66" s="4"/>
      <c r="K66" s="4"/>
      <c r="L66" s="4"/>
      <c r="M66" s="4"/>
      <c r="N66" s="4"/>
      <c r="O66" s="4"/>
      <c r="P66" s="4"/>
      <c r="Q66" s="4"/>
      <c r="R66" s="4"/>
      <c r="S66" s="31">
        <f t="shared" si="16"/>
        <v>0</v>
      </c>
      <c r="T66">
        <v>64</v>
      </c>
    </row>
    <row r="67" spans="2:20" x14ac:dyDescent="0.25">
      <c r="B67" s="62">
        <v>14</v>
      </c>
      <c r="C67" s="62"/>
      <c r="D67" s="62"/>
      <c r="E67" s="62" t="s">
        <v>247</v>
      </c>
      <c r="F67" s="63">
        <f>F68+F79+F85+F96+F107</f>
        <v>2287740</v>
      </c>
      <c r="G67" s="63">
        <f t="shared" ref="G67:R67" si="17">G68+G79+G85+G96+G107</f>
        <v>806091</v>
      </c>
      <c r="H67" s="63">
        <f t="shared" si="17"/>
        <v>626957.4</v>
      </c>
      <c r="I67" s="63">
        <f t="shared" si="17"/>
        <v>571769</v>
      </c>
      <c r="J67" s="63">
        <f t="shared" si="17"/>
        <v>1432069.35</v>
      </c>
      <c r="K67" s="63">
        <f t="shared" si="17"/>
        <v>2212174.2000000002</v>
      </c>
      <c r="L67" s="63">
        <f t="shared" si="17"/>
        <v>649570</v>
      </c>
      <c r="M67" s="63">
        <f t="shared" si="17"/>
        <v>1088618</v>
      </c>
      <c r="N67" s="63">
        <f t="shared" si="17"/>
        <v>0</v>
      </c>
      <c r="O67" s="63">
        <f t="shared" si="17"/>
        <v>2000</v>
      </c>
      <c r="P67" s="63">
        <f t="shared" si="17"/>
        <v>1283384.1499999999</v>
      </c>
      <c r="Q67" s="63">
        <f t="shared" si="17"/>
        <v>1049760.05</v>
      </c>
      <c r="R67" s="63">
        <f t="shared" si="17"/>
        <v>1530806</v>
      </c>
      <c r="S67" s="63">
        <f t="shared" ref="S67:S77" si="18">SUM(F67:R67)</f>
        <v>13540939.15</v>
      </c>
      <c r="T67">
        <v>65</v>
      </c>
    </row>
    <row r="68" spans="2:20" x14ac:dyDescent="0.25">
      <c r="C68" s="56">
        <v>140</v>
      </c>
      <c r="D68" s="56"/>
      <c r="E68" s="56" t="s">
        <v>249</v>
      </c>
      <c r="F68" s="57">
        <f>F69+F70+F71+F72+F73+F74+F75+F76+F77</f>
        <v>2217940</v>
      </c>
      <c r="G68" s="57">
        <f t="shared" ref="G68:R68" si="19">G69+G70+G71+G72+G73+G74+G75+G76+G77</f>
        <v>806091</v>
      </c>
      <c r="H68" s="57">
        <f t="shared" si="19"/>
        <v>626957.4</v>
      </c>
      <c r="I68" s="57">
        <f t="shared" si="19"/>
        <v>571769</v>
      </c>
      <c r="J68" s="57">
        <f t="shared" si="19"/>
        <v>1432069.35</v>
      </c>
      <c r="K68" s="57">
        <f t="shared" si="19"/>
        <v>2144171.2000000002</v>
      </c>
      <c r="L68" s="57">
        <f t="shared" si="19"/>
        <v>649570</v>
      </c>
      <c r="M68" s="57">
        <f t="shared" si="19"/>
        <v>1088618</v>
      </c>
      <c r="N68" s="57">
        <f t="shared" si="19"/>
        <v>0</v>
      </c>
      <c r="O68" s="57">
        <f t="shared" si="19"/>
        <v>2000</v>
      </c>
      <c r="P68" s="57">
        <f t="shared" si="19"/>
        <v>1283384.1499999999</v>
      </c>
      <c r="Q68" s="57">
        <f t="shared" si="19"/>
        <v>1049760.05</v>
      </c>
      <c r="R68" s="57">
        <f t="shared" si="19"/>
        <v>1530806</v>
      </c>
      <c r="S68" s="57">
        <f t="shared" si="18"/>
        <v>13403136.15</v>
      </c>
      <c r="T68">
        <v>66</v>
      </c>
    </row>
    <row r="69" spans="2:20" x14ac:dyDescent="0.25">
      <c r="D69">
        <v>1400</v>
      </c>
      <c r="E69" t="s">
        <v>357</v>
      </c>
      <c r="F69" s="4">
        <v>637218.30000000005</v>
      </c>
      <c r="G69" s="4">
        <v>236301</v>
      </c>
      <c r="H69" s="4">
        <v>0</v>
      </c>
      <c r="I69" s="4">
        <v>260230</v>
      </c>
      <c r="J69" s="4">
        <v>336980</v>
      </c>
      <c r="K69" s="4">
        <v>764001</v>
      </c>
      <c r="L69" s="4">
        <v>201230</v>
      </c>
      <c r="M69" s="4">
        <v>0</v>
      </c>
      <c r="N69" s="4"/>
      <c r="O69" s="4">
        <v>0</v>
      </c>
      <c r="P69" s="4">
        <v>476564.55</v>
      </c>
      <c r="Q69" s="4">
        <v>316148.05</v>
      </c>
      <c r="R69" s="4">
        <v>41000</v>
      </c>
      <c r="S69" s="31">
        <f t="shared" si="18"/>
        <v>3269672.8999999994</v>
      </c>
      <c r="T69">
        <v>67</v>
      </c>
    </row>
    <row r="70" spans="2:20" x14ac:dyDescent="0.25">
      <c r="D70">
        <v>1401</v>
      </c>
      <c r="E70" t="s">
        <v>358</v>
      </c>
      <c r="F70" s="4">
        <v>63400</v>
      </c>
      <c r="G70" s="4">
        <v>17000</v>
      </c>
      <c r="H70" s="4">
        <v>54005.4</v>
      </c>
      <c r="I70" s="4">
        <v>0</v>
      </c>
      <c r="J70" s="4">
        <v>80000</v>
      </c>
      <c r="K70" s="4">
        <v>1</v>
      </c>
      <c r="L70" s="4">
        <v>0</v>
      </c>
      <c r="M70" s="4">
        <v>0</v>
      </c>
      <c r="N70" s="4"/>
      <c r="O70" s="4">
        <v>0</v>
      </c>
      <c r="P70" s="4">
        <v>97903.2</v>
      </c>
      <c r="Q70" s="4">
        <v>0</v>
      </c>
      <c r="R70" s="4">
        <v>0</v>
      </c>
      <c r="S70" s="31">
        <f t="shared" si="18"/>
        <v>312309.59999999998</v>
      </c>
      <c r="T70">
        <v>68</v>
      </c>
    </row>
    <row r="71" spans="2:20" x14ac:dyDescent="0.25">
      <c r="D71">
        <v>1402</v>
      </c>
      <c r="E71" t="s">
        <v>359</v>
      </c>
      <c r="F71" s="4">
        <v>54531.7</v>
      </c>
      <c r="G71" s="4">
        <v>0</v>
      </c>
      <c r="H71" s="4">
        <v>1</v>
      </c>
      <c r="I71" s="4">
        <v>0</v>
      </c>
      <c r="J71" s="4">
        <v>0</v>
      </c>
      <c r="K71" s="4">
        <v>0</v>
      </c>
      <c r="L71" s="4">
        <v>0</v>
      </c>
      <c r="M71" s="4">
        <v>0</v>
      </c>
      <c r="N71" s="4"/>
      <c r="O71" s="4">
        <v>0</v>
      </c>
      <c r="P71" s="4">
        <v>0</v>
      </c>
      <c r="Q71" s="4">
        <v>0</v>
      </c>
      <c r="R71" s="4">
        <v>0</v>
      </c>
      <c r="S71" s="31">
        <f t="shared" si="18"/>
        <v>54532.7</v>
      </c>
      <c r="T71">
        <v>69</v>
      </c>
    </row>
    <row r="72" spans="2:20" x14ac:dyDescent="0.25">
      <c r="D72">
        <v>1403</v>
      </c>
      <c r="E72" t="s">
        <v>360</v>
      </c>
      <c r="F72" s="4">
        <v>0</v>
      </c>
      <c r="G72" s="4">
        <v>0</v>
      </c>
      <c r="H72" s="4">
        <v>0</v>
      </c>
      <c r="I72" s="4">
        <v>0</v>
      </c>
      <c r="J72" s="4">
        <v>0</v>
      </c>
      <c r="K72" s="4">
        <v>0</v>
      </c>
      <c r="L72" s="4">
        <v>0</v>
      </c>
      <c r="M72" s="4">
        <v>0</v>
      </c>
      <c r="N72" s="4"/>
      <c r="O72" s="4">
        <v>0</v>
      </c>
      <c r="P72" s="4">
        <v>0</v>
      </c>
      <c r="Q72" s="4">
        <v>0</v>
      </c>
      <c r="R72" s="4">
        <v>0</v>
      </c>
      <c r="S72" s="31">
        <f t="shared" si="18"/>
        <v>0</v>
      </c>
      <c r="T72">
        <v>70</v>
      </c>
    </row>
    <row r="73" spans="2:20" x14ac:dyDescent="0.25">
      <c r="D73">
        <v>1404</v>
      </c>
      <c r="E73" t="s">
        <v>361</v>
      </c>
      <c r="F73" s="4">
        <v>484700</v>
      </c>
      <c r="G73" s="4">
        <v>265000</v>
      </c>
      <c r="H73" s="4">
        <v>1</v>
      </c>
      <c r="I73" s="4">
        <v>2</v>
      </c>
      <c r="J73" s="4">
        <v>128419.35</v>
      </c>
      <c r="K73" s="4">
        <v>37329.199999999997</v>
      </c>
      <c r="L73" s="4">
        <v>211600</v>
      </c>
      <c r="M73" s="4">
        <v>0</v>
      </c>
      <c r="N73" s="4"/>
      <c r="O73" s="4">
        <v>0</v>
      </c>
      <c r="P73" s="4">
        <v>151549.4</v>
      </c>
      <c r="Q73" s="4">
        <v>0</v>
      </c>
      <c r="R73" s="4">
        <v>1489805</v>
      </c>
      <c r="S73" s="31">
        <f t="shared" si="18"/>
        <v>2768405.9499999997</v>
      </c>
      <c r="T73">
        <v>71</v>
      </c>
    </row>
    <row r="74" spans="2:20" x14ac:dyDescent="0.25">
      <c r="D74">
        <v>1405</v>
      </c>
      <c r="E74" t="s">
        <v>362</v>
      </c>
      <c r="F74" s="4">
        <v>907190</v>
      </c>
      <c r="G74" s="4">
        <v>287790</v>
      </c>
      <c r="H74" s="4">
        <v>570450</v>
      </c>
      <c r="I74" s="4">
        <v>311535</v>
      </c>
      <c r="J74" s="4">
        <v>886670</v>
      </c>
      <c r="K74" s="4">
        <v>1342840</v>
      </c>
      <c r="L74" s="4">
        <v>236740</v>
      </c>
      <c r="M74" s="4">
        <v>1088618</v>
      </c>
      <c r="N74" s="4"/>
      <c r="O74" s="4">
        <v>0</v>
      </c>
      <c r="P74" s="4">
        <v>556866</v>
      </c>
      <c r="Q74" s="4">
        <v>687522</v>
      </c>
      <c r="R74" s="4">
        <v>0</v>
      </c>
      <c r="S74" s="31">
        <f t="shared" si="18"/>
        <v>6876221</v>
      </c>
      <c r="T74">
        <v>72</v>
      </c>
    </row>
    <row r="75" spans="2:20" x14ac:dyDescent="0.25">
      <c r="D75">
        <v>1406</v>
      </c>
      <c r="E75" t="s">
        <v>363</v>
      </c>
      <c r="F75" s="4">
        <v>70900</v>
      </c>
      <c r="G75" s="4">
        <v>0</v>
      </c>
      <c r="H75" s="4">
        <v>2500</v>
      </c>
      <c r="I75" s="4">
        <v>2</v>
      </c>
      <c r="J75" s="4">
        <v>0</v>
      </c>
      <c r="K75" s="4">
        <v>0</v>
      </c>
      <c r="L75" s="4">
        <v>0</v>
      </c>
      <c r="M75" s="4">
        <v>0</v>
      </c>
      <c r="N75" s="4"/>
      <c r="O75" s="4">
        <v>0</v>
      </c>
      <c r="P75" s="4">
        <v>501</v>
      </c>
      <c r="Q75" s="4">
        <v>0</v>
      </c>
      <c r="R75" s="4">
        <v>1</v>
      </c>
      <c r="S75" s="31">
        <f t="shared" si="18"/>
        <v>73904</v>
      </c>
      <c r="T75">
        <v>73</v>
      </c>
    </row>
    <row r="76" spans="2:20" x14ac:dyDescent="0.25">
      <c r="D76">
        <v>1407</v>
      </c>
      <c r="E76" t="s">
        <v>364</v>
      </c>
      <c r="F76" s="4">
        <v>0</v>
      </c>
      <c r="G76" s="4">
        <v>0</v>
      </c>
      <c r="H76" s="4">
        <v>0</v>
      </c>
      <c r="I76" s="4">
        <v>0</v>
      </c>
      <c r="J76" s="4">
        <v>0</v>
      </c>
      <c r="K76" s="4">
        <v>0</v>
      </c>
      <c r="L76" s="4">
        <v>0</v>
      </c>
      <c r="M76" s="4">
        <v>0</v>
      </c>
      <c r="N76" s="4"/>
      <c r="O76" s="4">
        <v>2000</v>
      </c>
      <c r="P76" s="4">
        <v>0</v>
      </c>
      <c r="Q76" s="4">
        <v>46090</v>
      </c>
      <c r="R76" s="4">
        <v>0</v>
      </c>
      <c r="S76" s="31">
        <f t="shared" si="18"/>
        <v>48090</v>
      </c>
      <c r="T76">
        <v>74</v>
      </c>
    </row>
    <row r="77" spans="2:20" x14ac:dyDescent="0.25">
      <c r="D77">
        <v>1409</v>
      </c>
      <c r="E77" t="s">
        <v>365</v>
      </c>
      <c r="F77" s="4">
        <v>0</v>
      </c>
      <c r="G77" s="4">
        <v>0</v>
      </c>
      <c r="H77" s="4">
        <v>0</v>
      </c>
      <c r="I77" s="4">
        <v>0</v>
      </c>
      <c r="J77" s="4">
        <v>0</v>
      </c>
      <c r="K77" s="4">
        <v>0</v>
      </c>
      <c r="L77" s="4">
        <v>0</v>
      </c>
      <c r="M77" s="4">
        <v>0</v>
      </c>
      <c r="N77" s="4"/>
      <c r="O77" s="4">
        <v>0</v>
      </c>
      <c r="P77" s="4">
        <v>0</v>
      </c>
      <c r="Q77" s="4">
        <v>0</v>
      </c>
      <c r="R77" s="4">
        <v>0</v>
      </c>
      <c r="S77" s="31">
        <f t="shared" si="18"/>
        <v>0</v>
      </c>
      <c r="T77">
        <v>75</v>
      </c>
    </row>
    <row r="78" spans="2:20" x14ac:dyDescent="0.25">
      <c r="F78" s="4"/>
      <c r="G78" s="4"/>
      <c r="H78" s="4"/>
      <c r="I78" s="4"/>
      <c r="J78" s="4"/>
      <c r="K78" s="4"/>
      <c r="L78" s="4"/>
      <c r="M78" s="4"/>
      <c r="N78" s="4"/>
      <c r="O78" s="4"/>
      <c r="P78" s="4"/>
      <c r="Q78" s="4"/>
      <c r="R78" s="4"/>
      <c r="S78" s="31"/>
      <c r="T78">
        <v>76</v>
      </c>
    </row>
    <row r="79" spans="2:20" x14ac:dyDescent="0.25">
      <c r="C79" s="56">
        <v>142</v>
      </c>
      <c r="D79" s="56"/>
      <c r="E79" s="56" t="s">
        <v>581</v>
      </c>
      <c r="F79" s="57">
        <f t="shared" ref="F79:O79" si="20">F80+F81+F82+F83</f>
        <v>0</v>
      </c>
      <c r="G79" s="57">
        <f t="shared" si="20"/>
        <v>0</v>
      </c>
      <c r="H79" s="57">
        <f t="shared" si="20"/>
        <v>0</v>
      </c>
      <c r="I79" s="57">
        <f t="shared" si="20"/>
        <v>0</v>
      </c>
      <c r="J79" s="57">
        <f t="shared" si="20"/>
        <v>0</v>
      </c>
      <c r="K79" s="57">
        <f t="shared" si="20"/>
        <v>0</v>
      </c>
      <c r="L79" s="57">
        <f t="shared" si="20"/>
        <v>0</v>
      </c>
      <c r="M79" s="57">
        <f t="shared" si="20"/>
        <v>0</v>
      </c>
      <c r="N79" s="57">
        <f t="shared" si="20"/>
        <v>0</v>
      </c>
      <c r="O79" s="57">
        <f t="shared" si="20"/>
        <v>0</v>
      </c>
      <c r="P79" s="57">
        <f>P80+P81+P82+P83</f>
        <v>0</v>
      </c>
      <c r="Q79" s="57">
        <f t="shared" ref="Q79:R79" si="21">Q80+Q81+Q82+Q83</f>
        <v>0</v>
      </c>
      <c r="R79" s="57">
        <f t="shared" si="21"/>
        <v>0</v>
      </c>
      <c r="S79" s="57">
        <f>SUM(F79:R79)</f>
        <v>0</v>
      </c>
      <c r="T79">
        <v>77</v>
      </c>
    </row>
    <row r="80" spans="2:20" x14ac:dyDescent="0.25">
      <c r="D80">
        <v>1420</v>
      </c>
      <c r="E80" t="s">
        <v>366</v>
      </c>
      <c r="F80" s="4">
        <v>0</v>
      </c>
      <c r="G80" s="4">
        <v>0</v>
      </c>
      <c r="H80" s="4">
        <v>0</v>
      </c>
      <c r="I80" s="4">
        <v>0</v>
      </c>
      <c r="J80" s="4">
        <v>0</v>
      </c>
      <c r="K80" s="4">
        <v>0</v>
      </c>
      <c r="L80" s="4">
        <v>0</v>
      </c>
      <c r="M80" s="4">
        <v>0</v>
      </c>
      <c r="N80" s="4"/>
      <c r="O80" s="4">
        <v>0</v>
      </c>
      <c r="P80" s="4">
        <v>0</v>
      </c>
      <c r="Q80" s="4">
        <v>0</v>
      </c>
      <c r="R80" s="4">
        <v>0</v>
      </c>
      <c r="S80" s="31">
        <f>SUM(F80:R80)</f>
        <v>0</v>
      </c>
      <c r="T80">
        <v>78</v>
      </c>
    </row>
    <row r="81" spans="3:20" x14ac:dyDescent="0.25">
      <c r="D81">
        <v>1421</v>
      </c>
      <c r="E81" t="s">
        <v>367</v>
      </c>
      <c r="F81" s="4">
        <v>0</v>
      </c>
      <c r="G81" s="4">
        <v>0</v>
      </c>
      <c r="H81" s="4">
        <v>0</v>
      </c>
      <c r="I81" s="4">
        <v>0</v>
      </c>
      <c r="J81" s="4">
        <v>0</v>
      </c>
      <c r="K81" s="4">
        <v>0</v>
      </c>
      <c r="L81" s="4">
        <v>0</v>
      </c>
      <c r="M81" s="4">
        <v>0</v>
      </c>
      <c r="N81" s="4"/>
      <c r="O81" s="4">
        <v>0</v>
      </c>
      <c r="P81" s="4">
        <v>0</v>
      </c>
      <c r="Q81" s="4">
        <v>0</v>
      </c>
      <c r="R81" s="4">
        <v>0</v>
      </c>
      <c r="S81" s="31">
        <f>SUM(F81:R81)</f>
        <v>0</v>
      </c>
      <c r="T81">
        <v>79</v>
      </c>
    </row>
    <row r="82" spans="3:20" x14ac:dyDescent="0.25">
      <c r="D82">
        <v>1427</v>
      </c>
      <c r="E82" t="s">
        <v>580</v>
      </c>
      <c r="F82" s="4">
        <v>0</v>
      </c>
      <c r="G82" s="4">
        <v>0</v>
      </c>
      <c r="H82" s="4">
        <v>0</v>
      </c>
      <c r="I82" s="4">
        <v>0</v>
      </c>
      <c r="J82" s="4">
        <v>0</v>
      </c>
      <c r="K82" s="4">
        <v>0</v>
      </c>
      <c r="L82" s="4">
        <v>0</v>
      </c>
      <c r="M82" s="4">
        <v>0</v>
      </c>
      <c r="N82" s="4"/>
      <c r="O82" s="4">
        <v>0</v>
      </c>
      <c r="P82" s="4">
        <v>0</v>
      </c>
      <c r="Q82" s="4">
        <v>0</v>
      </c>
      <c r="R82" s="4">
        <v>0</v>
      </c>
      <c r="S82" s="31">
        <f>SUM(F82:R82)</f>
        <v>0</v>
      </c>
      <c r="T82">
        <v>80</v>
      </c>
    </row>
    <row r="83" spans="3:20" x14ac:dyDescent="0.25">
      <c r="D83">
        <v>1429</v>
      </c>
      <c r="E83" t="s">
        <v>465</v>
      </c>
      <c r="F83" s="4">
        <v>0</v>
      </c>
      <c r="G83" s="4">
        <v>0</v>
      </c>
      <c r="H83" s="4">
        <v>0</v>
      </c>
      <c r="I83" s="4">
        <v>0</v>
      </c>
      <c r="J83" s="4">
        <v>0</v>
      </c>
      <c r="K83" s="4">
        <v>0</v>
      </c>
      <c r="L83" s="4">
        <v>0</v>
      </c>
      <c r="M83" s="4">
        <v>0</v>
      </c>
      <c r="N83" s="4"/>
      <c r="O83" s="4">
        <v>0</v>
      </c>
      <c r="P83" s="4">
        <v>0</v>
      </c>
      <c r="Q83" s="4">
        <v>0</v>
      </c>
      <c r="R83" s="4">
        <v>0</v>
      </c>
      <c r="S83" s="31">
        <f>SUM(F83:R83)</f>
        <v>0</v>
      </c>
      <c r="T83">
        <v>81</v>
      </c>
    </row>
    <row r="84" spans="3:20" x14ac:dyDescent="0.25">
      <c r="F84" s="4"/>
      <c r="G84" s="4"/>
      <c r="H84" s="4"/>
      <c r="I84" s="4"/>
      <c r="J84" s="4"/>
      <c r="K84" s="4"/>
      <c r="L84" s="4"/>
      <c r="M84" s="4"/>
      <c r="N84" s="4"/>
      <c r="O84" s="4"/>
      <c r="P84" s="4"/>
      <c r="Q84" s="4"/>
      <c r="R84" s="4"/>
      <c r="S84" s="31"/>
      <c r="T84">
        <v>82</v>
      </c>
    </row>
    <row r="85" spans="3:20" x14ac:dyDescent="0.25">
      <c r="C85" s="56">
        <v>144</v>
      </c>
      <c r="D85" s="56"/>
      <c r="E85" s="56" t="s">
        <v>250</v>
      </c>
      <c r="F85" s="57">
        <f>F86+F87+F88+F89+F90+F91+F92+F93+F94</f>
        <v>69800</v>
      </c>
      <c r="G85" s="57">
        <f t="shared" ref="G85:R85" si="22">G86+G87+G88+G89+G90+G91+G92+G93+G94</f>
        <v>0</v>
      </c>
      <c r="H85" s="57">
        <f t="shared" si="22"/>
        <v>0</v>
      </c>
      <c r="I85" s="57">
        <f t="shared" si="22"/>
        <v>0</v>
      </c>
      <c r="J85" s="57">
        <f t="shared" si="22"/>
        <v>0</v>
      </c>
      <c r="K85" s="57">
        <f t="shared" si="22"/>
        <v>0</v>
      </c>
      <c r="L85" s="57">
        <f t="shared" si="22"/>
        <v>0</v>
      </c>
      <c r="M85" s="57">
        <f t="shared" si="22"/>
        <v>0</v>
      </c>
      <c r="N85" s="57">
        <f t="shared" si="22"/>
        <v>0</v>
      </c>
      <c r="O85" s="57">
        <f t="shared" si="22"/>
        <v>0</v>
      </c>
      <c r="P85" s="57">
        <f t="shared" si="22"/>
        <v>0</v>
      </c>
      <c r="Q85" s="57">
        <f t="shared" si="22"/>
        <v>0</v>
      </c>
      <c r="R85" s="57">
        <f t="shared" si="22"/>
        <v>0</v>
      </c>
      <c r="S85" s="57">
        <f t="shared" ref="S85:S94" si="23">SUM(F85:R85)</f>
        <v>69800</v>
      </c>
      <c r="T85">
        <v>83</v>
      </c>
    </row>
    <row r="86" spans="3:20" x14ac:dyDescent="0.25">
      <c r="D86">
        <v>1440</v>
      </c>
      <c r="E86" t="s">
        <v>368</v>
      </c>
      <c r="F86" s="4">
        <v>0</v>
      </c>
      <c r="G86" s="4">
        <v>0</v>
      </c>
      <c r="H86" s="4">
        <v>0</v>
      </c>
      <c r="I86" s="4">
        <v>0</v>
      </c>
      <c r="J86" s="4">
        <v>0</v>
      </c>
      <c r="K86" s="4">
        <v>0</v>
      </c>
      <c r="L86" s="4">
        <v>0</v>
      </c>
      <c r="M86" s="4">
        <v>0</v>
      </c>
      <c r="N86" s="4"/>
      <c r="O86" s="4">
        <v>0</v>
      </c>
      <c r="P86" s="4">
        <v>0</v>
      </c>
      <c r="Q86" s="4">
        <v>0</v>
      </c>
      <c r="R86" s="4">
        <v>0</v>
      </c>
      <c r="S86" s="31">
        <f t="shared" si="23"/>
        <v>0</v>
      </c>
      <c r="T86">
        <v>84</v>
      </c>
    </row>
    <row r="87" spans="3:20" x14ac:dyDescent="0.25">
      <c r="D87">
        <v>1441</v>
      </c>
      <c r="E87" t="s">
        <v>370</v>
      </c>
      <c r="F87" s="4">
        <v>0</v>
      </c>
      <c r="G87" s="4">
        <v>0</v>
      </c>
      <c r="H87" s="4">
        <v>0</v>
      </c>
      <c r="I87" s="4">
        <v>0</v>
      </c>
      <c r="J87" s="4">
        <v>0</v>
      </c>
      <c r="K87" s="4">
        <v>0</v>
      </c>
      <c r="L87" s="4">
        <v>0</v>
      </c>
      <c r="M87" s="4">
        <v>0</v>
      </c>
      <c r="N87" s="4"/>
      <c r="O87" s="4">
        <v>0</v>
      </c>
      <c r="P87" s="4">
        <v>0</v>
      </c>
      <c r="Q87" s="4">
        <v>0</v>
      </c>
      <c r="R87" s="4">
        <v>0</v>
      </c>
      <c r="S87" s="31">
        <f t="shared" si="23"/>
        <v>0</v>
      </c>
      <c r="T87">
        <v>85</v>
      </c>
    </row>
    <row r="88" spans="3:20" x14ac:dyDescent="0.25">
      <c r="D88">
        <v>1442</v>
      </c>
      <c r="E88" t="s">
        <v>369</v>
      </c>
      <c r="F88" s="4">
        <v>22800</v>
      </c>
      <c r="G88" s="4">
        <v>0</v>
      </c>
      <c r="H88" s="4">
        <v>0</v>
      </c>
      <c r="I88" s="4">
        <v>0</v>
      </c>
      <c r="J88" s="4">
        <v>0</v>
      </c>
      <c r="K88" s="4">
        <v>0</v>
      </c>
      <c r="L88" s="4">
        <v>0</v>
      </c>
      <c r="M88" s="4">
        <v>0</v>
      </c>
      <c r="N88" s="4"/>
      <c r="O88" s="4">
        <v>0</v>
      </c>
      <c r="P88" s="4">
        <v>0</v>
      </c>
      <c r="Q88" s="4">
        <v>0</v>
      </c>
      <c r="R88" s="4">
        <v>0</v>
      </c>
      <c r="S88" s="31">
        <f t="shared" si="23"/>
        <v>22800</v>
      </c>
      <c r="T88">
        <v>86</v>
      </c>
    </row>
    <row r="89" spans="3:20" x14ac:dyDescent="0.25">
      <c r="D89">
        <v>1443</v>
      </c>
      <c r="E89" t="s">
        <v>371</v>
      </c>
      <c r="F89" s="4">
        <v>0</v>
      </c>
      <c r="G89" s="4">
        <v>0</v>
      </c>
      <c r="H89" s="4">
        <v>0</v>
      </c>
      <c r="I89" s="4">
        <v>0</v>
      </c>
      <c r="J89" s="4">
        <v>0</v>
      </c>
      <c r="K89" s="4">
        <v>0</v>
      </c>
      <c r="L89" s="4">
        <v>0</v>
      </c>
      <c r="M89" s="4">
        <v>0</v>
      </c>
      <c r="N89" s="4"/>
      <c r="O89" s="4">
        <v>0</v>
      </c>
      <c r="P89" s="4">
        <v>0</v>
      </c>
      <c r="Q89" s="4">
        <v>0</v>
      </c>
      <c r="R89" s="4">
        <v>0</v>
      </c>
      <c r="S89" s="31">
        <f t="shared" si="23"/>
        <v>0</v>
      </c>
      <c r="T89">
        <v>87</v>
      </c>
    </row>
    <row r="90" spans="3:20" x14ac:dyDescent="0.25">
      <c r="D90">
        <v>1444</v>
      </c>
      <c r="E90" t="s">
        <v>372</v>
      </c>
      <c r="F90" s="4">
        <v>0</v>
      </c>
      <c r="G90" s="4">
        <v>0</v>
      </c>
      <c r="H90" s="4">
        <v>0</v>
      </c>
      <c r="I90" s="4">
        <v>0</v>
      </c>
      <c r="J90" s="4">
        <v>0</v>
      </c>
      <c r="K90" s="4">
        <v>0</v>
      </c>
      <c r="L90" s="4">
        <v>0</v>
      </c>
      <c r="M90" s="4">
        <v>0</v>
      </c>
      <c r="N90" s="4"/>
      <c r="O90" s="4">
        <v>0</v>
      </c>
      <c r="P90" s="4">
        <v>0</v>
      </c>
      <c r="Q90" s="4">
        <v>0</v>
      </c>
      <c r="R90" s="4">
        <v>0</v>
      </c>
      <c r="S90" s="31">
        <f t="shared" si="23"/>
        <v>0</v>
      </c>
      <c r="T90">
        <v>88</v>
      </c>
    </row>
    <row r="91" spans="3:20" x14ac:dyDescent="0.25">
      <c r="D91">
        <v>1445</v>
      </c>
      <c r="E91" t="s">
        <v>373</v>
      </c>
      <c r="F91" s="4">
        <v>0</v>
      </c>
      <c r="G91" s="4">
        <v>0</v>
      </c>
      <c r="H91" s="4">
        <v>0</v>
      </c>
      <c r="I91" s="4">
        <v>0</v>
      </c>
      <c r="J91" s="4">
        <v>0</v>
      </c>
      <c r="K91" s="4">
        <v>0</v>
      </c>
      <c r="L91" s="4">
        <v>0</v>
      </c>
      <c r="M91" s="4">
        <v>0</v>
      </c>
      <c r="N91" s="4"/>
      <c r="O91" s="4">
        <v>0</v>
      </c>
      <c r="P91" s="4">
        <v>0</v>
      </c>
      <c r="Q91" s="4">
        <v>0</v>
      </c>
      <c r="R91" s="4">
        <v>0</v>
      </c>
      <c r="S91" s="31">
        <f t="shared" si="23"/>
        <v>0</v>
      </c>
      <c r="T91">
        <v>89</v>
      </c>
    </row>
    <row r="92" spans="3:20" x14ac:dyDescent="0.25">
      <c r="D92">
        <v>1446</v>
      </c>
      <c r="E92" t="s">
        <v>374</v>
      </c>
      <c r="F92" s="4">
        <v>47000</v>
      </c>
      <c r="G92" s="4">
        <v>0</v>
      </c>
      <c r="H92" s="4">
        <v>0</v>
      </c>
      <c r="I92" s="4">
        <v>0</v>
      </c>
      <c r="J92" s="4">
        <v>0</v>
      </c>
      <c r="K92" s="4">
        <v>0</v>
      </c>
      <c r="L92" s="4">
        <v>0</v>
      </c>
      <c r="M92" s="4">
        <v>0</v>
      </c>
      <c r="N92" s="4"/>
      <c r="O92" s="4">
        <v>0</v>
      </c>
      <c r="P92" s="4">
        <v>0</v>
      </c>
      <c r="Q92" s="4">
        <v>0</v>
      </c>
      <c r="R92" s="4">
        <v>0</v>
      </c>
      <c r="S92" s="31">
        <f t="shared" si="23"/>
        <v>47000</v>
      </c>
      <c r="T92">
        <v>90</v>
      </c>
    </row>
    <row r="93" spans="3:20" x14ac:dyDescent="0.25">
      <c r="D93">
        <v>1447</v>
      </c>
      <c r="E93" t="s">
        <v>375</v>
      </c>
      <c r="F93" s="4">
        <v>0</v>
      </c>
      <c r="G93" s="4">
        <v>0</v>
      </c>
      <c r="H93" s="4">
        <v>0</v>
      </c>
      <c r="I93" s="4">
        <v>0</v>
      </c>
      <c r="J93" s="4">
        <v>0</v>
      </c>
      <c r="K93" s="4">
        <v>0</v>
      </c>
      <c r="L93" s="4">
        <v>0</v>
      </c>
      <c r="M93" s="4">
        <v>0</v>
      </c>
      <c r="N93" s="4"/>
      <c r="O93" s="4">
        <v>0</v>
      </c>
      <c r="P93" s="4">
        <v>0</v>
      </c>
      <c r="Q93" s="4">
        <v>0</v>
      </c>
      <c r="R93" s="4">
        <v>0</v>
      </c>
      <c r="S93" s="31">
        <f t="shared" si="23"/>
        <v>0</v>
      </c>
      <c r="T93">
        <v>91</v>
      </c>
    </row>
    <row r="94" spans="3:20" x14ac:dyDescent="0.25">
      <c r="D94">
        <v>1448</v>
      </c>
      <c r="E94" t="s">
        <v>376</v>
      </c>
      <c r="F94" s="4">
        <v>0</v>
      </c>
      <c r="G94" s="4">
        <v>0</v>
      </c>
      <c r="H94" s="4">
        <v>0</v>
      </c>
      <c r="I94" s="4">
        <v>0</v>
      </c>
      <c r="J94" s="4">
        <v>0</v>
      </c>
      <c r="K94" s="4">
        <v>0</v>
      </c>
      <c r="L94" s="4">
        <v>0</v>
      </c>
      <c r="M94" s="4">
        <v>0</v>
      </c>
      <c r="N94" s="4"/>
      <c r="O94" s="4">
        <v>0</v>
      </c>
      <c r="P94" s="4">
        <v>0</v>
      </c>
      <c r="Q94" s="4">
        <v>0</v>
      </c>
      <c r="R94" s="4">
        <v>0</v>
      </c>
      <c r="S94" s="31">
        <f t="shared" si="23"/>
        <v>0</v>
      </c>
      <c r="T94">
        <v>92</v>
      </c>
    </row>
    <row r="95" spans="3:20" x14ac:dyDescent="0.25">
      <c r="F95" s="4"/>
      <c r="G95" s="4"/>
      <c r="H95" s="4"/>
      <c r="I95" s="4"/>
      <c r="J95" s="4"/>
      <c r="K95" s="4"/>
      <c r="L95" s="4"/>
      <c r="M95" s="4"/>
      <c r="N95" s="4"/>
      <c r="O95" s="4"/>
      <c r="P95" s="4"/>
      <c r="Q95" s="4"/>
      <c r="R95" s="4"/>
      <c r="S95" s="31"/>
      <c r="T95">
        <v>93</v>
      </c>
    </row>
    <row r="96" spans="3:20" x14ac:dyDescent="0.25">
      <c r="C96" s="56">
        <v>145</v>
      </c>
      <c r="D96" s="56"/>
      <c r="E96" s="56" t="s">
        <v>379</v>
      </c>
      <c r="F96" s="57">
        <f>F97+F98+F99+F100+F101+F102+F103+F104+F105</f>
        <v>0</v>
      </c>
      <c r="G96" s="57">
        <f t="shared" ref="G96:R96" si="24">G97+G98+G99+G100+G101+G102+G103+G104+G105</f>
        <v>0</v>
      </c>
      <c r="H96" s="57">
        <f t="shared" si="24"/>
        <v>0</v>
      </c>
      <c r="I96" s="57">
        <f t="shared" si="24"/>
        <v>0</v>
      </c>
      <c r="J96" s="57">
        <f t="shared" si="24"/>
        <v>0</v>
      </c>
      <c r="K96" s="57">
        <f t="shared" si="24"/>
        <v>68003</v>
      </c>
      <c r="L96" s="57">
        <f t="shared" si="24"/>
        <v>0</v>
      </c>
      <c r="M96" s="57">
        <f t="shared" si="24"/>
        <v>0</v>
      </c>
      <c r="N96" s="57">
        <f t="shared" si="24"/>
        <v>0</v>
      </c>
      <c r="O96" s="57">
        <f t="shared" si="24"/>
        <v>0</v>
      </c>
      <c r="P96" s="57">
        <f t="shared" si="24"/>
        <v>0</v>
      </c>
      <c r="Q96" s="57">
        <f t="shared" si="24"/>
        <v>0</v>
      </c>
      <c r="R96" s="57">
        <f t="shared" si="24"/>
        <v>0</v>
      </c>
      <c r="S96" s="57">
        <f t="shared" ref="S96:S105" si="25">SUM(F96:R96)</f>
        <v>68003</v>
      </c>
      <c r="T96">
        <v>94</v>
      </c>
    </row>
    <row r="97" spans="3:20" x14ac:dyDescent="0.25">
      <c r="D97">
        <v>1450</v>
      </c>
      <c r="E97" t="s">
        <v>378</v>
      </c>
      <c r="F97" s="4">
        <v>0</v>
      </c>
      <c r="G97" s="4">
        <v>0</v>
      </c>
      <c r="H97" s="4">
        <v>0</v>
      </c>
      <c r="I97" s="4">
        <v>0</v>
      </c>
      <c r="J97" s="4">
        <v>0</v>
      </c>
      <c r="K97" s="4">
        <v>0</v>
      </c>
      <c r="L97" s="4">
        <v>0</v>
      </c>
      <c r="M97" s="4">
        <v>0</v>
      </c>
      <c r="N97" s="4"/>
      <c r="O97" s="4">
        <v>0</v>
      </c>
      <c r="P97" s="4">
        <v>0</v>
      </c>
      <c r="Q97" s="4">
        <v>0</v>
      </c>
      <c r="R97" s="4">
        <v>0</v>
      </c>
      <c r="S97" s="31">
        <f t="shared" si="25"/>
        <v>0</v>
      </c>
      <c r="T97">
        <v>95</v>
      </c>
    </row>
    <row r="98" spans="3:20" x14ac:dyDescent="0.25">
      <c r="D98">
        <v>1451</v>
      </c>
      <c r="E98" t="s">
        <v>377</v>
      </c>
      <c r="F98" s="4">
        <v>0</v>
      </c>
      <c r="G98" s="4">
        <v>0</v>
      </c>
      <c r="H98" s="4">
        <v>0</v>
      </c>
      <c r="I98" s="4">
        <v>0</v>
      </c>
      <c r="J98" s="4">
        <v>0</v>
      </c>
      <c r="K98" s="4">
        <v>0</v>
      </c>
      <c r="L98" s="4">
        <v>0</v>
      </c>
      <c r="M98" s="4">
        <v>0</v>
      </c>
      <c r="N98" s="4"/>
      <c r="O98" s="4">
        <v>0</v>
      </c>
      <c r="P98" s="4">
        <v>0</v>
      </c>
      <c r="Q98" s="4">
        <v>0</v>
      </c>
      <c r="R98" s="4">
        <v>0</v>
      </c>
      <c r="S98" s="31">
        <f t="shared" si="25"/>
        <v>0</v>
      </c>
      <c r="T98">
        <v>96</v>
      </c>
    </row>
    <row r="99" spans="3:20" x14ac:dyDescent="0.25">
      <c r="D99">
        <v>1452</v>
      </c>
      <c r="E99" t="s">
        <v>380</v>
      </c>
      <c r="F99" s="4">
        <v>0</v>
      </c>
      <c r="G99" s="4">
        <v>0</v>
      </c>
      <c r="H99" s="4">
        <v>0</v>
      </c>
      <c r="I99" s="4">
        <v>0</v>
      </c>
      <c r="J99" s="4">
        <v>0</v>
      </c>
      <c r="K99" s="4">
        <v>0</v>
      </c>
      <c r="L99" s="4">
        <v>0</v>
      </c>
      <c r="M99" s="4">
        <v>0</v>
      </c>
      <c r="N99" s="4"/>
      <c r="O99" s="4">
        <v>0</v>
      </c>
      <c r="P99" s="4">
        <v>0</v>
      </c>
      <c r="Q99" s="4">
        <v>0</v>
      </c>
      <c r="R99" s="4">
        <v>0</v>
      </c>
      <c r="S99" s="31">
        <f t="shared" si="25"/>
        <v>0</v>
      </c>
      <c r="T99">
        <v>97</v>
      </c>
    </row>
    <row r="100" spans="3:20" x14ac:dyDescent="0.25">
      <c r="D100">
        <v>1453</v>
      </c>
      <c r="E100" t="s">
        <v>381</v>
      </c>
      <c r="F100" s="4">
        <v>0</v>
      </c>
      <c r="G100" s="4">
        <v>0</v>
      </c>
      <c r="H100" s="4">
        <v>0</v>
      </c>
      <c r="I100" s="4">
        <v>0</v>
      </c>
      <c r="J100" s="4">
        <v>0</v>
      </c>
      <c r="K100" s="4">
        <v>0</v>
      </c>
      <c r="L100" s="4">
        <v>0</v>
      </c>
      <c r="M100" s="4">
        <v>0</v>
      </c>
      <c r="N100" s="4"/>
      <c r="O100" s="4">
        <v>0</v>
      </c>
      <c r="P100" s="4">
        <v>0</v>
      </c>
      <c r="Q100" s="4">
        <v>0</v>
      </c>
      <c r="R100" s="4">
        <v>0</v>
      </c>
      <c r="S100" s="31">
        <f t="shared" si="25"/>
        <v>0</v>
      </c>
      <c r="T100">
        <v>98</v>
      </c>
    </row>
    <row r="101" spans="3:20" x14ac:dyDescent="0.25">
      <c r="D101">
        <v>1454</v>
      </c>
      <c r="E101" t="s">
        <v>382</v>
      </c>
      <c r="F101" s="4">
        <v>0</v>
      </c>
      <c r="G101" s="4">
        <v>0</v>
      </c>
      <c r="H101" s="4">
        <v>0</v>
      </c>
      <c r="I101" s="4">
        <v>0</v>
      </c>
      <c r="J101" s="4">
        <v>0</v>
      </c>
      <c r="K101" s="4">
        <v>0</v>
      </c>
      <c r="L101" s="4">
        <v>0</v>
      </c>
      <c r="M101" s="4">
        <v>0</v>
      </c>
      <c r="N101" s="4"/>
      <c r="O101" s="4">
        <v>0</v>
      </c>
      <c r="P101" s="4">
        <v>0</v>
      </c>
      <c r="Q101" s="4">
        <v>0</v>
      </c>
      <c r="R101" s="4">
        <v>0</v>
      </c>
      <c r="S101" s="31">
        <f t="shared" si="25"/>
        <v>0</v>
      </c>
      <c r="T101">
        <v>99</v>
      </c>
    </row>
    <row r="102" spans="3:20" x14ac:dyDescent="0.25">
      <c r="D102">
        <v>1455</v>
      </c>
      <c r="E102" t="s">
        <v>383</v>
      </c>
      <c r="F102" s="4">
        <v>0</v>
      </c>
      <c r="G102" s="4">
        <v>0</v>
      </c>
      <c r="H102" s="4">
        <v>0</v>
      </c>
      <c r="I102" s="4">
        <v>0</v>
      </c>
      <c r="J102" s="4">
        <v>0</v>
      </c>
      <c r="K102" s="4">
        <v>68003</v>
      </c>
      <c r="L102" s="4">
        <v>0</v>
      </c>
      <c r="M102" s="4">
        <v>0</v>
      </c>
      <c r="N102" s="4"/>
      <c r="O102" s="4">
        <v>0</v>
      </c>
      <c r="P102" s="4">
        <v>0</v>
      </c>
      <c r="Q102" s="4">
        <v>0</v>
      </c>
      <c r="R102" s="4">
        <v>0</v>
      </c>
      <c r="S102" s="31">
        <f t="shared" si="25"/>
        <v>68003</v>
      </c>
      <c r="T102">
        <v>100</v>
      </c>
    </row>
    <row r="103" spans="3:20" x14ac:dyDescent="0.25">
      <c r="D103">
        <v>1456</v>
      </c>
      <c r="E103" t="s">
        <v>384</v>
      </c>
      <c r="F103" s="4">
        <v>0</v>
      </c>
      <c r="G103" s="4">
        <v>0</v>
      </c>
      <c r="H103" s="4">
        <v>0</v>
      </c>
      <c r="I103" s="4">
        <v>0</v>
      </c>
      <c r="J103" s="4">
        <v>0</v>
      </c>
      <c r="K103" s="4">
        <v>0</v>
      </c>
      <c r="L103" s="4">
        <v>0</v>
      </c>
      <c r="M103" s="4">
        <v>0</v>
      </c>
      <c r="N103" s="4"/>
      <c r="O103" s="4">
        <v>0</v>
      </c>
      <c r="P103" s="4">
        <v>0</v>
      </c>
      <c r="Q103" s="4">
        <v>0</v>
      </c>
      <c r="R103" s="4">
        <v>0</v>
      </c>
      <c r="S103" s="31">
        <f t="shared" si="25"/>
        <v>0</v>
      </c>
      <c r="T103">
        <v>101</v>
      </c>
    </row>
    <row r="104" spans="3:20" x14ac:dyDescent="0.25">
      <c r="D104">
        <v>1457</v>
      </c>
      <c r="E104" t="s">
        <v>385</v>
      </c>
      <c r="F104" s="4">
        <v>0</v>
      </c>
      <c r="G104" s="4">
        <v>0</v>
      </c>
      <c r="H104" s="4">
        <v>0</v>
      </c>
      <c r="I104" s="4">
        <v>0</v>
      </c>
      <c r="J104" s="4">
        <v>0</v>
      </c>
      <c r="K104" s="4">
        <v>0</v>
      </c>
      <c r="L104" s="4">
        <v>0</v>
      </c>
      <c r="M104" s="4">
        <v>0</v>
      </c>
      <c r="N104" s="4"/>
      <c r="O104" s="4">
        <v>0</v>
      </c>
      <c r="P104" s="4">
        <v>0</v>
      </c>
      <c r="Q104" s="4">
        <v>0</v>
      </c>
      <c r="R104" s="4">
        <v>0</v>
      </c>
      <c r="S104" s="31">
        <f t="shared" si="25"/>
        <v>0</v>
      </c>
      <c r="T104">
        <v>102</v>
      </c>
    </row>
    <row r="105" spans="3:20" x14ac:dyDescent="0.25">
      <c r="D105">
        <v>1458</v>
      </c>
      <c r="E105" t="s">
        <v>386</v>
      </c>
      <c r="F105" s="4">
        <v>0</v>
      </c>
      <c r="G105" s="4">
        <v>0</v>
      </c>
      <c r="H105" s="4">
        <v>0</v>
      </c>
      <c r="I105" s="4">
        <v>0</v>
      </c>
      <c r="J105" s="4">
        <v>0</v>
      </c>
      <c r="K105" s="4">
        <v>0</v>
      </c>
      <c r="L105" s="4">
        <v>0</v>
      </c>
      <c r="M105" s="4">
        <v>0</v>
      </c>
      <c r="N105" s="4"/>
      <c r="O105" s="4">
        <v>0</v>
      </c>
      <c r="P105" s="4">
        <v>0</v>
      </c>
      <c r="Q105" s="4">
        <v>0</v>
      </c>
      <c r="R105" s="4">
        <v>0</v>
      </c>
      <c r="S105" s="31">
        <f t="shared" si="25"/>
        <v>0</v>
      </c>
      <c r="T105">
        <v>103</v>
      </c>
    </row>
    <row r="106" spans="3:20" x14ac:dyDescent="0.25">
      <c r="F106" s="4"/>
      <c r="G106" s="4"/>
      <c r="H106" s="4"/>
      <c r="I106" s="4"/>
      <c r="J106" s="4"/>
      <c r="K106" s="4"/>
      <c r="L106" s="4"/>
      <c r="M106" s="4"/>
      <c r="N106" s="4"/>
      <c r="O106" s="4"/>
      <c r="P106" s="4"/>
      <c r="Q106" s="4"/>
      <c r="R106" s="4"/>
      <c r="S106" s="31"/>
      <c r="T106">
        <v>104</v>
      </c>
    </row>
    <row r="107" spans="3:20" x14ac:dyDescent="0.25">
      <c r="C107" s="56">
        <v>146</v>
      </c>
      <c r="D107" s="56"/>
      <c r="E107" s="56" t="s">
        <v>397</v>
      </c>
      <c r="F107" s="57">
        <f>F108+F109+F110+F111+F112+F113+F114+F115+F116+F117</f>
        <v>0</v>
      </c>
      <c r="G107" s="57">
        <f t="shared" ref="G107:R107" si="26">G108+G109+G110+G111+G112+G113+G114+G115+G116+G117</f>
        <v>0</v>
      </c>
      <c r="H107" s="57">
        <f t="shared" si="26"/>
        <v>0</v>
      </c>
      <c r="I107" s="57">
        <f t="shared" si="26"/>
        <v>0</v>
      </c>
      <c r="J107" s="57">
        <f t="shared" si="26"/>
        <v>0</v>
      </c>
      <c r="K107" s="57">
        <f t="shared" si="26"/>
        <v>0</v>
      </c>
      <c r="L107" s="57">
        <f t="shared" si="26"/>
        <v>0</v>
      </c>
      <c r="M107" s="57">
        <f t="shared" si="26"/>
        <v>0</v>
      </c>
      <c r="N107" s="57">
        <f t="shared" si="26"/>
        <v>0</v>
      </c>
      <c r="O107" s="57">
        <f t="shared" si="26"/>
        <v>0</v>
      </c>
      <c r="P107" s="57">
        <f t="shared" si="26"/>
        <v>0</v>
      </c>
      <c r="Q107" s="57">
        <f t="shared" si="26"/>
        <v>0</v>
      </c>
      <c r="R107" s="57">
        <f t="shared" si="26"/>
        <v>0</v>
      </c>
      <c r="S107" s="57">
        <f t="shared" ref="S107:S118" si="27">SUM(F107:R107)</f>
        <v>0</v>
      </c>
      <c r="T107">
        <v>105</v>
      </c>
    </row>
    <row r="108" spans="3:20" x14ac:dyDescent="0.25">
      <c r="D108">
        <v>1460</v>
      </c>
      <c r="E108" t="s">
        <v>394</v>
      </c>
      <c r="F108" s="4">
        <v>0</v>
      </c>
      <c r="G108" s="4">
        <v>0</v>
      </c>
      <c r="H108" s="4">
        <v>0</v>
      </c>
      <c r="I108" s="4">
        <v>0</v>
      </c>
      <c r="J108" s="4">
        <v>0</v>
      </c>
      <c r="K108" s="4">
        <v>0</v>
      </c>
      <c r="L108" s="4">
        <v>0</v>
      </c>
      <c r="M108" s="4">
        <v>0</v>
      </c>
      <c r="N108" s="4"/>
      <c r="O108" s="4">
        <v>0</v>
      </c>
      <c r="P108" s="4">
        <v>0</v>
      </c>
      <c r="Q108" s="4">
        <v>0</v>
      </c>
      <c r="R108" s="4">
        <v>0</v>
      </c>
      <c r="S108" s="31">
        <f t="shared" si="27"/>
        <v>0</v>
      </c>
      <c r="T108">
        <v>106</v>
      </c>
    </row>
    <row r="109" spans="3:20" x14ac:dyDescent="0.25">
      <c r="D109">
        <v>1461</v>
      </c>
      <c r="E109" t="s">
        <v>395</v>
      </c>
      <c r="F109" s="4">
        <v>0</v>
      </c>
      <c r="G109" s="4">
        <v>0</v>
      </c>
      <c r="H109" s="4">
        <v>0</v>
      </c>
      <c r="I109" s="4">
        <v>0</v>
      </c>
      <c r="J109" s="4">
        <v>0</v>
      </c>
      <c r="K109" s="4">
        <v>0</v>
      </c>
      <c r="L109" s="4">
        <v>0</v>
      </c>
      <c r="M109" s="4">
        <v>0</v>
      </c>
      <c r="N109" s="4"/>
      <c r="O109" s="4">
        <v>0</v>
      </c>
      <c r="P109" s="4">
        <v>0</v>
      </c>
      <c r="Q109" s="4">
        <v>0</v>
      </c>
      <c r="R109" s="4">
        <v>0</v>
      </c>
      <c r="S109" s="31">
        <f t="shared" si="27"/>
        <v>0</v>
      </c>
      <c r="T109">
        <v>107</v>
      </c>
    </row>
    <row r="110" spans="3:20" x14ac:dyDescent="0.25">
      <c r="D110">
        <v>1462</v>
      </c>
      <c r="E110" t="s">
        <v>387</v>
      </c>
      <c r="F110" s="4">
        <v>0</v>
      </c>
      <c r="G110" s="4">
        <v>0</v>
      </c>
      <c r="H110" s="4">
        <v>0</v>
      </c>
      <c r="I110" s="4">
        <v>0</v>
      </c>
      <c r="J110" s="4">
        <v>0</v>
      </c>
      <c r="K110" s="4">
        <v>0</v>
      </c>
      <c r="L110" s="4">
        <v>0</v>
      </c>
      <c r="M110" s="4">
        <v>0</v>
      </c>
      <c r="N110" s="4"/>
      <c r="O110" s="4">
        <v>0</v>
      </c>
      <c r="P110" s="4">
        <v>0</v>
      </c>
      <c r="Q110" s="4">
        <v>0</v>
      </c>
      <c r="R110" s="4">
        <v>0</v>
      </c>
      <c r="S110" s="31">
        <f t="shared" si="27"/>
        <v>0</v>
      </c>
      <c r="T110">
        <v>108</v>
      </c>
    </row>
    <row r="111" spans="3:20" x14ac:dyDescent="0.25">
      <c r="D111">
        <v>1463</v>
      </c>
      <c r="E111" t="s">
        <v>388</v>
      </c>
      <c r="F111" s="4">
        <v>0</v>
      </c>
      <c r="G111" s="4">
        <v>0</v>
      </c>
      <c r="H111" s="4">
        <v>0</v>
      </c>
      <c r="I111" s="4">
        <v>0</v>
      </c>
      <c r="J111" s="4">
        <v>0</v>
      </c>
      <c r="K111" s="4">
        <v>0</v>
      </c>
      <c r="L111" s="4">
        <v>0</v>
      </c>
      <c r="M111" s="4">
        <v>0</v>
      </c>
      <c r="N111" s="4"/>
      <c r="O111" s="4">
        <v>0</v>
      </c>
      <c r="P111" s="4">
        <v>0</v>
      </c>
      <c r="Q111" s="4">
        <v>0</v>
      </c>
      <c r="R111" s="4">
        <v>0</v>
      </c>
      <c r="S111" s="31">
        <f t="shared" si="27"/>
        <v>0</v>
      </c>
      <c r="T111">
        <v>109</v>
      </c>
    </row>
    <row r="112" spans="3:20" x14ac:dyDescent="0.25">
      <c r="D112">
        <v>1464</v>
      </c>
      <c r="E112" t="s">
        <v>389</v>
      </c>
      <c r="F112" s="4">
        <v>0</v>
      </c>
      <c r="G112" s="4">
        <v>0</v>
      </c>
      <c r="H112" s="4">
        <v>0</v>
      </c>
      <c r="I112" s="4">
        <v>0</v>
      </c>
      <c r="J112" s="4">
        <v>0</v>
      </c>
      <c r="K112" s="4">
        <v>0</v>
      </c>
      <c r="L112" s="4">
        <v>0</v>
      </c>
      <c r="M112" s="4">
        <v>0</v>
      </c>
      <c r="N112" s="4"/>
      <c r="O112" s="4">
        <v>0</v>
      </c>
      <c r="P112" s="4">
        <v>0</v>
      </c>
      <c r="Q112" s="4">
        <v>0</v>
      </c>
      <c r="R112" s="4">
        <v>0</v>
      </c>
      <c r="S112" s="31">
        <f t="shared" si="27"/>
        <v>0</v>
      </c>
      <c r="T112">
        <v>110</v>
      </c>
    </row>
    <row r="113" spans="1:20" x14ac:dyDescent="0.25">
      <c r="D113">
        <v>1465</v>
      </c>
      <c r="E113" t="s">
        <v>390</v>
      </c>
      <c r="F113" s="4">
        <v>0</v>
      </c>
      <c r="G113" s="4">
        <v>0</v>
      </c>
      <c r="H113" s="4">
        <v>0</v>
      </c>
      <c r="I113" s="4">
        <v>0</v>
      </c>
      <c r="J113" s="4">
        <v>0</v>
      </c>
      <c r="K113" s="4">
        <v>0</v>
      </c>
      <c r="L113" s="4">
        <v>0</v>
      </c>
      <c r="M113" s="4">
        <v>0</v>
      </c>
      <c r="N113" s="4"/>
      <c r="O113" s="4">
        <v>0</v>
      </c>
      <c r="P113" s="4">
        <v>0</v>
      </c>
      <c r="Q113" s="4">
        <v>0</v>
      </c>
      <c r="R113" s="4">
        <v>0</v>
      </c>
      <c r="S113" s="31">
        <f t="shared" si="27"/>
        <v>0</v>
      </c>
      <c r="T113">
        <v>111</v>
      </c>
    </row>
    <row r="114" spans="1:20" x14ac:dyDescent="0.25">
      <c r="D114">
        <v>1466</v>
      </c>
      <c r="E114" t="s">
        <v>396</v>
      </c>
      <c r="F114" s="4">
        <v>0</v>
      </c>
      <c r="G114" s="4">
        <v>0</v>
      </c>
      <c r="H114" s="4">
        <v>0</v>
      </c>
      <c r="I114" s="4">
        <v>0</v>
      </c>
      <c r="J114" s="4">
        <v>0</v>
      </c>
      <c r="K114" s="4">
        <v>0</v>
      </c>
      <c r="L114" s="4">
        <v>0</v>
      </c>
      <c r="M114" s="4">
        <v>0</v>
      </c>
      <c r="N114" s="4"/>
      <c r="O114" s="4">
        <v>0</v>
      </c>
      <c r="P114" s="4">
        <v>0</v>
      </c>
      <c r="Q114" s="4">
        <v>0</v>
      </c>
      <c r="R114" s="4">
        <v>0</v>
      </c>
      <c r="S114" s="31">
        <f t="shared" si="27"/>
        <v>0</v>
      </c>
      <c r="T114">
        <v>112</v>
      </c>
    </row>
    <row r="115" spans="1:20" x14ac:dyDescent="0.25">
      <c r="D115">
        <v>1467</v>
      </c>
      <c r="E115" t="s">
        <v>391</v>
      </c>
      <c r="F115" s="4">
        <v>0</v>
      </c>
      <c r="G115" s="4">
        <v>0</v>
      </c>
      <c r="H115" s="4">
        <v>0</v>
      </c>
      <c r="I115" s="4">
        <v>0</v>
      </c>
      <c r="J115" s="4">
        <v>0</v>
      </c>
      <c r="K115" s="4">
        <v>0</v>
      </c>
      <c r="L115" s="4">
        <v>0</v>
      </c>
      <c r="M115" s="4">
        <v>0</v>
      </c>
      <c r="N115" s="4"/>
      <c r="O115" s="4">
        <v>0</v>
      </c>
      <c r="P115" s="4">
        <v>0</v>
      </c>
      <c r="Q115" s="4">
        <v>0</v>
      </c>
      <c r="R115" s="4">
        <v>0</v>
      </c>
      <c r="S115" s="31">
        <f t="shared" si="27"/>
        <v>0</v>
      </c>
      <c r="T115">
        <v>113</v>
      </c>
    </row>
    <row r="116" spans="1:20" x14ac:dyDescent="0.25">
      <c r="D116">
        <v>1468</v>
      </c>
      <c r="E116" t="s">
        <v>392</v>
      </c>
      <c r="F116" s="4">
        <v>0</v>
      </c>
      <c r="G116" s="4">
        <v>0</v>
      </c>
      <c r="H116" s="4">
        <v>0</v>
      </c>
      <c r="I116" s="4">
        <v>0</v>
      </c>
      <c r="J116" s="4">
        <v>0</v>
      </c>
      <c r="K116" s="4">
        <v>0</v>
      </c>
      <c r="L116" s="4">
        <v>0</v>
      </c>
      <c r="M116" s="4">
        <v>0</v>
      </c>
      <c r="N116" s="4"/>
      <c r="O116" s="4">
        <v>0</v>
      </c>
      <c r="P116" s="4">
        <v>0</v>
      </c>
      <c r="Q116" s="4">
        <v>0</v>
      </c>
      <c r="R116" s="4">
        <v>0</v>
      </c>
      <c r="S116" s="31">
        <f t="shared" si="27"/>
        <v>0</v>
      </c>
      <c r="T116">
        <v>114</v>
      </c>
    </row>
    <row r="117" spans="1:20" x14ac:dyDescent="0.25">
      <c r="D117">
        <v>1469</v>
      </c>
      <c r="E117" t="s">
        <v>393</v>
      </c>
      <c r="F117" s="4">
        <v>0</v>
      </c>
      <c r="G117" s="4">
        <v>0</v>
      </c>
      <c r="H117" s="4">
        <v>0</v>
      </c>
      <c r="I117" s="4">
        <v>0</v>
      </c>
      <c r="J117" s="4">
        <v>0</v>
      </c>
      <c r="K117" s="4">
        <v>0</v>
      </c>
      <c r="L117" s="4">
        <v>0</v>
      </c>
      <c r="M117" s="4">
        <v>0</v>
      </c>
      <c r="N117" s="4"/>
      <c r="O117" s="4">
        <v>0</v>
      </c>
      <c r="P117" s="4">
        <v>0</v>
      </c>
      <c r="Q117" s="4">
        <v>0</v>
      </c>
      <c r="R117" s="4">
        <v>0</v>
      </c>
      <c r="S117" s="31">
        <f t="shared" si="27"/>
        <v>0</v>
      </c>
      <c r="T117">
        <v>115</v>
      </c>
    </row>
    <row r="118" spans="1:20" x14ac:dyDescent="0.25">
      <c r="F118" s="4"/>
      <c r="G118" s="4"/>
      <c r="H118" s="4"/>
      <c r="I118" s="4"/>
      <c r="J118" s="4"/>
      <c r="K118" s="4"/>
      <c r="L118" s="4"/>
      <c r="M118" s="4"/>
      <c r="N118" s="4"/>
      <c r="O118" s="4"/>
      <c r="P118" s="4"/>
      <c r="Q118" s="4"/>
      <c r="R118" s="4"/>
      <c r="S118" s="31">
        <f t="shared" si="27"/>
        <v>0</v>
      </c>
      <c r="T118">
        <v>116</v>
      </c>
    </row>
    <row r="119" spans="1:20" x14ac:dyDescent="0.25">
      <c r="F119" s="4"/>
      <c r="G119" s="4"/>
      <c r="H119" s="4"/>
      <c r="I119" s="4"/>
      <c r="J119" s="4"/>
      <c r="K119" s="4"/>
      <c r="L119" s="4"/>
      <c r="M119" s="4"/>
      <c r="N119" s="4"/>
      <c r="O119" s="4"/>
      <c r="P119" s="4"/>
      <c r="Q119" s="4"/>
      <c r="R119" s="4"/>
      <c r="S119" s="31"/>
      <c r="T119">
        <v>117</v>
      </c>
    </row>
    <row r="120" spans="1:20" ht="21" x14ac:dyDescent="0.35">
      <c r="A120" s="64">
        <v>2</v>
      </c>
      <c r="B120" s="64"/>
      <c r="C120" s="64"/>
      <c r="D120" s="64"/>
      <c r="E120" s="64" t="s">
        <v>251</v>
      </c>
      <c r="F120" s="71">
        <f>F122+F132+F142+F152+F164+F172+F183+F190+F193+F197+F200+F203+F206+F209+F212+F215</f>
        <v>10703812.6</v>
      </c>
      <c r="G120" s="71">
        <f t="shared" ref="G120:R120" si="28">G122+G132+G142+G152+G164+G172+G183+G190+G193+G197+G200+G203+G206+G209+G212+G215</f>
        <v>897352.89</v>
      </c>
      <c r="H120" s="71">
        <f t="shared" si="28"/>
        <v>1043671.3</v>
      </c>
      <c r="I120" s="71">
        <f t="shared" si="28"/>
        <v>863468.62999999989</v>
      </c>
      <c r="J120" s="71">
        <f t="shared" si="28"/>
        <v>2912386.12</v>
      </c>
      <c r="K120" s="71">
        <f t="shared" si="28"/>
        <v>34168981.130000003</v>
      </c>
      <c r="L120" s="71">
        <f t="shared" si="28"/>
        <v>1102922.9099999999</v>
      </c>
      <c r="M120" s="71">
        <f t="shared" si="28"/>
        <v>1789389.3800000001</v>
      </c>
      <c r="N120" s="71">
        <f t="shared" si="28"/>
        <v>0</v>
      </c>
      <c r="O120" s="71">
        <f t="shared" si="28"/>
        <v>584363.77</v>
      </c>
      <c r="P120" s="71">
        <f t="shared" si="28"/>
        <v>2641660.5499999998</v>
      </c>
      <c r="Q120" s="71">
        <f t="shared" si="28"/>
        <v>1948320.34</v>
      </c>
      <c r="R120" s="71">
        <f t="shared" si="28"/>
        <v>2482468.69</v>
      </c>
      <c r="S120" s="65">
        <f t="shared" ref="S120:S130" si="29">SUM(F120:R120)</f>
        <v>61138798.310000002</v>
      </c>
      <c r="T120">
        <v>118</v>
      </c>
    </row>
    <row r="121" spans="1:20" x14ac:dyDescent="0.25">
      <c r="A121" s="7"/>
      <c r="B121" s="68">
        <v>20</v>
      </c>
      <c r="C121" s="68"/>
      <c r="D121" s="68"/>
      <c r="E121" s="68" t="s">
        <v>252</v>
      </c>
      <c r="F121" s="69">
        <f>F122+F132+F142+F152+F164+F172+F183</f>
        <v>3182880.35</v>
      </c>
      <c r="G121" s="69">
        <f t="shared" ref="G121:R121" si="30">G122+G132+G142+G152+G164+G172+G183</f>
        <v>200723.15</v>
      </c>
      <c r="H121" s="69">
        <f t="shared" si="30"/>
        <v>289877</v>
      </c>
      <c r="I121" s="69">
        <f t="shared" si="30"/>
        <v>2406.5</v>
      </c>
      <c r="J121" s="69">
        <f t="shared" si="30"/>
        <v>755273.6</v>
      </c>
      <c r="K121" s="69">
        <f t="shared" si="30"/>
        <v>4196382.0999999996</v>
      </c>
      <c r="L121" s="69">
        <f t="shared" si="30"/>
        <v>142220.20000000001</v>
      </c>
      <c r="M121" s="69">
        <f t="shared" si="30"/>
        <v>44127.4</v>
      </c>
      <c r="N121" s="69">
        <f t="shared" si="30"/>
        <v>0</v>
      </c>
      <c r="O121" s="69">
        <f t="shared" si="30"/>
        <v>15000</v>
      </c>
      <c r="P121" s="69">
        <f t="shared" si="30"/>
        <v>75502.2</v>
      </c>
      <c r="Q121" s="69">
        <f t="shared" si="30"/>
        <v>483896.37</v>
      </c>
      <c r="R121" s="69">
        <f t="shared" si="30"/>
        <v>48390.65</v>
      </c>
      <c r="S121" s="69">
        <f t="shared" si="29"/>
        <v>9436679.5199999977</v>
      </c>
      <c r="T121">
        <v>119</v>
      </c>
    </row>
    <row r="122" spans="1:20" x14ac:dyDescent="0.25">
      <c r="C122" s="66">
        <v>200</v>
      </c>
      <c r="D122" s="66"/>
      <c r="E122" s="66" t="s">
        <v>253</v>
      </c>
      <c r="F122" s="67">
        <f>F123+F124+F125+F126+F127+F128+F129+F130</f>
        <v>73684.3</v>
      </c>
      <c r="G122" s="67">
        <f t="shared" ref="G122:R122" si="31">G123+G124+G125+G126+G127+G128+G129+G130</f>
        <v>2708.4</v>
      </c>
      <c r="H122" s="67">
        <f t="shared" si="31"/>
        <v>0</v>
      </c>
      <c r="I122" s="67">
        <f t="shared" si="31"/>
        <v>0</v>
      </c>
      <c r="J122" s="67">
        <f t="shared" si="31"/>
        <v>4777.8500000000004</v>
      </c>
      <c r="K122" s="67">
        <f t="shared" si="31"/>
        <v>188444.6</v>
      </c>
      <c r="L122" s="67">
        <f t="shared" si="31"/>
        <v>0</v>
      </c>
      <c r="M122" s="67">
        <f t="shared" si="31"/>
        <v>0</v>
      </c>
      <c r="N122" s="67">
        <f t="shared" si="31"/>
        <v>0</v>
      </c>
      <c r="O122" s="67">
        <f t="shared" si="31"/>
        <v>15000</v>
      </c>
      <c r="P122" s="67">
        <f t="shared" si="31"/>
        <v>0</v>
      </c>
      <c r="Q122" s="67">
        <f t="shared" si="31"/>
        <v>13.87</v>
      </c>
      <c r="R122" s="67">
        <f t="shared" si="31"/>
        <v>47678.15</v>
      </c>
      <c r="S122" s="67">
        <f t="shared" si="29"/>
        <v>332307.17000000004</v>
      </c>
      <c r="T122">
        <v>120</v>
      </c>
    </row>
    <row r="123" spans="1:20" x14ac:dyDescent="0.25">
      <c r="D123">
        <v>2000</v>
      </c>
      <c r="E123" t="s">
        <v>398</v>
      </c>
      <c r="F123" s="4">
        <v>73684.3</v>
      </c>
      <c r="G123" s="4">
        <v>908.4</v>
      </c>
      <c r="H123" s="4">
        <v>0</v>
      </c>
      <c r="I123" s="4">
        <v>0</v>
      </c>
      <c r="J123" s="4">
        <v>4777.8500000000004</v>
      </c>
      <c r="K123" s="4">
        <v>179945.85</v>
      </c>
      <c r="L123" s="4">
        <v>0</v>
      </c>
      <c r="M123" s="4">
        <v>0</v>
      </c>
      <c r="N123" s="4"/>
      <c r="O123" s="4">
        <v>0</v>
      </c>
      <c r="P123" s="4">
        <v>0</v>
      </c>
      <c r="Q123" s="4">
        <v>0</v>
      </c>
      <c r="R123" s="4">
        <v>6678.15</v>
      </c>
      <c r="S123" s="31">
        <f t="shared" si="29"/>
        <v>265994.55000000005</v>
      </c>
      <c r="T123">
        <v>121</v>
      </c>
    </row>
    <row r="124" spans="1:20" x14ac:dyDescent="0.25">
      <c r="D124">
        <v>2001</v>
      </c>
      <c r="E124" t="s">
        <v>399</v>
      </c>
      <c r="F124" s="4">
        <v>0</v>
      </c>
      <c r="G124" s="4">
        <v>0</v>
      </c>
      <c r="H124" s="4">
        <v>0</v>
      </c>
      <c r="I124" s="4">
        <v>0</v>
      </c>
      <c r="J124" s="4">
        <v>0</v>
      </c>
      <c r="K124" s="4">
        <v>0</v>
      </c>
      <c r="L124" s="4">
        <v>0</v>
      </c>
      <c r="M124" s="4">
        <v>0</v>
      </c>
      <c r="N124" s="4"/>
      <c r="O124" s="4">
        <v>10000</v>
      </c>
      <c r="P124" s="4">
        <v>0</v>
      </c>
      <c r="Q124" s="4">
        <v>13.87</v>
      </c>
      <c r="R124" s="4">
        <v>41000</v>
      </c>
      <c r="S124" s="31">
        <f t="shared" si="29"/>
        <v>51013.87</v>
      </c>
      <c r="T124">
        <v>122</v>
      </c>
    </row>
    <row r="125" spans="1:20" x14ac:dyDescent="0.25">
      <c r="D125">
        <v>2002</v>
      </c>
      <c r="E125" t="s">
        <v>400</v>
      </c>
      <c r="F125" s="4">
        <v>0</v>
      </c>
      <c r="G125" s="4">
        <v>0</v>
      </c>
      <c r="H125" s="4">
        <v>0</v>
      </c>
      <c r="I125" s="4">
        <v>0</v>
      </c>
      <c r="J125" s="4">
        <v>0</v>
      </c>
      <c r="K125" s="4">
        <v>0</v>
      </c>
      <c r="L125" s="4">
        <v>0</v>
      </c>
      <c r="M125" s="4">
        <v>0</v>
      </c>
      <c r="N125" s="4"/>
      <c r="O125" s="4">
        <v>5000</v>
      </c>
      <c r="P125" s="4">
        <v>0</v>
      </c>
      <c r="Q125" s="4">
        <v>0</v>
      </c>
      <c r="R125" s="4">
        <v>0</v>
      </c>
      <c r="S125" s="31">
        <f t="shared" si="29"/>
        <v>5000</v>
      </c>
      <c r="T125">
        <v>123</v>
      </c>
    </row>
    <row r="126" spans="1:20" x14ac:dyDescent="0.25">
      <c r="D126">
        <v>2003</v>
      </c>
      <c r="E126" t="s">
        <v>401</v>
      </c>
      <c r="F126" s="4">
        <v>0</v>
      </c>
      <c r="G126" s="4">
        <v>0</v>
      </c>
      <c r="H126" s="4">
        <v>0</v>
      </c>
      <c r="I126" s="4">
        <v>0</v>
      </c>
      <c r="J126" s="4">
        <v>0</v>
      </c>
      <c r="K126" s="4">
        <v>6398.75</v>
      </c>
      <c r="L126" s="4">
        <v>0</v>
      </c>
      <c r="M126" s="4">
        <v>0</v>
      </c>
      <c r="N126" s="4"/>
      <c r="O126" s="4">
        <v>0</v>
      </c>
      <c r="P126" s="4">
        <v>0</v>
      </c>
      <c r="Q126" s="4">
        <v>0</v>
      </c>
      <c r="R126" s="4">
        <v>0</v>
      </c>
      <c r="S126" s="31">
        <f t="shared" si="29"/>
        <v>6398.75</v>
      </c>
      <c r="T126">
        <v>124</v>
      </c>
    </row>
    <row r="127" spans="1:20" x14ac:dyDescent="0.25">
      <c r="D127">
        <v>2004</v>
      </c>
      <c r="E127" t="s">
        <v>402</v>
      </c>
      <c r="F127" s="4">
        <v>0</v>
      </c>
      <c r="G127" s="4">
        <v>0</v>
      </c>
      <c r="H127" s="4">
        <v>0</v>
      </c>
      <c r="I127" s="4">
        <v>0</v>
      </c>
      <c r="J127" s="4">
        <v>0</v>
      </c>
      <c r="K127" s="4">
        <v>0</v>
      </c>
      <c r="L127" s="4">
        <v>0</v>
      </c>
      <c r="M127" s="4">
        <v>0</v>
      </c>
      <c r="N127" s="4"/>
      <c r="O127" s="4">
        <v>0</v>
      </c>
      <c r="P127" s="4">
        <v>0</v>
      </c>
      <c r="Q127" s="4">
        <v>0</v>
      </c>
      <c r="R127" s="4">
        <v>0</v>
      </c>
      <c r="S127" s="31">
        <f t="shared" si="29"/>
        <v>0</v>
      </c>
      <c r="T127">
        <v>125</v>
      </c>
    </row>
    <row r="128" spans="1:20" x14ac:dyDescent="0.25">
      <c r="D128">
        <v>2005</v>
      </c>
      <c r="E128" t="s">
        <v>323</v>
      </c>
      <c r="F128" s="4">
        <v>0</v>
      </c>
      <c r="G128" s="4">
        <v>0</v>
      </c>
      <c r="H128" s="4">
        <v>0</v>
      </c>
      <c r="I128" s="4">
        <v>0</v>
      </c>
      <c r="J128" s="4">
        <v>0</v>
      </c>
      <c r="K128" s="4">
        <v>0</v>
      </c>
      <c r="L128" s="4">
        <v>0</v>
      </c>
      <c r="M128" s="4">
        <v>0</v>
      </c>
      <c r="N128" s="4"/>
      <c r="O128" s="4">
        <v>0</v>
      </c>
      <c r="P128" s="4">
        <v>0</v>
      </c>
      <c r="Q128" s="4">
        <v>0</v>
      </c>
      <c r="R128" s="4">
        <v>0</v>
      </c>
      <c r="S128" s="31">
        <f t="shared" si="29"/>
        <v>0</v>
      </c>
      <c r="T128">
        <v>126</v>
      </c>
    </row>
    <row r="129" spans="3:20" x14ac:dyDescent="0.25">
      <c r="D129">
        <v>2006</v>
      </c>
      <c r="E129" t="s">
        <v>447</v>
      </c>
      <c r="F129" s="4">
        <v>0</v>
      </c>
      <c r="G129" s="4">
        <v>1800</v>
      </c>
      <c r="H129" s="4">
        <v>0</v>
      </c>
      <c r="I129" s="4">
        <v>0</v>
      </c>
      <c r="J129" s="4">
        <v>0</v>
      </c>
      <c r="K129" s="4">
        <v>2100</v>
      </c>
      <c r="L129" s="4">
        <v>0</v>
      </c>
      <c r="M129" s="4">
        <v>0</v>
      </c>
      <c r="N129" s="4"/>
      <c r="O129" s="4">
        <v>0</v>
      </c>
      <c r="P129" s="4">
        <v>0</v>
      </c>
      <c r="Q129" s="4">
        <v>0</v>
      </c>
      <c r="R129" s="4">
        <v>0</v>
      </c>
      <c r="S129" s="31">
        <f t="shared" si="29"/>
        <v>3900</v>
      </c>
      <c r="T129">
        <v>127</v>
      </c>
    </row>
    <row r="130" spans="3:20" x14ac:dyDescent="0.25">
      <c r="D130">
        <v>2009</v>
      </c>
      <c r="E130" t="s">
        <v>404</v>
      </c>
      <c r="F130" s="4">
        <v>0</v>
      </c>
      <c r="G130" s="4">
        <v>0</v>
      </c>
      <c r="H130" s="4">
        <v>0</v>
      </c>
      <c r="I130" s="4">
        <v>0</v>
      </c>
      <c r="J130" s="4">
        <v>0</v>
      </c>
      <c r="K130" s="4">
        <v>0</v>
      </c>
      <c r="L130" s="4">
        <v>0</v>
      </c>
      <c r="M130" s="4">
        <v>0</v>
      </c>
      <c r="N130" s="4"/>
      <c r="O130" s="4">
        <v>0</v>
      </c>
      <c r="P130" s="4">
        <v>0</v>
      </c>
      <c r="Q130" s="4">
        <v>0</v>
      </c>
      <c r="R130" s="4">
        <v>0</v>
      </c>
      <c r="S130" s="31">
        <f t="shared" si="29"/>
        <v>0</v>
      </c>
      <c r="T130">
        <v>128</v>
      </c>
    </row>
    <row r="131" spans="3:20" x14ac:dyDescent="0.25">
      <c r="F131" s="4"/>
      <c r="G131" s="4"/>
      <c r="H131" s="4"/>
      <c r="I131" s="4"/>
      <c r="J131" s="4"/>
      <c r="K131" s="4"/>
      <c r="L131" s="4"/>
      <c r="M131" s="4"/>
      <c r="N131" s="4"/>
      <c r="O131" s="4"/>
      <c r="P131" s="4"/>
      <c r="Q131" s="4"/>
      <c r="R131" s="4"/>
      <c r="S131" s="31"/>
      <c r="T131">
        <v>129</v>
      </c>
    </row>
    <row r="132" spans="3:20" x14ac:dyDescent="0.25">
      <c r="C132" s="66">
        <v>201</v>
      </c>
      <c r="D132" s="66"/>
      <c r="E132" s="66" t="s">
        <v>254</v>
      </c>
      <c r="F132" s="67">
        <f>F133+F134+F135+F136+F137+F138+F139+F140</f>
        <v>22000</v>
      </c>
      <c r="G132" s="67">
        <f t="shared" ref="G132:R132" si="32">G133+G134+G135+G136+G137+G138+G139+G140</f>
        <v>0</v>
      </c>
      <c r="H132" s="67">
        <f t="shared" si="32"/>
        <v>0</v>
      </c>
      <c r="I132" s="67">
        <f t="shared" si="32"/>
        <v>0</v>
      </c>
      <c r="J132" s="67">
        <f t="shared" si="32"/>
        <v>0</v>
      </c>
      <c r="K132" s="67">
        <f t="shared" si="32"/>
        <v>0</v>
      </c>
      <c r="L132" s="67">
        <f t="shared" si="32"/>
        <v>0</v>
      </c>
      <c r="M132" s="67">
        <f t="shared" si="32"/>
        <v>0</v>
      </c>
      <c r="N132" s="67">
        <f t="shared" si="32"/>
        <v>0</v>
      </c>
      <c r="O132" s="67">
        <f t="shared" si="32"/>
        <v>0</v>
      </c>
      <c r="P132" s="67">
        <f t="shared" si="32"/>
        <v>0</v>
      </c>
      <c r="Q132" s="67">
        <f t="shared" si="32"/>
        <v>0</v>
      </c>
      <c r="R132" s="67">
        <f t="shared" si="32"/>
        <v>0</v>
      </c>
      <c r="S132" s="67">
        <f t="shared" ref="S132:S140" si="33">SUM(F132:R132)</f>
        <v>22000</v>
      </c>
      <c r="T132">
        <v>130</v>
      </c>
    </row>
    <row r="133" spans="3:20" x14ac:dyDescent="0.25">
      <c r="D133">
        <v>2010</v>
      </c>
      <c r="E133" t="s">
        <v>405</v>
      </c>
      <c r="F133" s="4">
        <v>0</v>
      </c>
      <c r="G133" s="4">
        <v>0</v>
      </c>
      <c r="H133" s="4">
        <v>0</v>
      </c>
      <c r="I133" s="4">
        <v>0</v>
      </c>
      <c r="J133" s="4">
        <v>0</v>
      </c>
      <c r="K133" s="4">
        <v>0</v>
      </c>
      <c r="L133" s="4">
        <v>0</v>
      </c>
      <c r="M133" s="4">
        <v>0</v>
      </c>
      <c r="N133" s="4"/>
      <c r="O133" s="4">
        <v>0</v>
      </c>
      <c r="P133" s="4">
        <v>0</v>
      </c>
      <c r="Q133" s="4">
        <v>0</v>
      </c>
      <c r="R133" s="4">
        <v>0</v>
      </c>
      <c r="S133" s="31">
        <f t="shared" si="33"/>
        <v>0</v>
      </c>
      <c r="T133">
        <v>131</v>
      </c>
    </row>
    <row r="134" spans="3:20" x14ac:dyDescent="0.25">
      <c r="D134">
        <v>2011</v>
      </c>
      <c r="E134" t="s">
        <v>406</v>
      </c>
      <c r="F134" s="4">
        <v>0</v>
      </c>
      <c r="G134" s="4">
        <v>0</v>
      </c>
      <c r="H134" s="4">
        <v>0</v>
      </c>
      <c r="I134" s="4">
        <v>0</v>
      </c>
      <c r="J134" s="4">
        <v>0</v>
      </c>
      <c r="K134" s="4">
        <v>0</v>
      </c>
      <c r="L134" s="4">
        <v>0</v>
      </c>
      <c r="M134" s="4">
        <v>0</v>
      </c>
      <c r="N134" s="4"/>
      <c r="O134" s="4">
        <v>0</v>
      </c>
      <c r="P134" s="4">
        <v>0</v>
      </c>
      <c r="Q134" s="4">
        <v>0</v>
      </c>
      <c r="R134" s="4">
        <v>0</v>
      </c>
      <c r="S134" s="31">
        <f t="shared" si="33"/>
        <v>0</v>
      </c>
      <c r="T134">
        <v>132</v>
      </c>
    </row>
    <row r="135" spans="3:20" x14ac:dyDescent="0.25">
      <c r="D135">
        <v>2012</v>
      </c>
      <c r="E135" t="s">
        <v>407</v>
      </c>
      <c r="F135" s="4">
        <v>0</v>
      </c>
      <c r="G135" s="4">
        <v>0</v>
      </c>
      <c r="H135" s="4">
        <v>0</v>
      </c>
      <c r="I135" s="4">
        <v>0</v>
      </c>
      <c r="J135" s="4">
        <v>0</v>
      </c>
      <c r="K135" s="4">
        <v>0</v>
      </c>
      <c r="L135" s="4">
        <v>0</v>
      </c>
      <c r="M135" s="4">
        <v>0</v>
      </c>
      <c r="N135" s="4"/>
      <c r="O135" s="4">
        <v>0</v>
      </c>
      <c r="P135" s="4">
        <v>0</v>
      </c>
      <c r="Q135" s="4">
        <v>0</v>
      </c>
      <c r="R135" s="4">
        <v>0</v>
      </c>
      <c r="S135" s="31">
        <f t="shared" si="33"/>
        <v>0</v>
      </c>
      <c r="T135">
        <v>133</v>
      </c>
    </row>
    <row r="136" spans="3:20" x14ac:dyDescent="0.25">
      <c r="D136">
        <v>2013</v>
      </c>
      <c r="E136" t="s">
        <v>408</v>
      </c>
      <c r="F136" s="4">
        <v>0</v>
      </c>
      <c r="G136" s="4">
        <v>0</v>
      </c>
      <c r="H136" s="4">
        <v>0</v>
      </c>
      <c r="I136" s="4">
        <v>0</v>
      </c>
      <c r="J136" s="4">
        <v>0</v>
      </c>
      <c r="K136" s="4">
        <v>0</v>
      </c>
      <c r="L136" s="4">
        <v>0</v>
      </c>
      <c r="M136" s="4">
        <v>0</v>
      </c>
      <c r="N136" s="4"/>
      <c r="O136" s="4">
        <v>0</v>
      </c>
      <c r="P136" s="4">
        <v>0</v>
      </c>
      <c r="Q136" s="4">
        <v>0</v>
      </c>
      <c r="R136" s="4">
        <v>0</v>
      </c>
      <c r="S136" s="31">
        <f t="shared" si="33"/>
        <v>0</v>
      </c>
      <c r="T136">
        <v>134</v>
      </c>
    </row>
    <row r="137" spans="3:20" x14ac:dyDescent="0.25">
      <c r="D137">
        <v>2014</v>
      </c>
      <c r="E137" t="s">
        <v>410</v>
      </c>
      <c r="F137" s="4">
        <v>22000</v>
      </c>
      <c r="G137" s="4">
        <v>0</v>
      </c>
      <c r="H137" s="4">
        <v>0</v>
      </c>
      <c r="I137" s="4">
        <v>0</v>
      </c>
      <c r="J137" s="4">
        <v>0</v>
      </c>
      <c r="K137" s="4">
        <v>0</v>
      </c>
      <c r="L137" s="4">
        <v>0</v>
      </c>
      <c r="M137" s="4">
        <v>0</v>
      </c>
      <c r="N137" s="4"/>
      <c r="O137" s="4">
        <v>0</v>
      </c>
      <c r="P137" s="4">
        <v>0</v>
      </c>
      <c r="Q137" s="4">
        <v>0</v>
      </c>
      <c r="R137" s="4">
        <v>0</v>
      </c>
      <c r="S137" s="31">
        <f t="shared" si="33"/>
        <v>22000</v>
      </c>
      <c r="T137">
        <v>135</v>
      </c>
    </row>
    <row r="138" spans="3:20" x14ac:dyDescent="0.25">
      <c r="D138">
        <v>2015</v>
      </c>
      <c r="E138" t="s">
        <v>409</v>
      </c>
      <c r="F138" s="4">
        <v>0</v>
      </c>
      <c r="G138" s="4">
        <v>0</v>
      </c>
      <c r="H138" s="4">
        <v>0</v>
      </c>
      <c r="I138" s="4">
        <v>0</v>
      </c>
      <c r="J138" s="4">
        <v>0</v>
      </c>
      <c r="K138" s="4">
        <v>0</v>
      </c>
      <c r="L138" s="4">
        <v>0</v>
      </c>
      <c r="M138" s="4">
        <v>0</v>
      </c>
      <c r="N138" s="4"/>
      <c r="O138" s="4">
        <v>0</v>
      </c>
      <c r="P138" s="4">
        <v>0</v>
      </c>
      <c r="Q138" s="4">
        <v>0</v>
      </c>
      <c r="R138" s="4">
        <v>0</v>
      </c>
      <c r="S138" s="31">
        <f t="shared" si="33"/>
        <v>0</v>
      </c>
      <c r="T138">
        <v>136</v>
      </c>
    </row>
    <row r="139" spans="3:20" x14ac:dyDescent="0.25">
      <c r="D139">
        <v>2016</v>
      </c>
      <c r="E139" t="s">
        <v>269</v>
      </c>
      <c r="F139" s="4">
        <v>0</v>
      </c>
      <c r="G139" s="4">
        <v>0</v>
      </c>
      <c r="H139" s="4">
        <v>0</v>
      </c>
      <c r="I139" s="4">
        <v>0</v>
      </c>
      <c r="J139" s="4">
        <v>0</v>
      </c>
      <c r="K139" s="4">
        <v>0</v>
      </c>
      <c r="L139" s="4">
        <v>0</v>
      </c>
      <c r="M139" s="4">
        <v>0</v>
      </c>
      <c r="N139" s="4"/>
      <c r="O139" s="4">
        <v>0</v>
      </c>
      <c r="P139" s="4">
        <v>0</v>
      </c>
      <c r="Q139" s="4">
        <v>0</v>
      </c>
      <c r="R139" s="4">
        <v>0</v>
      </c>
      <c r="S139" s="31">
        <f t="shared" si="33"/>
        <v>0</v>
      </c>
      <c r="T139">
        <v>137</v>
      </c>
    </row>
    <row r="140" spans="3:20" x14ac:dyDescent="0.25">
      <c r="D140">
        <v>2019</v>
      </c>
      <c r="E140" t="s">
        <v>411</v>
      </c>
      <c r="F140" s="4">
        <v>0</v>
      </c>
      <c r="G140" s="4">
        <v>0</v>
      </c>
      <c r="H140" s="4">
        <v>0</v>
      </c>
      <c r="I140" s="4">
        <v>0</v>
      </c>
      <c r="J140" s="4">
        <v>0</v>
      </c>
      <c r="K140" s="4">
        <v>0</v>
      </c>
      <c r="L140" s="4">
        <v>0</v>
      </c>
      <c r="M140" s="4">
        <v>0</v>
      </c>
      <c r="N140" s="4"/>
      <c r="O140" s="4">
        <v>0</v>
      </c>
      <c r="P140" s="4">
        <v>0</v>
      </c>
      <c r="Q140" s="4">
        <v>0</v>
      </c>
      <c r="R140" s="4">
        <v>0</v>
      </c>
      <c r="S140" s="31">
        <f t="shared" si="33"/>
        <v>0</v>
      </c>
      <c r="T140">
        <v>138</v>
      </c>
    </row>
    <row r="141" spans="3:20" x14ac:dyDescent="0.25">
      <c r="F141" s="4"/>
      <c r="G141" s="4"/>
      <c r="H141" s="4"/>
      <c r="I141" s="4"/>
      <c r="J141" s="4"/>
      <c r="K141" s="4"/>
      <c r="L141" s="4"/>
      <c r="M141" s="4"/>
      <c r="N141" s="4"/>
      <c r="O141" s="4"/>
      <c r="P141" s="4"/>
      <c r="Q141" s="4"/>
      <c r="R141" s="4"/>
      <c r="S141" s="31"/>
      <c r="T141">
        <v>139</v>
      </c>
    </row>
    <row r="142" spans="3:20" x14ac:dyDescent="0.25">
      <c r="C142" s="66">
        <v>204</v>
      </c>
      <c r="D142" s="66"/>
      <c r="E142" s="66" t="s">
        <v>255</v>
      </c>
      <c r="F142" s="67">
        <f>F143+F144+F145+F146+F147+F148+F149+F150</f>
        <v>95117.35</v>
      </c>
      <c r="G142" s="67">
        <f t="shared" ref="G142:R142" si="34">G143+G144+G145+G146+G147+G148+G149+G150</f>
        <v>15014.75</v>
      </c>
      <c r="H142" s="67">
        <f t="shared" si="34"/>
        <v>9451.4</v>
      </c>
      <c r="I142" s="67">
        <f t="shared" si="34"/>
        <v>2406.5</v>
      </c>
      <c r="J142" s="67">
        <f t="shared" si="34"/>
        <v>237155.75</v>
      </c>
      <c r="K142" s="67">
        <f t="shared" si="34"/>
        <v>374187.5</v>
      </c>
      <c r="L142" s="67">
        <f t="shared" si="34"/>
        <v>7720.2</v>
      </c>
      <c r="M142" s="67">
        <f t="shared" si="34"/>
        <v>44127.4</v>
      </c>
      <c r="N142" s="67">
        <f t="shared" si="34"/>
        <v>0</v>
      </c>
      <c r="O142" s="67">
        <f t="shared" si="34"/>
        <v>0</v>
      </c>
      <c r="P142" s="67">
        <f t="shared" si="34"/>
        <v>40502.199999999997</v>
      </c>
      <c r="Q142" s="67">
        <f t="shared" si="34"/>
        <v>25642.5</v>
      </c>
      <c r="R142" s="67">
        <f t="shared" si="34"/>
        <v>712.5</v>
      </c>
      <c r="S142" s="67">
        <f t="shared" ref="S142:S150" si="35">SUM(F142:R142)</f>
        <v>852038.04999999993</v>
      </c>
      <c r="T142">
        <v>140</v>
      </c>
    </row>
    <row r="143" spans="3:20" x14ac:dyDescent="0.25">
      <c r="D143">
        <v>2040</v>
      </c>
      <c r="E143" t="s">
        <v>61</v>
      </c>
      <c r="F143" s="4">
        <v>25556.35</v>
      </c>
      <c r="G143" s="4">
        <v>0</v>
      </c>
      <c r="H143" s="4">
        <v>0</v>
      </c>
      <c r="I143" s="4">
        <v>0</v>
      </c>
      <c r="J143" s="4">
        <v>195.8</v>
      </c>
      <c r="K143" s="4">
        <v>0</v>
      </c>
      <c r="L143" s="4">
        <v>0</v>
      </c>
      <c r="M143" s="4">
        <v>0</v>
      </c>
      <c r="N143" s="4"/>
      <c r="O143" s="4">
        <v>0</v>
      </c>
      <c r="P143" s="4">
        <v>0</v>
      </c>
      <c r="Q143" s="4">
        <v>0</v>
      </c>
      <c r="R143" s="4">
        <v>0</v>
      </c>
      <c r="S143" s="31">
        <f t="shared" si="35"/>
        <v>25752.149999999998</v>
      </c>
      <c r="T143">
        <v>141</v>
      </c>
    </row>
    <row r="144" spans="3:20" x14ac:dyDescent="0.25">
      <c r="D144">
        <v>2041</v>
      </c>
      <c r="E144" t="s">
        <v>277</v>
      </c>
      <c r="F144" s="4">
        <v>65406</v>
      </c>
      <c r="G144" s="4">
        <v>15014.75</v>
      </c>
      <c r="H144" s="4">
        <v>7597.4</v>
      </c>
      <c r="I144" s="4">
        <v>0</v>
      </c>
      <c r="J144" s="4">
        <v>29321.95</v>
      </c>
      <c r="K144" s="4">
        <v>160000</v>
      </c>
      <c r="L144" s="4">
        <v>0</v>
      </c>
      <c r="M144" s="4">
        <v>0</v>
      </c>
      <c r="N144" s="4"/>
      <c r="O144" s="4">
        <v>0</v>
      </c>
      <c r="P144" s="4">
        <v>0</v>
      </c>
      <c r="Q144" s="4">
        <v>0</v>
      </c>
      <c r="R144" s="4">
        <v>0</v>
      </c>
      <c r="S144" s="31">
        <f t="shared" si="35"/>
        <v>277340.09999999998</v>
      </c>
      <c r="T144">
        <v>142</v>
      </c>
    </row>
    <row r="145" spans="3:20" x14ac:dyDescent="0.25">
      <c r="D145">
        <v>2042</v>
      </c>
      <c r="E145" t="s">
        <v>331</v>
      </c>
      <c r="F145" s="4">
        <v>4155</v>
      </c>
      <c r="G145" s="4">
        <v>0</v>
      </c>
      <c r="H145" s="4">
        <v>0</v>
      </c>
      <c r="I145" s="4">
        <v>0</v>
      </c>
      <c r="J145" s="4">
        <v>0</v>
      </c>
      <c r="K145" s="4">
        <v>0</v>
      </c>
      <c r="L145" s="4">
        <v>0</v>
      </c>
      <c r="M145" s="4">
        <v>0</v>
      </c>
      <c r="N145" s="4"/>
      <c r="O145" s="4">
        <v>0</v>
      </c>
      <c r="P145" s="4">
        <v>0</v>
      </c>
      <c r="Q145" s="4">
        <v>0</v>
      </c>
      <c r="R145" s="4">
        <v>0</v>
      </c>
      <c r="S145" s="31">
        <f t="shared" si="35"/>
        <v>4155</v>
      </c>
      <c r="T145">
        <v>143</v>
      </c>
    </row>
    <row r="146" spans="3:20" x14ac:dyDescent="0.25">
      <c r="D146">
        <v>2043</v>
      </c>
      <c r="E146" t="s">
        <v>332</v>
      </c>
      <c r="F146" s="4">
        <v>0</v>
      </c>
      <c r="G146" s="4">
        <v>0</v>
      </c>
      <c r="H146" s="4">
        <v>0</v>
      </c>
      <c r="I146" s="4">
        <v>0</v>
      </c>
      <c r="J146" s="4">
        <v>0</v>
      </c>
      <c r="K146" s="4">
        <v>0</v>
      </c>
      <c r="L146" s="4">
        <v>0</v>
      </c>
      <c r="M146" s="4">
        <v>0</v>
      </c>
      <c r="N146" s="4"/>
      <c r="O146" s="4">
        <v>0</v>
      </c>
      <c r="P146" s="4">
        <v>0</v>
      </c>
      <c r="Q146" s="4">
        <v>0</v>
      </c>
      <c r="R146" s="4">
        <v>0</v>
      </c>
      <c r="S146" s="31">
        <f t="shared" si="35"/>
        <v>0</v>
      </c>
      <c r="T146">
        <v>144</v>
      </c>
    </row>
    <row r="147" spans="3:20" x14ac:dyDescent="0.25">
      <c r="D147">
        <v>2044</v>
      </c>
      <c r="E147" t="s">
        <v>412</v>
      </c>
      <c r="F147" s="4">
        <v>0</v>
      </c>
      <c r="G147" s="4">
        <v>0</v>
      </c>
      <c r="H147" s="4">
        <v>1854</v>
      </c>
      <c r="I147" s="4">
        <v>0</v>
      </c>
      <c r="J147" s="4">
        <v>207638</v>
      </c>
      <c r="K147" s="4">
        <v>0</v>
      </c>
      <c r="L147" s="4">
        <v>7720.2</v>
      </c>
      <c r="M147" s="4">
        <v>44127.4</v>
      </c>
      <c r="N147" s="4"/>
      <c r="O147" s="4">
        <v>0</v>
      </c>
      <c r="P147" s="4">
        <v>0</v>
      </c>
      <c r="Q147" s="4">
        <v>25642.5</v>
      </c>
      <c r="R147" s="4">
        <v>712.5</v>
      </c>
      <c r="S147" s="31">
        <f t="shared" si="35"/>
        <v>287694.59999999998</v>
      </c>
      <c r="T147">
        <v>145</v>
      </c>
    </row>
    <row r="148" spans="3:20" x14ac:dyDescent="0.25">
      <c r="D148">
        <v>2045</v>
      </c>
      <c r="E148" t="s">
        <v>334</v>
      </c>
      <c r="F148" s="4">
        <v>0</v>
      </c>
      <c r="G148" s="4">
        <v>0</v>
      </c>
      <c r="H148" s="4">
        <v>0</v>
      </c>
      <c r="I148" s="4">
        <v>0</v>
      </c>
      <c r="J148" s="4">
        <v>0</v>
      </c>
      <c r="K148" s="4">
        <v>0</v>
      </c>
      <c r="L148" s="4">
        <v>0</v>
      </c>
      <c r="M148" s="4">
        <v>0</v>
      </c>
      <c r="N148" s="4"/>
      <c r="O148" s="4">
        <v>0</v>
      </c>
      <c r="P148" s="4">
        <v>0</v>
      </c>
      <c r="Q148" s="4">
        <v>0</v>
      </c>
      <c r="R148" s="4">
        <v>0</v>
      </c>
      <c r="S148" s="31">
        <f t="shared" si="35"/>
        <v>0</v>
      </c>
      <c r="T148">
        <v>146</v>
      </c>
    </row>
    <row r="149" spans="3:20" x14ac:dyDescent="0.25">
      <c r="D149">
        <v>2046</v>
      </c>
      <c r="E149" t="s">
        <v>413</v>
      </c>
      <c r="F149" s="4">
        <v>0</v>
      </c>
      <c r="G149" s="4">
        <v>0</v>
      </c>
      <c r="H149" s="4">
        <v>0</v>
      </c>
      <c r="I149" s="4">
        <v>0</v>
      </c>
      <c r="J149" s="4">
        <v>0</v>
      </c>
      <c r="K149" s="4">
        <v>0</v>
      </c>
      <c r="L149" s="4">
        <v>0</v>
      </c>
      <c r="M149" s="4">
        <v>0</v>
      </c>
      <c r="N149" s="4"/>
      <c r="O149" s="4">
        <v>0</v>
      </c>
      <c r="P149" s="4">
        <v>0</v>
      </c>
      <c r="Q149" s="4">
        <v>0</v>
      </c>
      <c r="R149" s="4">
        <v>0</v>
      </c>
      <c r="S149" s="31">
        <f t="shared" si="35"/>
        <v>0</v>
      </c>
      <c r="T149">
        <v>147</v>
      </c>
    </row>
    <row r="150" spans="3:20" x14ac:dyDescent="0.25">
      <c r="D150">
        <v>2049</v>
      </c>
      <c r="E150" t="s">
        <v>414</v>
      </c>
      <c r="F150" s="4">
        <v>0</v>
      </c>
      <c r="G150" s="4">
        <v>0</v>
      </c>
      <c r="H150" s="4">
        <v>0</v>
      </c>
      <c r="I150" s="4">
        <v>2406.5</v>
      </c>
      <c r="J150" s="4">
        <v>0</v>
      </c>
      <c r="K150" s="4">
        <v>214187.5</v>
      </c>
      <c r="L150" s="4">
        <v>0</v>
      </c>
      <c r="M150" s="4">
        <v>0</v>
      </c>
      <c r="N150" s="4"/>
      <c r="O150" s="4">
        <v>0</v>
      </c>
      <c r="P150" s="4">
        <v>40502.199999999997</v>
      </c>
      <c r="Q150" s="4">
        <v>0</v>
      </c>
      <c r="R150" s="4">
        <v>0</v>
      </c>
      <c r="S150" s="31">
        <f t="shared" si="35"/>
        <v>257096.2</v>
      </c>
      <c r="T150">
        <v>148</v>
      </c>
    </row>
    <row r="151" spans="3:20" x14ac:dyDescent="0.25">
      <c r="F151" s="4"/>
      <c r="G151" s="4"/>
      <c r="H151" s="4"/>
      <c r="I151" s="4"/>
      <c r="J151" s="4"/>
      <c r="K151" s="4"/>
      <c r="L151" s="4"/>
      <c r="M151" s="4"/>
      <c r="N151" s="4"/>
      <c r="O151" s="4"/>
      <c r="P151" s="4"/>
      <c r="Q151" s="4"/>
      <c r="R151" s="4"/>
      <c r="S151" s="31"/>
      <c r="T151">
        <v>149</v>
      </c>
    </row>
    <row r="152" spans="3:20" x14ac:dyDescent="0.25">
      <c r="C152" s="66">
        <v>205</v>
      </c>
      <c r="D152" s="66"/>
      <c r="E152" s="66" t="s">
        <v>256</v>
      </c>
      <c r="F152" s="67">
        <f>F153+F154+F155+F156+F157+F158+F159+F160+F161+F162</f>
        <v>0</v>
      </c>
      <c r="G152" s="67">
        <f t="shared" ref="G152:R152" si="36">G153+G154+G155+G156+G157+G158+G159+G160+G161+G162</f>
        <v>0</v>
      </c>
      <c r="H152" s="67">
        <f t="shared" si="36"/>
        <v>0</v>
      </c>
      <c r="I152" s="67">
        <f t="shared" si="36"/>
        <v>0</v>
      </c>
      <c r="J152" s="67">
        <f t="shared" si="36"/>
        <v>0</v>
      </c>
      <c r="K152" s="67">
        <f t="shared" si="36"/>
        <v>0</v>
      </c>
      <c r="L152" s="67">
        <f t="shared" si="36"/>
        <v>0</v>
      </c>
      <c r="M152" s="67">
        <f t="shared" si="36"/>
        <v>0</v>
      </c>
      <c r="N152" s="67">
        <f t="shared" si="36"/>
        <v>0</v>
      </c>
      <c r="O152" s="67">
        <f t="shared" si="36"/>
        <v>0</v>
      </c>
      <c r="P152" s="67">
        <f t="shared" si="36"/>
        <v>35000</v>
      </c>
      <c r="Q152" s="67">
        <f t="shared" si="36"/>
        <v>0</v>
      </c>
      <c r="R152" s="67">
        <f t="shared" si="36"/>
        <v>0</v>
      </c>
      <c r="S152" s="67">
        <f t="shared" ref="S152:S162" si="37">SUM(F152:R152)</f>
        <v>35000</v>
      </c>
      <c r="T152">
        <v>150</v>
      </c>
    </row>
    <row r="153" spans="3:20" x14ac:dyDescent="0.25">
      <c r="D153">
        <v>2050</v>
      </c>
      <c r="E153" t="s">
        <v>415</v>
      </c>
      <c r="F153" s="4">
        <v>0</v>
      </c>
      <c r="G153" s="4">
        <v>0</v>
      </c>
      <c r="H153" s="4">
        <v>0</v>
      </c>
      <c r="I153" s="4">
        <v>0</v>
      </c>
      <c r="J153" s="4">
        <v>0</v>
      </c>
      <c r="K153" s="4">
        <v>0</v>
      </c>
      <c r="L153" s="4">
        <v>0</v>
      </c>
      <c r="M153" s="4">
        <v>0</v>
      </c>
      <c r="N153" s="4"/>
      <c r="O153" s="4">
        <v>0</v>
      </c>
      <c r="P153" s="4">
        <v>0</v>
      </c>
      <c r="Q153" s="4">
        <v>0</v>
      </c>
      <c r="R153" s="4">
        <v>0</v>
      </c>
      <c r="S153" s="31">
        <f t="shared" si="37"/>
        <v>0</v>
      </c>
      <c r="T153">
        <v>151</v>
      </c>
    </row>
    <row r="154" spans="3:20" x14ac:dyDescent="0.25">
      <c r="D154">
        <v>2051</v>
      </c>
      <c r="E154" t="s">
        <v>416</v>
      </c>
      <c r="F154" s="4">
        <v>0</v>
      </c>
      <c r="G154" s="4">
        <v>0</v>
      </c>
      <c r="H154" s="4">
        <v>0</v>
      </c>
      <c r="I154" s="4">
        <v>0</v>
      </c>
      <c r="J154" s="4">
        <v>0</v>
      </c>
      <c r="K154" s="4">
        <v>0</v>
      </c>
      <c r="L154" s="4">
        <v>0</v>
      </c>
      <c r="M154" s="4">
        <v>0</v>
      </c>
      <c r="N154" s="4"/>
      <c r="O154" s="4">
        <v>0</v>
      </c>
      <c r="P154" s="4">
        <v>0</v>
      </c>
      <c r="Q154" s="4">
        <v>0</v>
      </c>
      <c r="R154" s="4">
        <v>0</v>
      </c>
      <c r="S154" s="31">
        <f t="shared" si="37"/>
        <v>0</v>
      </c>
      <c r="T154">
        <v>152</v>
      </c>
    </row>
    <row r="155" spans="3:20" x14ac:dyDescent="0.25">
      <c r="D155">
        <v>2052</v>
      </c>
      <c r="E155" t="s">
        <v>417</v>
      </c>
      <c r="F155" s="4">
        <v>0</v>
      </c>
      <c r="G155" s="4">
        <v>0</v>
      </c>
      <c r="H155" s="4">
        <v>0</v>
      </c>
      <c r="I155" s="4">
        <v>0</v>
      </c>
      <c r="J155" s="4">
        <v>0</v>
      </c>
      <c r="K155" s="4">
        <v>0</v>
      </c>
      <c r="L155" s="4">
        <v>0</v>
      </c>
      <c r="M155" s="4">
        <v>0</v>
      </c>
      <c r="N155" s="4"/>
      <c r="O155" s="4">
        <v>0</v>
      </c>
      <c r="P155" s="4">
        <v>0</v>
      </c>
      <c r="Q155" s="4">
        <v>0</v>
      </c>
      <c r="R155" s="4">
        <v>0</v>
      </c>
      <c r="S155" s="31">
        <f t="shared" si="37"/>
        <v>0</v>
      </c>
      <c r="T155">
        <v>153</v>
      </c>
    </row>
    <row r="156" spans="3:20" x14ac:dyDescent="0.25">
      <c r="D156">
        <v>2053</v>
      </c>
      <c r="E156" t="s">
        <v>421</v>
      </c>
      <c r="F156" s="4">
        <v>0</v>
      </c>
      <c r="G156" s="4">
        <v>0</v>
      </c>
      <c r="H156" s="4">
        <v>0</v>
      </c>
      <c r="I156" s="4">
        <v>0</v>
      </c>
      <c r="J156" s="4">
        <v>0</v>
      </c>
      <c r="K156" s="4">
        <v>0</v>
      </c>
      <c r="L156" s="4">
        <v>0</v>
      </c>
      <c r="M156" s="4">
        <v>0</v>
      </c>
      <c r="N156" s="4"/>
      <c r="O156" s="4">
        <v>0</v>
      </c>
      <c r="P156" s="4">
        <v>0</v>
      </c>
      <c r="Q156" s="4">
        <v>0</v>
      </c>
      <c r="R156" s="4">
        <v>0</v>
      </c>
      <c r="S156" s="31">
        <f t="shared" si="37"/>
        <v>0</v>
      </c>
      <c r="T156">
        <v>154</v>
      </c>
    </row>
    <row r="157" spans="3:20" x14ac:dyDescent="0.25">
      <c r="D157">
        <v>2054</v>
      </c>
      <c r="E157" t="s">
        <v>419</v>
      </c>
      <c r="F157" s="4">
        <v>0</v>
      </c>
      <c r="G157" s="4">
        <v>0</v>
      </c>
      <c r="H157" s="4">
        <v>0</v>
      </c>
      <c r="I157" s="4">
        <v>0</v>
      </c>
      <c r="J157" s="4">
        <v>0</v>
      </c>
      <c r="K157" s="4">
        <v>0</v>
      </c>
      <c r="L157" s="4">
        <v>0</v>
      </c>
      <c r="M157" s="4">
        <v>0</v>
      </c>
      <c r="N157" s="4"/>
      <c r="O157" s="4">
        <v>0</v>
      </c>
      <c r="P157" s="4">
        <v>0</v>
      </c>
      <c r="Q157" s="4">
        <v>0</v>
      </c>
      <c r="R157" s="4">
        <v>0</v>
      </c>
      <c r="S157" s="31">
        <f t="shared" si="37"/>
        <v>0</v>
      </c>
      <c r="T157">
        <v>155</v>
      </c>
    </row>
    <row r="158" spans="3:20" x14ac:dyDescent="0.25">
      <c r="D158">
        <v>2055</v>
      </c>
      <c r="E158" t="s">
        <v>418</v>
      </c>
      <c r="F158" s="4">
        <v>0</v>
      </c>
      <c r="G158" s="4">
        <v>0</v>
      </c>
      <c r="H158" s="4">
        <v>0</v>
      </c>
      <c r="I158" s="4">
        <v>0</v>
      </c>
      <c r="J158" s="4">
        <v>0</v>
      </c>
      <c r="K158" s="4">
        <v>0</v>
      </c>
      <c r="L158" s="4">
        <v>0</v>
      </c>
      <c r="M158" s="4">
        <v>0</v>
      </c>
      <c r="N158" s="4"/>
      <c r="O158" s="4">
        <v>0</v>
      </c>
      <c r="P158" s="4">
        <v>35000</v>
      </c>
      <c r="Q158" s="4">
        <v>0</v>
      </c>
      <c r="R158" s="4">
        <v>0</v>
      </c>
      <c r="S158" s="31">
        <f t="shared" si="37"/>
        <v>35000</v>
      </c>
      <c r="T158">
        <v>156</v>
      </c>
    </row>
    <row r="159" spans="3:20" x14ac:dyDescent="0.25">
      <c r="D159">
        <v>2056</v>
      </c>
      <c r="E159" t="s">
        <v>420</v>
      </c>
      <c r="F159" s="4">
        <v>0</v>
      </c>
      <c r="G159" s="4">
        <v>0</v>
      </c>
      <c r="H159" s="4">
        <v>0</v>
      </c>
      <c r="I159" s="4">
        <v>0</v>
      </c>
      <c r="J159" s="4">
        <v>0</v>
      </c>
      <c r="K159" s="4">
        <v>0</v>
      </c>
      <c r="L159" s="4">
        <v>0</v>
      </c>
      <c r="M159" s="4">
        <v>0</v>
      </c>
      <c r="N159" s="4"/>
      <c r="O159" s="4">
        <v>0</v>
      </c>
      <c r="P159" s="4">
        <v>0</v>
      </c>
      <c r="Q159" s="4">
        <v>0</v>
      </c>
      <c r="R159" s="4">
        <v>0</v>
      </c>
      <c r="S159" s="31">
        <f t="shared" si="37"/>
        <v>0</v>
      </c>
      <c r="T159">
        <v>157</v>
      </c>
    </row>
    <row r="160" spans="3:20" x14ac:dyDescent="0.25">
      <c r="D160">
        <v>2057</v>
      </c>
      <c r="E160" t="s">
        <v>422</v>
      </c>
      <c r="F160" s="4">
        <v>0</v>
      </c>
      <c r="G160" s="4">
        <v>0</v>
      </c>
      <c r="H160" s="4">
        <v>0</v>
      </c>
      <c r="I160" s="4">
        <v>0</v>
      </c>
      <c r="J160" s="4">
        <v>0</v>
      </c>
      <c r="K160" s="4">
        <v>0</v>
      </c>
      <c r="L160" s="4">
        <v>0</v>
      </c>
      <c r="M160" s="4">
        <v>0</v>
      </c>
      <c r="N160" s="4"/>
      <c r="O160" s="4">
        <v>0</v>
      </c>
      <c r="P160" s="4">
        <v>0</v>
      </c>
      <c r="Q160" s="4">
        <v>0</v>
      </c>
      <c r="R160" s="4">
        <v>0</v>
      </c>
      <c r="S160" s="31">
        <f t="shared" si="37"/>
        <v>0</v>
      </c>
      <c r="T160">
        <v>158</v>
      </c>
    </row>
    <row r="161" spans="3:20" x14ac:dyDescent="0.25">
      <c r="D161">
        <v>2058</v>
      </c>
      <c r="E161" t="s">
        <v>423</v>
      </c>
      <c r="F161" s="4">
        <v>0</v>
      </c>
      <c r="G161" s="4">
        <v>0</v>
      </c>
      <c r="H161" s="4">
        <v>0</v>
      </c>
      <c r="I161" s="4">
        <v>0</v>
      </c>
      <c r="J161" s="4">
        <v>0</v>
      </c>
      <c r="K161" s="4">
        <v>0</v>
      </c>
      <c r="L161" s="4">
        <v>0</v>
      </c>
      <c r="M161" s="4">
        <v>0</v>
      </c>
      <c r="N161" s="4"/>
      <c r="O161" s="4">
        <v>0</v>
      </c>
      <c r="P161" s="4">
        <v>0</v>
      </c>
      <c r="Q161" s="4">
        <v>0</v>
      </c>
      <c r="R161" s="4">
        <v>0</v>
      </c>
      <c r="S161" s="31">
        <f t="shared" si="37"/>
        <v>0</v>
      </c>
      <c r="T161">
        <v>159</v>
      </c>
    </row>
    <row r="162" spans="3:20" x14ac:dyDescent="0.25">
      <c r="D162">
        <v>2059</v>
      </c>
      <c r="E162" t="s">
        <v>424</v>
      </c>
      <c r="F162" s="4">
        <v>0</v>
      </c>
      <c r="G162" s="4">
        <v>0</v>
      </c>
      <c r="H162" s="4">
        <v>0</v>
      </c>
      <c r="I162" s="4">
        <v>0</v>
      </c>
      <c r="J162" s="4">
        <v>0</v>
      </c>
      <c r="K162" s="4">
        <v>0</v>
      </c>
      <c r="L162" s="4">
        <v>0</v>
      </c>
      <c r="M162" s="4">
        <v>0</v>
      </c>
      <c r="N162" s="4"/>
      <c r="O162" s="4">
        <v>0</v>
      </c>
      <c r="P162" s="4">
        <v>0</v>
      </c>
      <c r="Q162" s="4">
        <v>0</v>
      </c>
      <c r="R162" s="4">
        <v>0</v>
      </c>
      <c r="S162" s="31">
        <f t="shared" si="37"/>
        <v>0</v>
      </c>
      <c r="T162">
        <v>160</v>
      </c>
    </row>
    <row r="163" spans="3:20" x14ac:dyDescent="0.25">
      <c r="F163" s="4"/>
      <c r="G163" s="4"/>
      <c r="H163" s="4"/>
      <c r="I163" s="4"/>
      <c r="J163" s="4"/>
      <c r="K163" s="4"/>
      <c r="L163" s="4"/>
      <c r="M163" s="4"/>
      <c r="N163" s="4"/>
      <c r="O163" s="4"/>
      <c r="P163" s="4"/>
      <c r="Q163" s="4"/>
      <c r="R163" s="4"/>
      <c r="S163" s="31"/>
      <c r="T163">
        <v>161</v>
      </c>
    </row>
    <row r="164" spans="3:20" x14ac:dyDescent="0.25">
      <c r="C164" s="66">
        <v>206</v>
      </c>
      <c r="D164" s="66"/>
      <c r="E164" s="66" t="s">
        <v>257</v>
      </c>
      <c r="F164" s="67">
        <f>F165+F166+F167+F168+F169+F170</f>
        <v>2989500</v>
      </c>
      <c r="G164" s="67">
        <f t="shared" ref="G164:R164" si="38">G165+G166+G167+G168+G169+G170</f>
        <v>183000</v>
      </c>
      <c r="H164" s="67">
        <f t="shared" si="38"/>
        <v>280425.59999999998</v>
      </c>
      <c r="I164" s="67">
        <f t="shared" si="38"/>
        <v>0</v>
      </c>
      <c r="J164" s="67">
        <f t="shared" si="38"/>
        <v>377000</v>
      </c>
      <c r="K164" s="67">
        <f t="shared" si="38"/>
        <v>3283750</v>
      </c>
      <c r="L164" s="67">
        <f t="shared" si="38"/>
        <v>134500</v>
      </c>
      <c r="M164" s="67">
        <f t="shared" si="38"/>
        <v>0</v>
      </c>
      <c r="N164" s="67">
        <f t="shared" si="38"/>
        <v>0</v>
      </c>
      <c r="O164" s="67">
        <f t="shared" si="38"/>
        <v>0</v>
      </c>
      <c r="P164" s="67">
        <f t="shared" si="38"/>
        <v>0</v>
      </c>
      <c r="Q164" s="67">
        <f t="shared" si="38"/>
        <v>458240</v>
      </c>
      <c r="R164" s="67">
        <f t="shared" si="38"/>
        <v>0</v>
      </c>
      <c r="S164" s="67">
        <f t="shared" ref="S164:S170" si="39">SUM(F164:R164)</f>
        <v>7706415.5999999996</v>
      </c>
      <c r="T164">
        <v>162</v>
      </c>
    </row>
    <row r="165" spans="3:20" x14ac:dyDescent="0.25">
      <c r="D165">
        <v>2060</v>
      </c>
      <c r="E165" t="s">
        <v>425</v>
      </c>
      <c r="F165" s="4">
        <v>2989500</v>
      </c>
      <c r="G165" s="4">
        <v>0</v>
      </c>
      <c r="H165" s="4">
        <v>0</v>
      </c>
      <c r="I165" s="4">
        <v>0</v>
      </c>
      <c r="J165" s="4">
        <v>0</v>
      </c>
      <c r="K165" s="4">
        <v>3283750</v>
      </c>
      <c r="L165" s="4">
        <v>0</v>
      </c>
      <c r="M165" s="4">
        <v>0</v>
      </c>
      <c r="N165" s="4"/>
      <c r="O165" s="4">
        <v>0</v>
      </c>
      <c r="P165" s="4">
        <v>0</v>
      </c>
      <c r="Q165" s="4">
        <v>0</v>
      </c>
      <c r="R165" s="4">
        <v>0</v>
      </c>
      <c r="S165" s="31">
        <f t="shared" si="39"/>
        <v>6273250</v>
      </c>
      <c r="T165">
        <v>163</v>
      </c>
    </row>
    <row r="166" spans="3:20" x14ac:dyDescent="0.25">
      <c r="D166">
        <v>2062</v>
      </c>
      <c r="E166" t="s">
        <v>426</v>
      </c>
      <c r="F166" s="4">
        <v>0</v>
      </c>
      <c r="G166" s="4">
        <v>0</v>
      </c>
      <c r="H166" s="4">
        <v>0</v>
      </c>
      <c r="I166" s="4">
        <v>0</v>
      </c>
      <c r="J166" s="4">
        <v>0</v>
      </c>
      <c r="K166" s="4">
        <v>0</v>
      </c>
      <c r="L166" s="4">
        <v>0</v>
      </c>
      <c r="M166" s="4">
        <v>0</v>
      </c>
      <c r="N166" s="4"/>
      <c r="O166" s="4">
        <v>0</v>
      </c>
      <c r="P166" s="4">
        <v>0</v>
      </c>
      <c r="Q166" s="4">
        <v>0</v>
      </c>
      <c r="R166" s="4">
        <v>0</v>
      </c>
      <c r="S166" s="31">
        <f t="shared" si="39"/>
        <v>0</v>
      </c>
      <c r="T166">
        <v>164</v>
      </c>
    </row>
    <row r="167" spans="3:20" x14ac:dyDescent="0.25">
      <c r="D167">
        <v>2063</v>
      </c>
      <c r="E167" t="s">
        <v>427</v>
      </c>
      <c r="F167" s="4">
        <v>0</v>
      </c>
      <c r="G167" s="4">
        <v>183000</v>
      </c>
      <c r="H167" s="4">
        <v>272000</v>
      </c>
      <c r="I167" s="4">
        <v>0</v>
      </c>
      <c r="J167" s="4">
        <v>377000</v>
      </c>
      <c r="K167" s="4">
        <v>0</v>
      </c>
      <c r="L167" s="4">
        <v>134500</v>
      </c>
      <c r="M167" s="4">
        <v>0</v>
      </c>
      <c r="N167" s="4"/>
      <c r="O167" s="4">
        <v>0</v>
      </c>
      <c r="P167" s="4">
        <v>0</v>
      </c>
      <c r="Q167" s="4">
        <v>458240</v>
      </c>
      <c r="R167" s="4">
        <v>0</v>
      </c>
      <c r="S167" s="31">
        <f t="shared" si="39"/>
        <v>1424740</v>
      </c>
      <c r="T167">
        <v>165</v>
      </c>
    </row>
    <row r="168" spans="3:20" x14ac:dyDescent="0.25">
      <c r="D168">
        <v>2064</v>
      </c>
      <c r="E168" t="s">
        <v>448</v>
      </c>
      <c r="F168" s="4">
        <v>0</v>
      </c>
      <c r="G168" s="4">
        <v>0</v>
      </c>
      <c r="H168" s="4">
        <v>0</v>
      </c>
      <c r="I168" s="4">
        <v>0</v>
      </c>
      <c r="J168" s="4">
        <v>0</v>
      </c>
      <c r="K168" s="4">
        <v>0</v>
      </c>
      <c r="L168" s="4">
        <v>0</v>
      </c>
      <c r="M168" s="4">
        <v>0</v>
      </c>
      <c r="N168" s="4"/>
      <c r="O168" s="4">
        <v>0</v>
      </c>
      <c r="P168" s="4">
        <v>0</v>
      </c>
      <c r="Q168" s="4">
        <v>0</v>
      </c>
      <c r="R168" s="4">
        <v>0</v>
      </c>
      <c r="S168" s="31">
        <f t="shared" si="39"/>
        <v>0</v>
      </c>
      <c r="T168">
        <v>166</v>
      </c>
    </row>
    <row r="169" spans="3:20" x14ac:dyDescent="0.25">
      <c r="D169">
        <v>2067</v>
      </c>
      <c r="E169" t="s">
        <v>429</v>
      </c>
      <c r="F169" s="4">
        <v>0</v>
      </c>
      <c r="G169" s="4">
        <v>0</v>
      </c>
      <c r="H169" s="4">
        <v>0</v>
      </c>
      <c r="I169" s="4">
        <v>0</v>
      </c>
      <c r="J169" s="4">
        <v>0</v>
      </c>
      <c r="K169" s="4">
        <v>0</v>
      </c>
      <c r="L169" s="4">
        <v>0</v>
      </c>
      <c r="M169" s="4">
        <v>0</v>
      </c>
      <c r="N169" s="4"/>
      <c r="O169" s="4">
        <v>0</v>
      </c>
      <c r="P169" s="4">
        <v>0</v>
      </c>
      <c r="Q169" s="4">
        <v>0</v>
      </c>
      <c r="R169" s="4">
        <v>0</v>
      </c>
      <c r="S169" s="31">
        <f t="shared" si="39"/>
        <v>0</v>
      </c>
      <c r="T169">
        <v>167</v>
      </c>
    </row>
    <row r="170" spans="3:20" x14ac:dyDescent="0.25">
      <c r="D170">
        <v>2069</v>
      </c>
      <c r="E170" t="s">
        <v>430</v>
      </c>
      <c r="F170" s="4">
        <v>0</v>
      </c>
      <c r="G170" s="4">
        <v>0</v>
      </c>
      <c r="H170" s="4">
        <v>8425.6</v>
      </c>
      <c r="I170" s="4">
        <v>0</v>
      </c>
      <c r="J170" s="4">
        <v>0</v>
      </c>
      <c r="K170" s="4">
        <v>0</v>
      </c>
      <c r="L170" s="4">
        <v>0</v>
      </c>
      <c r="M170" s="4">
        <v>0</v>
      </c>
      <c r="N170" s="4"/>
      <c r="O170" s="4">
        <v>0</v>
      </c>
      <c r="P170" s="4">
        <v>0</v>
      </c>
      <c r="Q170" s="4">
        <v>0</v>
      </c>
      <c r="R170" s="4">
        <v>0</v>
      </c>
      <c r="S170" s="31">
        <f t="shared" si="39"/>
        <v>8425.6</v>
      </c>
      <c r="T170">
        <v>168</v>
      </c>
    </row>
    <row r="171" spans="3:20" x14ac:dyDescent="0.25">
      <c r="F171" s="4"/>
      <c r="G171" s="4"/>
      <c r="H171" s="4"/>
      <c r="I171" s="4"/>
      <c r="J171" s="4"/>
      <c r="K171" s="4"/>
      <c r="L171" s="4"/>
      <c r="M171" s="4"/>
      <c r="N171" s="4"/>
      <c r="O171" s="4"/>
      <c r="P171" s="4"/>
      <c r="Q171" s="4"/>
      <c r="R171" s="4"/>
      <c r="S171" s="31"/>
      <c r="T171">
        <v>169</v>
      </c>
    </row>
    <row r="172" spans="3:20" x14ac:dyDescent="0.25">
      <c r="C172" s="66">
        <v>208</v>
      </c>
      <c r="D172" s="66"/>
      <c r="E172" s="66" t="s">
        <v>258</v>
      </c>
      <c r="F172" s="67">
        <f>F173+F174+F175+F176+F177+F178+F179+F180+F181</f>
        <v>2578.6999999999998</v>
      </c>
      <c r="G172" s="67">
        <f t="shared" ref="G172:R172" si="40">G173+G174+G175+G176+G177+G178+G179+G180+G181</f>
        <v>0</v>
      </c>
      <c r="H172" s="67">
        <f t="shared" si="40"/>
        <v>0</v>
      </c>
      <c r="I172" s="67">
        <f t="shared" si="40"/>
        <v>0</v>
      </c>
      <c r="J172" s="67">
        <f t="shared" si="40"/>
        <v>21800</v>
      </c>
      <c r="K172" s="67">
        <f t="shared" si="40"/>
        <v>350000</v>
      </c>
      <c r="L172" s="67">
        <f t="shared" si="40"/>
        <v>0</v>
      </c>
      <c r="M172" s="67">
        <f t="shared" si="40"/>
        <v>0</v>
      </c>
      <c r="N172" s="67">
        <f t="shared" si="40"/>
        <v>0</v>
      </c>
      <c r="O172" s="67">
        <f t="shared" si="40"/>
        <v>0</v>
      </c>
      <c r="P172" s="67">
        <f t="shared" si="40"/>
        <v>0</v>
      </c>
      <c r="Q172" s="67">
        <f t="shared" si="40"/>
        <v>0</v>
      </c>
      <c r="R172" s="67">
        <f t="shared" si="40"/>
        <v>0</v>
      </c>
      <c r="S172" s="67">
        <f t="shared" ref="S172:S181" si="41">SUM(F172:R172)</f>
        <v>374378.7</v>
      </c>
      <c r="T172">
        <v>170</v>
      </c>
    </row>
    <row r="173" spans="3:20" x14ac:dyDescent="0.25">
      <c r="D173">
        <v>2081</v>
      </c>
      <c r="E173" t="s">
        <v>431</v>
      </c>
      <c r="F173" s="4">
        <v>0</v>
      </c>
      <c r="G173" s="4">
        <v>0</v>
      </c>
      <c r="H173" s="4">
        <v>0</v>
      </c>
      <c r="I173" s="4">
        <v>0</v>
      </c>
      <c r="J173" s="4">
        <v>0</v>
      </c>
      <c r="K173" s="4">
        <v>0</v>
      </c>
      <c r="L173" s="4">
        <v>0</v>
      </c>
      <c r="M173" s="4">
        <v>0</v>
      </c>
      <c r="N173" s="4"/>
      <c r="O173" s="4">
        <v>0</v>
      </c>
      <c r="P173" s="4">
        <v>0</v>
      </c>
      <c r="Q173" s="4">
        <v>0</v>
      </c>
      <c r="R173" s="4">
        <v>0</v>
      </c>
      <c r="S173" s="31">
        <f t="shared" si="41"/>
        <v>0</v>
      </c>
      <c r="T173">
        <v>171</v>
      </c>
    </row>
    <row r="174" spans="3:20" x14ac:dyDescent="0.25">
      <c r="D174">
        <v>2082</v>
      </c>
      <c r="E174" t="s">
        <v>432</v>
      </c>
      <c r="F174" s="4">
        <v>0</v>
      </c>
      <c r="G174" s="4">
        <v>0</v>
      </c>
      <c r="H174" s="4">
        <v>0</v>
      </c>
      <c r="I174" s="4">
        <v>0</v>
      </c>
      <c r="J174" s="4">
        <v>0</v>
      </c>
      <c r="K174" s="4">
        <v>0</v>
      </c>
      <c r="L174" s="4">
        <v>0</v>
      </c>
      <c r="M174" s="4">
        <v>0</v>
      </c>
      <c r="N174" s="4"/>
      <c r="O174" s="4">
        <v>0</v>
      </c>
      <c r="P174" s="4">
        <v>0</v>
      </c>
      <c r="Q174" s="4">
        <v>0</v>
      </c>
      <c r="R174" s="4">
        <v>0</v>
      </c>
      <c r="S174" s="31">
        <f t="shared" si="41"/>
        <v>0</v>
      </c>
      <c r="T174">
        <v>172</v>
      </c>
    </row>
    <row r="175" spans="3:20" x14ac:dyDescent="0.25">
      <c r="D175">
        <v>2083</v>
      </c>
      <c r="E175" t="s">
        <v>433</v>
      </c>
      <c r="F175" s="4">
        <v>0</v>
      </c>
      <c r="G175" s="4">
        <v>0</v>
      </c>
      <c r="H175" s="4">
        <v>0</v>
      </c>
      <c r="I175" s="4">
        <v>0</v>
      </c>
      <c r="J175" s="4">
        <v>0</v>
      </c>
      <c r="K175" s="4">
        <v>0</v>
      </c>
      <c r="L175" s="4">
        <v>0</v>
      </c>
      <c r="M175" s="4">
        <v>0</v>
      </c>
      <c r="N175" s="4"/>
      <c r="O175" s="4">
        <v>0</v>
      </c>
      <c r="P175" s="4">
        <v>0</v>
      </c>
      <c r="Q175" s="4">
        <v>0</v>
      </c>
      <c r="R175" s="4">
        <v>0</v>
      </c>
      <c r="S175" s="31">
        <f t="shared" si="41"/>
        <v>0</v>
      </c>
      <c r="T175">
        <v>173</v>
      </c>
    </row>
    <row r="176" spans="3:20" x14ac:dyDescent="0.25">
      <c r="D176">
        <v>2084</v>
      </c>
      <c r="E176" t="s">
        <v>434</v>
      </c>
      <c r="F176" s="4">
        <v>0</v>
      </c>
      <c r="G176" s="4">
        <v>0</v>
      </c>
      <c r="H176" s="4">
        <v>0</v>
      </c>
      <c r="I176" s="4">
        <v>0</v>
      </c>
      <c r="J176" s="4">
        <v>0</v>
      </c>
      <c r="K176" s="4">
        <v>0</v>
      </c>
      <c r="L176" s="4">
        <v>0</v>
      </c>
      <c r="M176" s="4">
        <v>0</v>
      </c>
      <c r="N176" s="4"/>
      <c r="O176" s="4">
        <v>0</v>
      </c>
      <c r="P176" s="4">
        <v>0</v>
      </c>
      <c r="Q176" s="4">
        <v>0</v>
      </c>
      <c r="R176" s="4">
        <v>0</v>
      </c>
      <c r="S176" s="31">
        <f t="shared" si="41"/>
        <v>0</v>
      </c>
      <c r="T176">
        <v>174</v>
      </c>
    </row>
    <row r="177" spans="2:20" x14ac:dyDescent="0.25">
      <c r="D177">
        <v>2085</v>
      </c>
      <c r="E177" t="s">
        <v>436</v>
      </c>
      <c r="F177" s="4">
        <v>2578.6999999999998</v>
      </c>
      <c r="G177" s="4">
        <v>0</v>
      </c>
      <c r="H177" s="4">
        <v>0</v>
      </c>
      <c r="I177" s="4">
        <v>0</v>
      </c>
      <c r="J177" s="4">
        <v>21800</v>
      </c>
      <c r="K177" s="4">
        <v>350000</v>
      </c>
      <c r="L177" s="4">
        <v>0</v>
      </c>
      <c r="M177" s="4">
        <v>0</v>
      </c>
      <c r="N177" s="4"/>
      <c r="O177" s="4">
        <v>0</v>
      </c>
      <c r="P177" s="4">
        <v>0</v>
      </c>
      <c r="Q177" s="4">
        <v>0</v>
      </c>
      <c r="R177" s="4">
        <v>0</v>
      </c>
      <c r="S177" s="31">
        <f t="shared" si="41"/>
        <v>374378.7</v>
      </c>
      <c r="T177">
        <v>175</v>
      </c>
    </row>
    <row r="178" spans="2:20" x14ac:dyDescent="0.25">
      <c r="D178">
        <v>2086</v>
      </c>
      <c r="E178" t="s">
        <v>435</v>
      </c>
      <c r="F178" s="4">
        <v>0</v>
      </c>
      <c r="G178" s="4">
        <v>0</v>
      </c>
      <c r="H178" s="4">
        <v>0</v>
      </c>
      <c r="I178" s="4">
        <v>0</v>
      </c>
      <c r="J178" s="4">
        <v>0</v>
      </c>
      <c r="K178" s="4">
        <v>0</v>
      </c>
      <c r="L178" s="4">
        <v>0</v>
      </c>
      <c r="M178" s="4">
        <v>0</v>
      </c>
      <c r="N178" s="4"/>
      <c r="O178" s="4">
        <v>0</v>
      </c>
      <c r="P178" s="4">
        <v>0</v>
      </c>
      <c r="Q178" s="4">
        <v>0</v>
      </c>
      <c r="R178" s="4">
        <v>0</v>
      </c>
      <c r="S178" s="31">
        <f t="shared" si="41"/>
        <v>0</v>
      </c>
      <c r="T178">
        <v>176</v>
      </c>
    </row>
    <row r="179" spans="2:20" x14ac:dyDescent="0.25">
      <c r="D179">
        <v>2087</v>
      </c>
      <c r="E179" t="s">
        <v>437</v>
      </c>
      <c r="F179" s="4">
        <v>0</v>
      </c>
      <c r="G179" s="4">
        <v>0</v>
      </c>
      <c r="H179" s="4">
        <v>0</v>
      </c>
      <c r="I179" s="4">
        <v>0</v>
      </c>
      <c r="J179" s="4">
        <v>0</v>
      </c>
      <c r="K179" s="4">
        <v>0</v>
      </c>
      <c r="L179" s="4">
        <v>0</v>
      </c>
      <c r="M179" s="4">
        <v>0</v>
      </c>
      <c r="N179" s="4"/>
      <c r="O179" s="4">
        <v>0</v>
      </c>
      <c r="P179" s="4">
        <v>0</v>
      </c>
      <c r="Q179" s="4">
        <v>0</v>
      </c>
      <c r="R179" s="4">
        <v>0</v>
      </c>
      <c r="S179" s="31">
        <f t="shared" si="41"/>
        <v>0</v>
      </c>
      <c r="T179">
        <v>177</v>
      </c>
    </row>
    <row r="180" spans="2:20" x14ac:dyDescent="0.25">
      <c r="D180">
        <v>2088</v>
      </c>
      <c r="E180" t="s">
        <v>438</v>
      </c>
      <c r="F180" s="4">
        <v>0</v>
      </c>
      <c r="G180" s="4">
        <v>0</v>
      </c>
      <c r="H180" s="4">
        <v>0</v>
      </c>
      <c r="I180" s="4">
        <v>0</v>
      </c>
      <c r="J180" s="4">
        <v>0</v>
      </c>
      <c r="K180" s="4">
        <v>0</v>
      </c>
      <c r="L180" s="4">
        <v>0</v>
      </c>
      <c r="M180" s="4">
        <v>0</v>
      </c>
      <c r="N180" s="4"/>
      <c r="O180" s="4">
        <v>0</v>
      </c>
      <c r="P180" s="4">
        <v>0</v>
      </c>
      <c r="Q180" s="4">
        <v>0</v>
      </c>
      <c r="R180" s="4">
        <v>0</v>
      </c>
      <c r="S180" s="31">
        <f t="shared" si="41"/>
        <v>0</v>
      </c>
      <c r="T180">
        <v>178</v>
      </c>
    </row>
    <row r="181" spans="2:20" x14ac:dyDescent="0.25">
      <c r="D181">
        <v>2089</v>
      </c>
      <c r="E181" t="s">
        <v>439</v>
      </c>
      <c r="F181" s="4">
        <v>0</v>
      </c>
      <c r="G181" s="4">
        <v>0</v>
      </c>
      <c r="H181" s="4">
        <v>0</v>
      </c>
      <c r="I181" s="4">
        <v>0</v>
      </c>
      <c r="J181" s="4">
        <v>0</v>
      </c>
      <c r="K181" s="4">
        <v>0</v>
      </c>
      <c r="L181" s="4">
        <v>0</v>
      </c>
      <c r="M181" s="4">
        <v>0</v>
      </c>
      <c r="N181" s="4"/>
      <c r="O181" s="4">
        <v>0</v>
      </c>
      <c r="P181" s="4">
        <v>0</v>
      </c>
      <c r="Q181" s="4">
        <v>0</v>
      </c>
      <c r="R181" s="4">
        <v>0</v>
      </c>
      <c r="S181" s="31">
        <f t="shared" si="41"/>
        <v>0</v>
      </c>
      <c r="T181">
        <v>179</v>
      </c>
    </row>
    <row r="182" spans="2:20" x14ac:dyDescent="0.25">
      <c r="F182" s="4"/>
      <c r="G182" s="4"/>
      <c r="H182" s="4"/>
      <c r="I182" s="4"/>
      <c r="J182" s="4"/>
      <c r="K182" s="4"/>
      <c r="L182" s="4"/>
      <c r="M182" s="4"/>
      <c r="N182" s="4"/>
      <c r="O182" s="4"/>
      <c r="P182" s="4"/>
      <c r="Q182" s="4"/>
      <c r="R182" s="4"/>
      <c r="S182" s="31"/>
      <c r="T182">
        <v>180</v>
      </c>
    </row>
    <row r="183" spans="2:20" x14ac:dyDescent="0.25">
      <c r="C183" s="66">
        <v>209</v>
      </c>
      <c r="D183" s="66"/>
      <c r="E183" s="66" t="s">
        <v>259</v>
      </c>
      <c r="F183" s="67">
        <f>F184+F185+F186+F187</f>
        <v>0</v>
      </c>
      <c r="G183" s="67">
        <f t="shared" ref="G183:R183" si="42">G184+G185+G186+G187</f>
        <v>0</v>
      </c>
      <c r="H183" s="67">
        <f t="shared" si="42"/>
        <v>0</v>
      </c>
      <c r="I183" s="67">
        <f t="shared" si="42"/>
        <v>0</v>
      </c>
      <c r="J183" s="67">
        <f t="shared" si="42"/>
        <v>114540</v>
      </c>
      <c r="K183" s="67">
        <f t="shared" si="42"/>
        <v>0</v>
      </c>
      <c r="L183" s="67">
        <f t="shared" si="42"/>
        <v>0</v>
      </c>
      <c r="M183" s="67">
        <f t="shared" si="42"/>
        <v>0</v>
      </c>
      <c r="N183" s="67">
        <f t="shared" si="42"/>
        <v>0</v>
      </c>
      <c r="O183" s="67">
        <f t="shared" si="42"/>
        <v>0</v>
      </c>
      <c r="P183" s="67">
        <f t="shared" si="42"/>
        <v>0</v>
      </c>
      <c r="Q183" s="67">
        <f t="shared" si="42"/>
        <v>0</v>
      </c>
      <c r="R183" s="67">
        <f t="shared" si="42"/>
        <v>0</v>
      </c>
      <c r="S183" s="67">
        <f>SUM(F183:R183)</f>
        <v>114540</v>
      </c>
      <c r="T183">
        <v>181</v>
      </c>
    </row>
    <row r="184" spans="2:20" x14ac:dyDescent="0.25">
      <c r="D184">
        <v>2090</v>
      </c>
      <c r="E184" t="s">
        <v>259</v>
      </c>
      <c r="F184" s="4">
        <v>0</v>
      </c>
      <c r="G184" s="4">
        <v>0</v>
      </c>
      <c r="H184" s="4">
        <v>0</v>
      </c>
      <c r="I184" s="4">
        <v>0</v>
      </c>
      <c r="J184" s="4">
        <v>114540</v>
      </c>
      <c r="K184" s="4">
        <v>0</v>
      </c>
      <c r="L184" s="4">
        <v>0</v>
      </c>
      <c r="M184" s="4">
        <v>0</v>
      </c>
      <c r="N184" s="4"/>
      <c r="O184" s="4">
        <v>0</v>
      </c>
      <c r="P184" s="4">
        <v>0</v>
      </c>
      <c r="Q184" s="4">
        <v>0</v>
      </c>
      <c r="R184" s="4">
        <v>0</v>
      </c>
      <c r="S184" s="31">
        <f>SUM(F184:R184)</f>
        <v>114540</v>
      </c>
      <c r="T184">
        <v>182</v>
      </c>
    </row>
    <row r="185" spans="2:20" x14ac:dyDescent="0.25">
      <c r="D185">
        <v>2091</v>
      </c>
      <c r="E185" t="s">
        <v>440</v>
      </c>
      <c r="F185" s="4">
        <v>0</v>
      </c>
      <c r="G185" s="4">
        <v>0</v>
      </c>
      <c r="H185" s="4">
        <v>0</v>
      </c>
      <c r="I185" s="4">
        <v>0</v>
      </c>
      <c r="J185" s="4">
        <v>0</v>
      </c>
      <c r="K185" s="4">
        <v>0</v>
      </c>
      <c r="L185" s="4">
        <v>0</v>
      </c>
      <c r="M185" s="4">
        <v>0</v>
      </c>
      <c r="N185" s="4"/>
      <c r="O185" s="4">
        <v>0</v>
      </c>
      <c r="P185" s="4">
        <v>0</v>
      </c>
      <c r="Q185" s="4">
        <v>0</v>
      </c>
      <c r="R185" s="4">
        <v>0</v>
      </c>
      <c r="S185" s="31">
        <f>SUM(F185:R185)</f>
        <v>0</v>
      </c>
      <c r="T185">
        <v>183</v>
      </c>
    </row>
    <row r="186" spans="2:20" x14ac:dyDescent="0.25">
      <c r="D186">
        <v>2092</v>
      </c>
      <c r="E186" t="s">
        <v>441</v>
      </c>
      <c r="F186" s="4">
        <v>0</v>
      </c>
      <c r="G186" s="4">
        <v>0</v>
      </c>
      <c r="H186" s="4">
        <v>0</v>
      </c>
      <c r="I186" s="4">
        <v>0</v>
      </c>
      <c r="J186" s="4">
        <v>0</v>
      </c>
      <c r="K186" s="4">
        <v>0</v>
      </c>
      <c r="L186" s="4">
        <v>0</v>
      </c>
      <c r="M186" s="4">
        <v>0</v>
      </c>
      <c r="N186" s="4"/>
      <c r="O186" s="4">
        <v>0</v>
      </c>
      <c r="P186" s="4">
        <v>0</v>
      </c>
      <c r="Q186" s="4">
        <v>0</v>
      </c>
      <c r="R186" s="4">
        <v>0</v>
      </c>
      <c r="S186" s="31">
        <f>SUM(F186:R186)</f>
        <v>0</v>
      </c>
      <c r="T186">
        <v>184</v>
      </c>
    </row>
    <row r="187" spans="2:20" x14ac:dyDescent="0.25">
      <c r="D187">
        <v>2093</v>
      </c>
      <c r="E187" t="s">
        <v>442</v>
      </c>
      <c r="F187" s="4">
        <v>0</v>
      </c>
      <c r="G187" s="4">
        <v>0</v>
      </c>
      <c r="H187" s="4">
        <v>0</v>
      </c>
      <c r="I187" s="4">
        <v>0</v>
      </c>
      <c r="J187" s="4">
        <v>0</v>
      </c>
      <c r="K187" s="4">
        <v>0</v>
      </c>
      <c r="L187" s="4">
        <v>0</v>
      </c>
      <c r="M187" s="4">
        <v>0</v>
      </c>
      <c r="N187" s="4"/>
      <c r="O187" s="4">
        <v>0</v>
      </c>
      <c r="P187" s="4">
        <v>0</v>
      </c>
      <c r="Q187" s="4">
        <v>0</v>
      </c>
      <c r="R187" s="4">
        <v>0</v>
      </c>
      <c r="S187" s="31">
        <f>SUM(F187:R187)</f>
        <v>0</v>
      </c>
      <c r="T187">
        <v>185</v>
      </c>
    </row>
    <row r="188" spans="2:20" x14ac:dyDescent="0.25">
      <c r="F188" s="4"/>
      <c r="G188" s="4"/>
      <c r="H188" s="4"/>
      <c r="I188" s="4"/>
      <c r="J188" s="4"/>
      <c r="K188" s="4"/>
      <c r="L188" s="4"/>
      <c r="M188" s="4"/>
      <c r="N188" s="4"/>
      <c r="O188" s="4"/>
      <c r="P188" s="4"/>
      <c r="Q188" s="4"/>
      <c r="R188" s="4"/>
      <c r="S188" s="31"/>
      <c r="T188">
        <v>186</v>
      </c>
    </row>
    <row r="189" spans="2:20" x14ac:dyDescent="0.25">
      <c r="B189" s="68">
        <v>29</v>
      </c>
      <c r="C189" s="68"/>
      <c r="D189" s="68"/>
      <c r="E189" s="68" t="s">
        <v>260</v>
      </c>
      <c r="F189" s="69">
        <f>F190+F193+F197+F200+F203+F206+F209+F212+F215</f>
        <v>7520932.2499999991</v>
      </c>
      <c r="G189" s="69">
        <f t="shared" ref="G189:S189" si="43">G190+G193+G197+G200+G203+G206+G209+G212+G215</f>
        <v>696629.74</v>
      </c>
      <c r="H189" s="69">
        <f t="shared" si="43"/>
        <v>753794.3</v>
      </c>
      <c r="I189" s="69">
        <f t="shared" si="43"/>
        <v>861062.12999999989</v>
      </c>
      <c r="J189" s="69">
        <f t="shared" si="43"/>
        <v>2157112.52</v>
      </c>
      <c r="K189" s="69">
        <f t="shared" si="43"/>
        <v>29972599.030000001</v>
      </c>
      <c r="L189" s="69">
        <f t="shared" si="43"/>
        <v>960702.71</v>
      </c>
      <c r="M189" s="69">
        <f t="shared" si="43"/>
        <v>1745261.9800000002</v>
      </c>
      <c r="N189" s="69">
        <f t="shared" si="43"/>
        <v>0</v>
      </c>
      <c r="O189" s="69">
        <f t="shared" si="43"/>
        <v>569363.77</v>
      </c>
      <c r="P189" s="69">
        <f t="shared" si="43"/>
        <v>2566158.3499999996</v>
      </c>
      <c r="Q189" s="69">
        <f t="shared" si="43"/>
        <v>1464423.97</v>
      </c>
      <c r="R189" s="69">
        <f t="shared" si="43"/>
        <v>2434078.04</v>
      </c>
      <c r="S189" s="69">
        <f t="shared" si="43"/>
        <v>51702118.789999999</v>
      </c>
      <c r="T189">
        <v>187</v>
      </c>
    </row>
    <row r="190" spans="2:20" x14ac:dyDescent="0.25">
      <c r="C190" s="66">
        <v>290</v>
      </c>
      <c r="D190" s="66"/>
      <c r="E190" s="66" t="s">
        <v>261</v>
      </c>
      <c r="F190" s="67">
        <f>F191</f>
        <v>338123.14</v>
      </c>
      <c r="G190" s="67">
        <f t="shared" ref="G190:R190" si="44">G191</f>
        <v>36537.629999999997</v>
      </c>
      <c r="H190" s="67">
        <f t="shared" si="44"/>
        <v>34697.14</v>
      </c>
      <c r="I190" s="67">
        <f t="shared" si="44"/>
        <v>12869.19</v>
      </c>
      <c r="J190" s="67">
        <f t="shared" si="44"/>
        <v>368524.83</v>
      </c>
      <c r="K190" s="67">
        <f t="shared" si="44"/>
        <v>2824736.18</v>
      </c>
      <c r="L190" s="67">
        <f t="shared" si="44"/>
        <v>54798.85</v>
      </c>
      <c r="M190" s="67">
        <f t="shared" si="44"/>
        <v>402626.55</v>
      </c>
      <c r="N190" s="67">
        <f t="shared" si="44"/>
        <v>0</v>
      </c>
      <c r="O190" s="67">
        <f t="shared" si="44"/>
        <v>165866.60999999999</v>
      </c>
      <c r="P190" s="67">
        <f t="shared" si="44"/>
        <v>83957.08</v>
      </c>
      <c r="Q190" s="67">
        <f t="shared" si="44"/>
        <v>170794.67</v>
      </c>
      <c r="R190" s="67">
        <f t="shared" si="44"/>
        <v>2430578.04</v>
      </c>
      <c r="S190" s="67">
        <f>SUM(F190:R190)</f>
        <v>6924109.9100000001</v>
      </c>
      <c r="T190">
        <v>188</v>
      </c>
    </row>
    <row r="191" spans="2:20" x14ac:dyDescent="0.25">
      <c r="D191">
        <v>2900</v>
      </c>
      <c r="E191" t="s">
        <v>261</v>
      </c>
      <c r="F191" s="4">
        <v>338123.14</v>
      </c>
      <c r="G191" s="4">
        <v>36537.629999999997</v>
      </c>
      <c r="H191" s="4">
        <v>34697.14</v>
      </c>
      <c r="I191" s="4">
        <v>12869.19</v>
      </c>
      <c r="J191" s="4">
        <v>368524.83</v>
      </c>
      <c r="K191" s="4">
        <v>2824736.18</v>
      </c>
      <c r="L191" s="4">
        <v>54798.85</v>
      </c>
      <c r="M191" s="4">
        <v>402626.55</v>
      </c>
      <c r="N191" s="4"/>
      <c r="O191" s="4">
        <v>165866.60999999999</v>
      </c>
      <c r="P191" s="4">
        <v>83957.08</v>
      </c>
      <c r="Q191" s="4">
        <v>170794.67</v>
      </c>
      <c r="R191" s="4">
        <v>2430578.04</v>
      </c>
      <c r="S191" s="31">
        <f>SUM(F191:R191)</f>
        <v>6924109.9100000001</v>
      </c>
      <c r="T191">
        <v>189</v>
      </c>
    </row>
    <row r="192" spans="2:20" x14ac:dyDescent="0.25">
      <c r="F192" s="4"/>
      <c r="G192" s="4"/>
      <c r="H192" s="4"/>
      <c r="I192" s="4"/>
      <c r="J192" s="4"/>
      <c r="K192" s="4"/>
      <c r="L192" s="4"/>
      <c r="M192" s="4"/>
      <c r="N192" s="4"/>
      <c r="O192" s="4"/>
      <c r="P192" s="4"/>
      <c r="Q192" s="4"/>
      <c r="R192" s="4"/>
      <c r="S192" s="31"/>
      <c r="T192">
        <v>190</v>
      </c>
    </row>
    <row r="193" spans="3:20" x14ac:dyDescent="0.25">
      <c r="C193" s="66">
        <v>291</v>
      </c>
      <c r="D193" s="66"/>
      <c r="E193" s="66" t="s">
        <v>262</v>
      </c>
      <c r="F193" s="67">
        <f>F194+F195</f>
        <v>0</v>
      </c>
      <c r="G193" s="67">
        <f t="shared" ref="G193:R193" si="45">G194+G195</f>
        <v>0</v>
      </c>
      <c r="H193" s="67">
        <f t="shared" si="45"/>
        <v>0</v>
      </c>
      <c r="I193" s="67">
        <f t="shared" si="45"/>
        <v>0</v>
      </c>
      <c r="J193" s="67">
        <f t="shared" si="45"/>
        <v>0</v>
      </c>
      <c r="K193" s="67">
        <f t="shared" si="45"/>
        <v>0</v>
      </c>
      <c r="L193" s="67">
        <f t="shared" si="45"/>
        <v>0</v>
      </c>
      <c r="M193" s="67">
        <f t="shared" si="45"/>
        <v>0</v>
      </c>
      <c r="N193" s="67">
        <f t="shared" si="45"/>
        <v>0</v>
      </c>
      <c r="O193" s="67">
        <f t="shared" si="45"/>
        <v>0</v>
      </c>
      <c r="P193" s="67">
        <f t="shared" si="45"/>
        <v>0</v>
      </c>
      <c r="Q193" s="67">
        <f t="shared" si="45"/>
        <v>0</v>
      </c>
      <c r="R193" s="67">
        <f t="shared" si="45"/>
        <v>0</v>
      </c>
      <c r="S193" s="67">
        <f>SUM(F193:R193)</f>
        <v>0</v>
      </c>
      <c r="T193">
        <v>191</v>
      </c>
    </row>
    <row r="194" spans="3:20" x14ac:dyDescent="0.25">
      <c r="D194">
        <v>2910</v>
      </c>
      <c r="E194" t="s">
        <v>262</v>
      </c>
      <c r="F194" s="4">
        <v>0</v>
      </c>
      <c r="G194" s="4">
        <v>0</v>
      </c>
      <c r="H194" s="4">
        <v>0</v>
      </c>
      <c r="I194" s="4">
        <v>0</v>
      </c>
      <c r="J194" s="4">
        <v>0</v>
      </c>
      <c r="K194" s="4">
        <v>0</v>
      </c>
      <c r="L194" s="4">
        <v>0</v>
      </c>
      <c r="M194" s="4">
        <v>0</v>
      </c>
      <c r="N194" s="4"/>
      <c r="O194" s="4">
        <v>0</v>
      </c>
      <c r="P194" s="4">
        <v>0</v>
      </c>
      <c r="Q194" s="4">
        <v>0</v>
      </c>
      <c r="R194" s="4">
        <v>0</v>
      </c>
      <c r="S194" s="31">
        <f>SUM(F194:R194)</f>
        <v>0</v>
      </c>
      <c r="T194">
        <v>192</v>
      </c>
    </row>
    <row r="195" spans="3:20" x14ac:dyDescent="0.25">
      <c r="D195">
        <v>2911</v>
      </c>
      <c r="E195" t="s">
        <v>443</v>
      </c>
      <c r="F195" s="4">
        <v>0</v>
      </c>
      <c r="G195" s="4">
        <v>0</v>
      </c>
      <c r="H195" s="4">
        <v>0</v>
      </c>
      <c r="I195" s="4">
        <v>0</v>
      </c>
      <c r="J195" s="4">
        <v>0</v>
      </c>
      <c r="K195" s="4">
        <v>0</v>
      </c>
      <c r="L195" s="4">
        <v>0</v>
      </c>
      <c r="M195" s="4">
        <v>0</v>
      </c>
      <c r="N195" s="4"/>
      <c r="O195" s="4">
        <v>0</v>
      </c>
      <c r="P195" s="4">
        <v>0</v>
      </c>
      <c r="Q195" s="4">
        <v>0</v>
      </c>
      <c r="R195" s="4">
        <v>0</v>
      </c>
      <c r="S195" s="31">
        <f>SUM(F195:R195)</f>
        <v>0</v>
      </c>
      <c r="T195">
        <v>193</v>
      </c>
    </row>
    <row r="196" spans="3:20" x14ac:dyDescent="0.25">
      <c r="F196" s="4"/>
      <c r="G196" s="4"/>
      <c r="H196" s="4"/>
      <c r="I196" s="4"/>
      <c r="J196" s="4"/>
      <c r="K196" s="4"/>
      <c r="L196" s="4"/>
      <c r="M196" s="4"/>
      <c r="N196" s="4"/>
      <c r="O196" s="4"/>
      <c r="P196" s="4"/>
      <c r="Q196" s="4"/>
      <c r="R196" s="4"/>
      <c r="S196" s="31"/>
      <c r="T196">
        <v>194</v>
      </c>
    </row>
    <row r="197" spans="3:20" x14ac:dyDescent="0.25">
      <c r="C197" s="66">
        <v>292</v>
      </c>
      <c r="D197" s="66"/>
      <c r="E197" s="66" t="s">
        <v>263</v>
      </c>
      <c r="F197" s="67">
        <f>F198</f>
        <v>0</v>
      </c>
      <c r="G197" s="67">
        <f t="shared" ref="G197:R197" si="46">G198</f>
        <v>0</v>
      </c>
      <c r="H197" s="67">
        <f t="shared" si="46"/>
        <v>0</v>
      </c>
      <c r="I197" s="67">
        <f t="shared" si="46"/>
        <v>0</v>
      </c>
      <c r="J197" s="67">
        <f t="shared" si="46"/>
        <v>0</v>
      </c>
      <c r="K197" s="67">
        <f t="shared" si="46"/>
        <v>0</v>
      </c>
      <c r="L197" s="67">
        <f t="shared" si="46"/>
        <v>0</v>
      </c>
      <c r="M197" s="67">
        <f t="shared" si="46"/>
        <v>0</v>
      </c>
      <c r="N197" s="67">
        <f t="shared" si="46"/>
        <v>0</v>
      </c>
      <c r="O197" s="67">
        <f t="shared" si="46"/>
        <v>0</v>
      </c>
      <c r="P197" s="67">
        <f t="shared" si="46"/>
        <v>0</v>
      </c>
      <c r="Q197" s="67">
        <f t="shared" si="46"/>
        <v>0</v>
      </c>
      <c r="R197" s="67">
        <f t="shared" si="46"/>
        <v>3500</v>
      </c>
      <c r="S197" s="67">
        <f>SUM(F197:R197)</f>
        <v>3500</v>
      </c>
      <c r="T197">
        <v>195</v>
      </c>
    </row>
    <row r="198" spans="3:20" x14ac:dyDescent="0.25">
      <c r="D198">
        <v>2920</v>
      </c>
      <c r="E198" t="s">
        <v>263</v>
      </c>
      <c r="F198" s="4">
        <v>0</v>
      </c>
      <c r="G198" s="4">
        <v>0</v>
      </c>
      <c r="H198" s="4">
        <v>0</v>
      </c>
      <c r="I198" s="4">
        <v>0</v>
      </c>
      <c r="J198" s="4">
        <v>0</v>
      </c>
      <c r="K198" s="4">
        <v>0</v>
      </c>
      <c r="L198" s="4">
        <v>0</v>
      </c>
      <c r="M198" s="4">
        <v>0</v>
      </c>
      <c r="N198" s="4"/>
      <c r="O198" s="4">
        <v>0</v>
      </c>
      <c r="P198" s="4">
        <v>0</v>
      </c>
      <c r="Q198" s="4">
        <v>0</v>
      </c>
      <c r="R198" s="4">
        <v>3500</v>
      </c>
      <c r="S198" s="31">
        <f>SUM(F198:R198)</f>
        <v>3500</v>
      </c>
      <c r="T198">
        <v>196</v>
      </c>
    </row>
    <row r="199" spans="3:20" x14ac:dyDescent="0.25">
      <c r="F199" s="4"/>
      <c r="G199" s="4"/>
      <c r="H199" s="4"/>
      <c r="I199" s="4"/>
      <c r="J199" s="4"/>
      <c r="K199" s="4"/>
      <c r="L199" s="4"/>
      <c r="M199" s="4"/>
      <c r="N199" s="4"/>
      <c r="O199" s="4"/>
      <c r="P199" s="4"/>
      <c r="Q199" s="4"/>
      <c r="R199" s="4"/>
      <c r="S199" s="31"/>
      <c r="T199">
        <v>197</v>
      </c>
    </row>
    <row r="200" spans="3:20" x14ac:dyDescent="0.25">
      <c r="C200" s="66">
        <v>293</v>
      </c>
      <c r="D200" s="66"/>
      <c r="E200" s="66" t="s">
        <v>264</v>
      </c>
      <c r="F200" s="67">
        <f>F201</f>
        <v>0</v>
      </c>
      <c r="G200" s="67">
        <f t="shared" ref="G200:R200" si="47">G201</f>
        <v>0</v>
      </c>
      <c r="H200" s="67">
        <f t="shared" si="47"/>
        <v>0</v>
      </c>
      <c r="I200" s="67">
        <f t="shared" si="47"/>
        <v>0</v>
      </c>
      <c r="J200" s="67">
        <f t="shared" si="47"/>
        <v>0</v>
      </c>
      <c r="K200" s="67">
        <f t="shared" si="47"/>
        <v>0</v>
      </c>
      <c r="L200" s="67">
        <f t="shared" si="47"/>
        <v>0</v>
      </c>
      <c r="M200" s="67">
        <f t="shared" si="47"/>
        <v>0</v>
      </c>
      <c r="N200" s="67">
        <f t="shared" si="47"/>
        <v>0</v>
      </c>
      <c r="O200" s="67">
        <f t="shared" si="47"/>
        <v>0</v>
      </c>
      <c r="P200" s="67">
        <f t="shared" si="47"/>
        <v>0</v>
      </c>
      <c r="Q200" s="67">
        <f t="shared" si="47"/>
        <v>0</v>
      </c>
      <c r="R200" s="67">
        <f t="shared" si="47"/>
        <v>0</v>
      </c>
      <c r="S200" s="67">
        <f>SUM(F200:R200)</f>
        <v>0</v>
      </c>
      <c r="T200">
        <v>198</v>
      </c>
    </row>
    <row r="201" spans="3:20" x14ac:dyDescent="0.25">
      <c r="D201">
        <v>2930</v>
      </c>
      <c r="E201" t="s">
        <v>264</v>
      </c>
      <c r="F201" s="4">
        <v>0</v>
      </c>
      <c r="G201" s="4">
        <v>0</v>
      </c>
      <c r="H201" s="4">
        <v>0</v>
      </c>
      <c r="I201" s="4">
        <v>0</v>
      </c>
      <c r="J201" s="4">
        <v>0</v>
      </c>
      <c r="K201" s="4">
        <v>0</v>
      </c>
      <c r="L201" s="4">
        <v>0</v>
      </c>
      <c r="M201" s="4">
        <v>0</v>
      </c>
      <c r="N201" s="4"/>
      <c r="O201" s="4">
        <v>0</v>
      </c>
      <c r="P201" s="4">
        <v>0</v>
      </c>
      <c r="Q201" s="4">
        <v>0</v>
      </c>
      <c r="R201" s="4">
        <v>0</v>
      </c>
      <c r="S201" s="31">
        <f>SUM(F201:R201)</f>
        <v>0</v>
      </c>
      <c r="T201">
        <v>199</v>
      </c>
    </row>
    <row r="202" spans="3:20" x14ac:dyDescent="0.25">
      <c r="F202" s="4"/>
      <c r="G202" s="4"/>
      <c r="H202" s="4"/>
      <c r="I202" s="4"/>
      <c r="J202" s="4"/>
      <c r="K202" s="4"/>
      <c r="L202" s="4"/>
      <c r="M202" s="4"/>
      <c r="N202" s="4"/>
      <c r="O202" s="4"/>
      <c r="P202" s="4"/>
      <c r="Q202" s="4"/>
      <c r="R202" s="4"/>
      <c r="S202" s="31"/>
      <c r="T202">
        <v>200</v>
      </c>
    </row>
    <row r="203" spans="3:20" x14ac:dyDescent="0.25">
      <c r="C203" s="66">
        <v>294</v>
      </c>
      <c r="D203" s="66"/>
      <c r="E203" s="66" t="s">
        <v>265</v>
      </c>
      <c r="F203" s="67">
        <f>F204</f>
        <v>0</v>
      </c>
      <c r="G203" s="67">
        <f t="shared" ref="G203:R203" si="48">G204</f>
        <v>0</v>
      </c>
      <c r="H203" s="67">
        <f t="shared" si="48"/>
        <v>0</v>
      </c>
      <c r="I203" s="67">
        <f t="shared" si="48"/>
        <v>0</v>
      </c>
      <c r="J203" s="67">
        <f t="shared" si="48"/>
        <v>0</v>
      </c>
      <c r="K203" s="67">
        <f t="shared" si="48"/>
        <v>10000</v>
      </c>
      <c r="L203" s="67">
        <f t="shared" si="48"/>
        <v>0</v>
      </c>
      <c r="M203" s="67">
        <f t="shared" si="48"/>
        <v>0</v>
      </c>
      <c r="N203" s="67">
        <f t="shared" si="48"/>
        <v>0</v>
      </c>
      <c r="O203" s="67">
        <f t="shared" si="48"/>
        <v>0</v>
      </c>
      <c r="P203" s="67">
        <f t="shared" si="48"/>
        <v>45855.4</v>
      </c>
      <c r="Q203" s="67">
        <f t="shared" si="48"/>
        <v>0</v>
      </c>
      <c r="R203" s="67">
        <f t="shared" si="48"/>
        <v>0</v>
      </c>
      <c r="S203" s="67">
        <f>SUM(F203:R203)</f>
        <v>55855.4</v>
      </c>
      <c r="T203">
        <v>201</v>
      </c>
    </row>
    <row r="204" spans="3:20" x14ac:dyDescent="0.25">
      <c r="D204">
        <v>2940</v>
      </c>
      <c r="E204" t="s">
        <v>265</v>
      </c>
      <c r="F204" s="4">
        <v>0</v>
      </c>
      <c r="G204" s="4">
        <v>0</v>
      </c>
      <c r="H204" s="4">
        <v>0</v>
      </c>
      <c r="I204" s="4">
        <v>0</v>
      </c>
      <c r="J204" s="4">
        <v>0</v>
      </c>
      <c r="K204" s="4">
        <v>10000</v>
      </c>
      <c r="L204" s="4">
        <v>0</v>
      </c>
      <c r="M204" s="4">
        <v>0</v>
      </c>
      <c r="N204" s="4"/>
      <c r="O204" s="4">
        <v>0</v>
      </c>
      <c r="P204" s="4">
        <v>45855.4</v>
      </c>
      <c r="Q204" s="4">
        <v>0</v>
      </c>
      <c r="R204" s="4">
        <v>0</v>
      </c>
      <c r="S204" s="31">
        <f>SUM(F204:R204)</f>
        <v>55855.4</v>
      </c>
      <c r="T204">
        <v>202</v>
      </c>
    </row>
    <row r="205" spans="3:20" x14ac:dyDescent="0.25">
      <c r="F205" s="4"/>
      <c r="G205" s="4"/>
      <c r="H205" s="4"/>
      <c r="I205" s="4"/>
      <c r="J205" s="4"/>
      <c r="K205" s="4"/>
      <c r="L205" s="4"/>
      <c r="M205" s="4"/>
      <c r="N205" s="4"/>
      <c r="O205" s="4"/>
      <c r="P205" s="4"/>
      <c r="Q205" s="4"/>
      <c r="R205" s="4"/>
      <c r="S205" s="31"/>
      <c r="T205">
        <v>203</v>
      </c>
    </row>
    <row r="206" spans="3:20" x14ac:dyDescent="0.25">
      <c r="C206" s="66">
        <v>295</v>
      </c>
      <c r="D206" s="66"/>
      <c r="E206" s="66" t="s">
        <v>266</v>
      </c>
      <c r="F206" s="67">
        <f>F207</f>
        <v>0</v>
      </c>
      <c r="G206" s="67">
        <f t="shared" ref="G206:R206" si="49">G207</f>
        <v>0</v>
      </c>
      <c r="H206" s="67">
        <f>H207</f>
        <v>0</v>
      </c>
      <c r="I206" s="67">
        <f t="shared" si="49"/>
        <v>0</v>
      </c>
      <c r="J206" s="67">
        <f t="shared" si="49"/>
        <v>0</v>
      </c>
      <c r="K206" s="67">
        <f t="shared" si="49"/>
        <v>0</v>
      </c>
      <c r="L206" s="67">
        <f t="shared" si="49"/>
        <v>0</v>
      </c>
      <c r="M206" s="67">
        <f t="shared" si="49"/>
        <v>0</v>
      </c>
      <c r="N206" s="67">
        <f t="shared" si="49"/>
        <v>0</v>
      </c>
      <c r="O206" s="67">
        <f t="shared" si="49"/>
        <v>0</v>
      </c>
      <c r="P206" s="67">
        <f t="shared" si="49"/>
        <v>9000</v>
      </c>
      <c r="Q206" s="67">
        <f t="shared" si="49"/>
        <v>0</v>
      </c>
      <c r="R206" s="67">
        <f t="shared" si="49"/>
        <v>0</v>
      </c>
      <c r="S206" s="67">
        <f>SUM(F206:R206)</f>
        <v>9000</v>
      </c>
      <c r="T206">
        <v>204</v>
      </c>
    </row>
    <row r="207" spans="3:20" x14ac:dyDescent="0.25">
      <c r="D207">
        <v>2950</v>
      </c>
      <c r="E207" t="s">
        <v>266</v>
      </c>
      <c r="F207" s="4">
        <v>0</v>
      </c>
      <c r="G207" s="4">
        <v>0</v>
      </c>
      <c r="H207" s="4">
        <v>0</v>
      </c>
      <c r="I207" s="4">
        <v>0</v>
      </c>
      <c r="J207" s="4">
        <v>0</v>
      </c>
      <c r="K207" s="4">
        <v>0</v>
      </c>
      <c r="L207" s="4">
        <v>0</v>
      </c>
      <c r="M207" s="4">
        <v>0</v>
      </c>
      <c r="N207" s="4"/>
      <c r="O207" s="4">
        <v>0</v>
      </c>
      <c r="P207" s="4">
        <v>9000</v>
      </c>
      <c r="Q207" s="4">
        <v>0</v>
      </c>
      <c r="R207" s="4">
        <v>0</v>
      </c>
      <c r="S207" s="31">
        <f>SUM(F207:R207)</f>
        <v>9000</v>
      </c>
      <c r="T207">
        <v>205</v>
      </c>
    </row>
    <row r="208" spans="3:20" x14ac:dyDescent="0.25">
      <c r="F208" s="4"/>
      <c r="G208" s="4"/>
      <c r="H208" s="4"/>
      <c r="I208" s="4"/>
      <c r="J208" s="4"/>
      <c r="K208" s="4"/>
      <c r="L208" s="4"/>
      <c r="M208" s="4"/>
      <c r="N208" s="4"/>
      <c r="O208" s="4"/>
      <c r="P208" s="4"/>
      <c r="Q208" s="4"/>
      <c r="R208" s="4"/>
      <c r="S208" s="31"/>
      <c r="T208">
        <v>206</v>
      </c>
    </row>
    <row r="209" spans="3:20" x14ac:dyDescent="0.25">
      <c r="C209" s="66">
        <v>296</v>
      </c>
      <c r="D209" s="66"/>
      <c r="E209" s="66" t="s">
        <v>267</v>
      </c>
      <c r="F209" s="67">
        <f>F210</f>
        <v>-53688</v>
      </c>
      <c r="G209" s="67">
        <f t="shared" ref="G209:R209" si="50">G210</f>
        <v>0</v>
      </c>
      <c r="H209" s="67">
        <f t="shared" si="50"/>
        <v>0</v>
      </c>
      <c r="I209" s="67">
        <f t="shared" si="50"/>
        <v>0</v>
      </c>
      <c r="J209" s="67">
        <f t="shared" si="50"/>
        <v>0</v>
      </c>
      <c r="K209" s="67">
        <f t="shared" si="50"/>
        <v>23553589</v>
      </c>
      <c r="L209" s="67">
        <f t="shared" si="50"/>
        <v>0</v>
      </c>
      <c r="M209" s="67">
        <f t="shared" si="50"/>
        <v>0</v>
      </c>
      <c r="N209" s="67">
        <f t="shared" si="50"/>
        <v>0</v>
      </c>
      <c r="O209" s="67">
        <f t="shared" si="50"/>
        <v>0</v>
      </c>
      <c r="P209" s="67">
        <f t="shared" si="50"/>
        <v>430911.55</v>
      </c>
      <c r="Q209" s="67">
        <f t="shared" si="50"/>
        <v>0</v>
      </c>
      <c r="R209" s="67">
        <f t="shared" si="50"/>
        <v>0</v>
      </c>
      <c r="S209" s="67">
        <f>SUM(F209:R209)</f>
        <v>23930812.550000001</v>
      </c>
      <c r="T209">
        <v>207</v>
      </c>
    </row>
    <row r="210" spans="3:20" x14ac:dyDescent="0.25">
      <c r="D210">
        <v>2960</v>
      </c>
      <c r="E210" t="s">
        <v>267</v>
      </c>
      <c r="F210" s="4">
        <v>-53688</v>
      </c>
      <c r="G210" s="4">
        <v>0</v>
      </c>
      <c r="H210" s="4">
        <v>0</v>
      </c>
      <c r="I210" s="4">
        <v>0</v>
      </c>
      <c r="J210" s="4">
        <v>0</v>
      </c>
      <c r="K210" s="4">
        <v>23553589</v>
      </c>
      <c r="L210" s="4">
        <v>0</v>
      </c>
      <c r="M210" s="4">
        <v>0</v>
      </c>
      <c r="N210" s="4"/>
      <c r="O210" s="4">
        <v>0</v>
      </c>
      <c r="P210" s="4">
        <v>430911.55</v>
      </c>
      <c r="Q210" s="4">
        <v>0</v>
      </c>
      <c r="R210" s="4">
        <v>0</v>
      </c>
      <c r="S210" s="31">
        <f>SUM(F210:R210)</f>
        <v>23930812.550000001</v>
      </c>
      <c r="T210">
        <v>208</v>
      </c>
    </row>
    <row r="211" spans="3:20" x14ac:dyDescent="0.25">
      <c r="F211" s="4"/>
      <c r="G211" s="4"/>
      <c r="H211" s="4"/>
      <c r="I211" s="4"/>
      <c r="J211" s="4"/>
      <c r="K211" s="4"/>
      <c r="L211" s="4"/>
      <c r="M211" s="4"/>
      <c r="N211" s="4"/>
      <c r="O211" s="4"/>
      <c r="P211" s="4"/>
      <c r="Q211" s="4"/>
      <c r="R211" s="4"/>
      <c r="S211" s="31"/>
      <c r="T211">
        <v>209</v>
      </c>
    </row>
    <row r="212" spans="3:20" x14ac:dyDescent="0.25">
      <c r="C212" s="66">
        <v>298</v>
      </c>
      <c r="D212" s="66"/>
      <c r="E212" s="66" t="s">
        <v>268</v>
      </c>
      <c r="F212" s="67">
        <f>F213</f>
        <v>0</v>
      </c>
      <c r="G212" s="67">
        <f t="shared" ref="G212:R212" si="51">G213</f>
        <v>0</v>
      </c>
      <c r="H212" s="67">
        <f t="shared" si="51"/>
        <v>0</v>
      </c>
      <c r="I212" s="67">
        <f t="shared" si="51"/>
        <v>0</v>
      </c>
      <c r="J212" s="67">
        <f t="shared" si="51"/>
        <v>0</v>
      </c>
      <c r="K212" s="67">
        <f t="shared" si="51"/>
        <v>0</v>
      </c>
      <c r="L212" s="67">
        <f t="shared" si="51"/>
        <v>0</v>
      </c>
      <c r="M212" s="67">
        <f t="shared" si="51"/>
        <v>0</v>
      </c>
      <c r="N212" s="67">
        <f t="shared" si="51"/>
        <v>0</v>
      </c>
      <c r="O212" s="67">
        <f t="shared" si="51"/>
        <v>0</v>
      </c>
      <c r="P212" s="67">
        <f t="shared" si="51"/>
        <v>0</v>
      </c>
      <c r="Q212" s="67">
        <f t="shared" si="51"/>
        <v>0</v>
      </c>
      <c r="R212" s="67">
        <f t="shared" si="51"/>
        <v>0</v>
      </c>
      <c r="S212" s="67">
        <f>SUM(F212:R212)</f>
        <v>0</v>
      </c>
      <c r="T212">
        <v>210</v>
      </c>
    </row>
    <row r="213" spans="3:20" x14ac:dyDescent="0.25">
      <c r="D213">
        <v>2980</v>
      </c>
      <c r="E213" t="s">
        <v>268</v>
      </c>
      <c r="F213" s="4">
        <v>0</v>
      </c>
      <c r="G213" s="4">
        <v>0</v>
      </c>
      <c r="H213" s="4">
        <v>0</v>
      </c>
      <c r="I213" s="4">
        <v>0</v>
      </c>
      <c r="J213" s="4">
        <v>0</v>
      </c>
      <c r="K213" s="4">
        <v>0</v>
      </c>
      <c r="L213" s="4">
        <v>0</v>
      </c>
      <c r="M213" s="4">
        <v>0</v>
      </c>
      <c r="N213" s="4"/>
      <c r="O213" s="4">
        <v>0</v>
      </c>
      <c r="P213" s="4">
        <v>0</v>
      </c>
      <c r="Q213" s="4">
        <v>0</v>
      </c>
      <c r="R213" s="4">
        <v>0</v>
      </c>
      <c r="S213" s="31">
        <f>SUM(F213:R213)</f>
        <v>0</v>
      </c>
      <c r="T213">
        <v>211</v>
      </c>
    </row>
    <row r="214" spans="3:20" x14ac:dyDescent="0.25">
      <c r="F214" s="4"/>
      <c r="G214" s="4"/>
      <c r="H214" s="4"/>
      <c r="I214" s="4"/>
      <c r="J214" s="4"/>
      <c r="K214" s="4"/>
      <c r="L214" s="4"/>
      <c r="M214" s="4"/>
      <c r="N214" s="4"/>
      <c r="O214" s="4"/>
      <c r="P214" s="4"/>
      <c r="Q214" s="4"/>
      <c r="R214" s="4"/>
      <c r="S214" s="31"/>
      <c r="T214">
        <v>212</v>
      </c>
    </row>
    <row r="215" spans="3:20" x14ac:dyDescent="0.25">
      <c r="C215" s="66">
        <v>299</v>
      </c>
      <c r="D215" s="66"/>
      <c r="E215" s="66" t="s">
        <v>444</v>
      </c>
      <c r="F215" s="67">
        <f>F216+F217</f>
        <v>7236497.1099999994</v>
      </c>
      <c r="G215" s="67">
        <f t="shared" ref="G215:R215" si="52">G216+G217</f>
        <v>660092.11</v>
      </c>
      <c r="H215" s="67">
        <f t="shared" si="52"/>
        <v>719097.16</v>
      </c>
      <c r="I215" s="67">
        <f t="shared" si="52"/>
        <v>848192.94</v>
      </c>
      <c r="J215" s="67">
        <f t="shared" si="52"/>
        <v>1788587.69</v>
      </c>
      <c r="K215" s="67">
        <f t="shared" si="52"/>
        <v>3584273.85</v>
      </c>
      <c r="L215" s="67">
        <f t="shared" si="52"/>
        <v>905903.86</v>
      </c>
      <c r="M215" s="67">
        <f t="shared" si="52"/>
        <v>1342635.4300000002</v>
      </c>
      <c r="N215" s="67">
        <f t="shared" si="52"/>
        <v>0</v>
      </c>
      <c r="O215" s="67">
        <f t="shared" si="52"/>
        <v>403497.16</v>
      </c>
      <c r="P215" s="67">
        <f t="shared" si="52"/>
        <v>1996434.3199999998</v>
      </c>
      <c r="Q215" s="67">
        <f t="shared" si="52"/>
        <v>1293629.3</v>
      </c>
      <c r="R215" s="67">
        <f t="shared" si="52"/>
        <v>0</v>
      </c>
      <c r="S215" s="67">
        <f>SUM(F215:R215)</f>
        <v>20778840.93</v>
      </c>
      <c r="T215">
        <v>213</v>
      </c>
    </row>
    <row r="216" spans="3:20" x14ac:dyDescent="0.25">
      <c r="D216">
        <v>2990</v>
      </c>
      <c r="E216" t="s">
        <v>444</v>
      </c>
      <c r="F216" s="4">
        <v>116423.55</v>
      </c>
      <c r="G216" s="4">
        <v>627.9</v>
      </c>
      <c r="H216" s="4">
        <v>8925.39</v>
      </c>
      <c r="I216" s="4">
        <v>14766.5</v>
      </c>
      <c r="J216" s="4">
        <v>-10852.1</v>
      </c>
      <c r="K216" s="4">
        <v>-699.52</v>
      </c>
      <c r="L216" s="4">
        <v>72273.48</v>
      </c>
      <c r="M216" s="4">
        <v>1596.32</v>
      </c>
      <c r="N216" s="4"/>
      <c r="O216" s="4">
        <v>645.91</v>
      </c>
      <c r="P216" s="4">
        <v>2904.41</v>
      </c>
      <c r="Q216" s="4">
        <v>5845.23</v>
      </c>
      <c r="R216" s="4">
        <v>0</v>
      </c>
      <c r="S216" s="31">
        <f>SUM(F216:R216)</f>
        <v>212457.07</v>
      </c>
      <c r="T216">
        <v>214</v>
      </c>
    </row>
    <row r="217" spans="3:20" x14ac:dyDescent="0.25">
      <c r="D217">
        <v>2999</v>
      </c>
      <c r="E217" t="s">
        <v>582</v>
      </c>
      <c r="F217" s="4">
        <v>7120073.5599999996</v>
      </c>
      <c r="G217" s="4">
        <v>659464.21</v>
      </c>
      <c r="H217" s="4">
        <v>710171.77</v>
      </c>
      <c r="I217" s="4">
        <v>833426.44</v>
      </c>
      <c r="J217" s="4">
        <v>1799439.79</v>
      </c>
      <c r="K217" s="4">
        <v>3584973.37</v>
      </c>
      <c r="L217" s="4">
        <v>833630.38</v>
      </c>
      <c r="M217" s="4">
        <v>1341039.1100000001</v>
      </c>
      <c r="N217" s="4"/>
      <c r="O217" s="4">
        <v>402851.25</v>
      </c>
      <c r="P217" s="4">
        <v>1993529.91</v>
      </c>
      <c r="Q217" s="4">
        <v>1287784.07</v>
      </c>
      <c r="R217" s="4">
        <v>0</v>
      </c>
      <c r="S217" s="31">
        <f>SUM(F217:R217)</f>
        <v>20566383.860000003</v>
      </c>
      <c r="T217">
        <v>215</v>
      </c>
    </row>
    <row r="218" spans="3:20" x14ac:dyDescent="0.25">
      <c r="F218" s="4"/>
      <c r="G218" s="4"/>
      <c r="H218" s="4"/>
      <c r="I218" s="165"/>
      <c r="J218" s="4"/>
      <c r="K218" s="4"/>
      <c r="L218" s="4"/>
      <c r="M218" s="4"/>
      <c r="N218" s="4"/>
      <c r="O218" s="4"/>
      <c r="P218" s="30"/>
      <c r="Q218" s="4"/>
      <c r="R218" s="4"/>
      <c r="S218" s="31"/>
      <c r="T218">
        <v>216</v>
      </c>
    </row>
    <row r="219" spans="3:20" x14ac:dyDescent="0.25">
      <c r="C219" s="128"/>
      <c r="D219" s="128"/>
      <c r="E219" s="128" t="s">
        <v>587</v>
      </c>
      <c r="T219">
        <v>217</v>
      </c>
    </row>
    <row r="220" spans="3:20" x14ac:dyDescent="0.25">
      <c r="D220">
        <v>290</v>
      </c>
      <c r="E220" t="s">
        <v>586</v>
      </c>
      <c r="F220" s="4">
        <f>'Bourgeoisies Comptes 2021'!E155</f>
        <v>0</v>
      </c>
      <c r="G220" s="4">
        <f>'Bourgeoisies Comptes 2021'!F155</f>
        <v>0</v>
      </c>
      <c r="H220" s="4">
        <f>'Bourgeoisies Comptes 2021'!G155</f>
        <v>0</v>
      </c>
      <c r="I220" s="4">
        <f>'Bourgeoisies Comptes 2021'!H155</f>
        <v>0</v>
      </c>
      <c r="J220" s="4">
        <f>'Bourgeoisies Comptes 2021'!I155</f>
        <v>0</v>
      </c>
      <c r="K220" s="4">
        <f>'Bourgeoisies Comptes 2021'!J155</f>
        <v>0</v>
      </c>
      <c r="L220" s="4">
        <f>'Bourgeoisies Comptes 2021'!K155</f>
        <v>0</v>
      </c>
      <c r="M220" s="4">
        <f>'Bourgeoisies Comptes 2021'!L155</f>
        <v>0</v>
      </c>
      <c r="N220" s="4">
        <f>'Bourgeoisies Comptes 2021'!M155</f>
        <v>0</v>
      </c>
      <c r="O220" s="4">
        <f>'Bourgeoisies Comptes 2021'!N155</f>
        <v>0</v>
      </c>
      <c r="P220" s="4">
        <f>'Bourgeoisies Comptes 2021'!O155</f>
        <v>0</v>
      </c>
      <c r="Q220" s="4">
        <f>'Bourgeoisies Comptes 2021'!P155</f>
        <v>0</v>
      </c>
      <c r="R220" s="4">
        <f>'Bourgeoisies Comptes 2021'!Q155</f>
        <v>0</v>
      </c>
      <c r="S220" s="4">
        <f>'Bourgeoisies Comptes 2021'!R155</f>
        <v>0</v>
      </c>
      <c r="T220">
        <v>218</v>
      </c>
    </row>
    <row r="221" spans="3:20" x14ac:dyDescent="0.25">
      <c r="D221">
        <v>2990</v>
      </c>
      <c r="E221" t="s">
        <v>590</v>
      </c>
      <c r="F221" s="4">
        <f>F216</f>
        <v>116423.55</v>
      </c>
      <c r="G221" s="4">
        <f t="shared" ref="G221:S221" si="53">G216</f>
        <v>627.9</v>
      </c>
      <c r="H221" s="4">
        <f t="shared" si="53"/>
        <v>8925.39</v>
      </c>
      <c r="I221" s="4">
        <f t="shared" si="53"/>
        <v>14766.5</v>
      </c>
      <c r="J221" s="4">
        <f t="shared" si="53"/>
        <v>-10852.1</v>
      </c>
      <c r="K221" s="4">
        <f t="shared" si="53"/>
        <v>-699.52</v>
      </c>
      <c r="L221" s="4">
        <f t="shared" si="53"/>
        <v>72273.48</v>
      </c>
      <c r="M221" s="4">
        <f t="shared" si="53"/>
        <v>1596.32</v>
      </c>
      <c r="N221" s="4">
        <f t="shared" si="53"/>
        <v>0</v>
      </c>
      <c r="O221" s="4">
        <f t="shared" si="53"/>
        <v>645.91</v>
      </c>
      <c r="P221" s="4">
        <f t="shared" si="53"/>
        <v>2904.41</v>
      </c>
      <c r="Q221" s="4">
        <f t="shared" si="53"/>
        <v>5845.23</v>
      </c>
      <c r="R221" s="4">
        <f t="shared" si="53"/>
        <v>0</v>
      </c>
      <c r="S221" s="4">
        <f t="shared" si="53"/>
        <v>212457.07</v>
      </c>
      <c r="T221">
        <v>219</v>
      </c>
    </row>
    <row r="222" spans="3:20" x14ac:dyDescent="0.25">
      <c r="T222">
        <v>220</v>
      </c>
    </row>
    <row r="223" spans="3:20" x14ac:dyDescent="0.25">
      <c r="E223" s="7" t="s">
        <v>589</v>
      </c>
      <c r="F223" s="31">
        <f>F220+F221</f>
        <v>116423.55</v>
      </c>
      <c r="G223" s="31">
        <f t="shared" ref="G223:S223" si="54">G220+G221</f>
        <v>627.9</v>
      </c>
      <c r="H223" s="31">
        <f t="shared" si="54"/>
        <v>8925.39</v>
      </c>
      <c r="I223" s="31">
        <f t="shared" si="54"/>
        <v>14766.5</v>
      </c>
      <c r="J223" s="31">
        <f t="shared" si="54"/>
        <v>-10852.1</v>
      </c>
      <c r="K223" s="31">
        <f t="shared" si="54"/>
        <v>-699.52</v>
      </c>
      <c r="L223" s="31">
        <f t="shared" si="54"/>
        <v>72273.48</v>
      </c>
      <c r="M223" s="31">
        <f t="shared" si="54"/>
        <v>1596.32</v>
      </c>
      <c r="N223" s="31">
        <f t="shared" si="54"/>
        <v>0</v>
      </c>
      <c r="O223" s="31">
        <f t="shared" si="54"/>
        <v>645.91</v>
      </c>
      <c r="P223" s="31">
        <f t="shared" si="54"/>
        <v>2904.41</v>
      </c>
      <c r="Q223" s="31">
        <f t="shared" si="54"/>
        <v>5845.23</v>
      </c>
      <c r="R223" s="31">
        <f t="shared" si="54"/>
        <v>0</v>
      </c>
      <c r="S223" s="31">
        <f t="shared" si="54"/>
        <v>212457.07</v>
      </c>
      <c r="T223">
        <v>221</v>
      </c>
    </row>
    <row r="224" spans="3:20" x14ac:dyDescent="0.25">
      <c r="N224" s="4"/>
      <c r="S224" s="4"/>
      <c r="T224">
        <v>222</v>
      </c>
    </row>
    <row r="225" spans="5:20" x14ac:dyDescent="0.25">
      <c r="E225" s="48" t="s">
        <v>588</v>
      </c>
      <c r="F225" s="30">
        <f>F4-F120</f>
        <v>0</v>
      </c>
      <c r="G225" s="30">
        <f t="shared" ref="G225:S225" si="55">G4-G120</f>
        <v>0</v>
      </c>
      <c r="H225" s="30">
        <f t="shared" si="55"/>
        <v>0</v>
      </c>
      <c r="I225" s="30">
        <f t="shared" si="55"/>
        <v>0</v>
      </c>
      <c r="J225" s="30">
        <f t="shared" si="55"/>
        <v>0</v>
      </c>
      <c r="K225" s="30">
        <f t="shared" si="55"/>
        <v>0</v>
      </c>
      <c r="L225" s="30">
        <f t="shared" si="55"/>
        <v>0</v>
      </c>
      <c r="M225" s="30">
        <f t="shared" si="55"/>
        <v>0</v>
      </c>
      <c r="N225" s="30">
        <f t="shared" si="55"/>
        <v>0</v>
      </c>
      <c r="O225" s="30">
        <f t="shared" si="55"/>
        <v>0</v>
      </c>
      <c r="P225" s="30">
        <f t="shared" si="55"/>
        <v>0</v>
      </c>
      <c r="Q225" s="30">
        <f t="shared" si="55"/>
        <v>0</v>
      </c>
      <c r="R225" s="30">
        <f t="shared" si="55"/>
        <v>0</v>
      </c>
      <c r="S225" s="30">
        <f t="shared" si="55"/>
        <v>0</v>
      </c>
      <c r="T225">
        <v>223</v>
      </c>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00B0F0"/>
  </sheetPr>
  <dimension ref="A1:F228"/>
  <sheetViews>
    <sheetView workbookViewId="0">
      <selection activeCell="E4" sqref="E4"/>
    </sheetView>
  </sheetViews>
  <sheetFormatPr baseColWidth="10" defaultColWidth="11.42578125" defaultRowHeight="15" x14ac:dyDescent="0.25"/>
  <cols>
    <col min="1" max="3" width="4.7109375" customWidth="1"/>
    <col min="4" max="4" width="9" customWidth="1"/>
    <col min="5" max="5" width="63.5703125" customWidth="1"/>
    <col min="6" max="6" width="22.7109375" customWidth="1"/>
  </cols>
  <sheetData>
    <row r="1" spans="1:6" ht="26.25" x14ac:dyDescent="0.4">
      <c r="A1" s="32" t="s">
        <v>857</v>
      </c>
      <c r="B1" s="7"/>
      <c r="C1" s="7"/>
      <c r="D1" s="7"/>
      <c r="E1" s="7"/>
    </row>
    <row r="3" spans="1:6" ht="15.75" thickBot="1" x14ac:dyDescent="0.3"/>
    <row r="4" spans="1:6" ht="15.75" thickBot="1" x14ac:dyDescent="0.3">
      <c r="A4" t="s">
        <v>749</v>
      </c>
      <c r="E4" s="142" t="s">
        <v>28</v>
      </c>
    </row>
    <row r="7" spans="1:6" ht="21" x14ac:dyDescent="0.35">
      <c r="A7" s="59">
        <v>1</v>
      </c>
      <c r="B7" s="59"/>
      <c r="C7" s="59"/>
      <c r="D7" s="59"/>
      <c r="E7" s="59" t="s">
        <v>239</v>
      </c>
      <c r="F7" s="143">
        <f>HLOOKUP($E$4,'Bourgeoisie bilan'!$F$3:$S$228,2,0)</f>
        <v>34168981.130000003</v>
      </c>
    </row>
    <row r="8" spans="1:6" x14ac:dyDescent="0.25">
      <c r="A8" s="7"/>
      <c r="B8" s="60">
        <v>10</v>
      </c>
      <c r="C8" s="60"/>
      <c r="D8" s="60"/>
      <c r="E8" s="60" t="s">
        <v>240</v>
      </c>
      <c r="F8" s="61">
        <f>HLOOKUP($E$4,'Bourgeoisie bilan'!$F$3:$S$228,2,0)</f>
        <v>34168981.130000003</v>
      </c>
    </row>
    <row r="9" spans="1:6" x14ac:dyDescent="0.25">
      <c r="C9" s="56">
        <v>100</v>
      </c>
      <c r="D9" s="56"/>
      <c r="E9" s="56" t="s">
        <v>241</v>
      </c>
      <c r="F9" s="57">
        <f>HLOOKUP($E$4,'Bourgeoisie bilan'!$F$3:$S$228,2,0)</f>
        <v>34168981.130000003</v>
      </c>
    </row>
    <row r="10" spans="1:6" x14ac:dyDescent="0.25">
      <c r="D10">
        <v>1000</v>
      </c>
      <c r="E10" t="s">
        <v>313</v>
      </c>
      <c r="F10" s="4">
        <f>HLOOKUP($E$4,'Bourgeoisie bilan'!$F$3:$S$228,5,0)</f>
        <v>2949.1</v>
      </c>
    </row>
    <row r="11" spans="1:6" x14ac:dyDescent="0.25">
      <c r="D11">
        <v>1001</v>
      </c>
      <c r="E11" t="s">
        <v>314</v>
      </c>
      <c r="F11" s="4">
        <f>HLOOKUP($E$4,'Bourgeoisie bilan'!$F$3:$S$228,6,0)</f>
        <v>16250.99</v>
      </c>
    </row>
    <row r="12" spans="1:6" x14ac:dyDescent="0.25">
      <c r="D12">
        <v>1002</v>
      </c>
      <c r="E12" t="s">
        <v>322</v>
      </c>
      <c r="F12" s="4">
        <f>HLOOKUP($E$4,'Bourgeoisie bilan'!$F$3:$S$228,7,0)</f>
        <v>1025860.45</v>
      </c>
    </row>
    <row r="13" spans="1:6" x14ac:dyDescent="0.25">
      <c r="D13">
        <v>1003</v>
      </c>
      <c r="E13" t="s">
        <v>315</v>
      </c>
      <c r="F13" s="4">
        <f>HLOOKUP($E$4,'Bourgeoisie bilan'!$F$3:$S$228,8,0)</f>
        <v>0</v>
      </c>
    </row>
    <row r="14" spans="1:6" x14ac:dyDescent="0.25">
      <c r="D14">
        <v>1004</v>
      </c>
      <c r="E14" t="s">
        <v>316</v>
      </c>
      <c r="F14" s="4">
        <f>HLOOKUP($E$4,'Bourgeoisie bilan'!$F$3:$S$228,9,0)</f>
        <v>0</v>
      </c>
    </row>
    <row r="15" spans="1:6" x14ac:dyDescent="0.25">
      <c r="D15">
        <v>1009</v>
      </c>
      <c r="E15" t="s">
        <v>317</v>
      </c>
      <c r="F15" s="4">
        <f>HLOOKUP($E$4,'Bourgeoisie bilan'!$F$3:$S$228,10,0)</f>
        <v>0</v>
      </c>
    </row>
    <row r="16" spans="1:6" x14ac:dyDescent="0.25">
      <c r="F16" s="4"/>
    </row>
    <row r="17" spans="3:6" x14ac:dyDescent="0.25">
      <c r="C17" s="56">
        <v>101</v>
      </c>
      <c r="D17" s="56"/>
      <c r="E17" s="56" t="s">
        <v>242</v>
      </c>
      <c r="F17" s="57">
        <f>HLOOKUP($E$4,'Bourgeoisie bilan'!$F$3:$S$228,12,0)</f>
        <v>3965421.84</v>
      </c>
    </row>
    <row r="18" spans="3:6" x14ac:dyDescent="0.25">
      <c r="D18">
        <v>1010</v>
      </c>
      <c r="E18" t="s">
        <v>318</v>
      </c>
      <c r="F18" s="4">
        <f>HLOOKUP($E$4,'Bourgeoisie bilan'!$F$3:$S$228,13,0)</f>
        <v>17848.84</v>
      </c>
    </row>
    <row r="19" spans="3:6" x14ac:dyDescent="0.25">
      <c r="D19">
        <v>1011</v>
      </c>
      <c r="E19" t="s">
        <v>399</v>
      </c>
      <c r="F19" s="4">
        <f>HLOOKUP($E$4,'Bourgeoisie bilan'!$F$3:$S$228,14,0)</f>
        <v>3947573</v>
      </c>
    </row>
    <row r="20" spans="3:6" x14ac:dyDescent="0.25">
      <c r="D20">
        <v>1012</v>
      </c>
      <c r="E20" t="s">
        <v>319</v>
      </c>
      <c r="F20" s="4">
        <f>HLOOKUP($E$4,'Bourgeoisie bilan'!$F$3:$S$228,15,0)</f>
        <v>0</v>
      </c>
    </row>
    <row r="21" spans="3:6" x14ac:dyDescent="0.25">
      <c r="D21">
        <v>1013</v>
      </c>
      <c r="E21" t="s">
        <v>320</v>
      </c>
      <c r="F21" s="4">
        <f>HLOOKUP($E$4,'Bourgeoisie bilan'!$F$3:$S$228,16,0)</f>
        <v>0</v>
      </c>
    </row>
    <row r="22" spans="3:6" x14ac:dyDescent="0.25">
      <c r="D22">
        <v>1014</v>
      </c>
      <c r="E22" t="s">
        <v>321</v>
      </c>
      <c r="F22" s="4">
        <f>HLOOKUP($E$4,'Bourgeoisie bilan'!$F$3:$S$228,17,0)</f>
        <v>0</v>
      </c>
    </row>
    <row r="23" spans="3:6" x14ac:dyDescent="0.25">
      <c r="D23">
        <v>1015</v>
      </c>
      <c r="E23" t="s">
        <v>323</v>
      </c>
      <c r="F23" s="4">
        <f>HLOOKUP($E$4,'Bourgeoisie bilan'!$F$3:$S$228,18,0)</f>
        <v>0</v>
      </c>
    </row>
    <row r="24" spans="3:6" x14ac:dyDescent="0.25">
      <c r="D24">
        <v>1016</v>
      </c>
      <c r="E24" t="s">
        <v>324</v>
      </c>
      <c r="F24" s="4">
        <f>HLOOKUP($E$4,'Bourgeoisie bilan'!$F$3:$S$228,19,0)</f>
        <v>0</v>
      </c>
    </row>
    <row r="25" spans="3:6" x14ac:dyDescent="0.25">
      <c r="D25">
        <v>1019</v>
      </c>
      <c r="E25" t="s">
        <v>325</v>
      </c>
      <c r="F25" s="4">
        <f>HLOOKUP($E$4,'Bourgeoisie bilan'!$F$3:$S$228,20,0)</f>
        <v>0</v>
      </c>
    </row>
    <row r="26" spans="3:6" x14ac:dyDescent="0.25">
      <c r="F26" s="4"/>
    </row>
    <row r="27" spans="3:6" x14ac:dyDescent="0.25">
      <c r="C27" s="56">
        <v>102</v>
      </c>
      <c r="D27" s="56"/>
      <c r="E27" s="56" t="s">
        <v>243</v>
      </c>
      <c r="F27" s="57">
        <f>HLOOKUP($E$4,'Bourgeoisie bilan'!$F$3:$S$228,22,0)</f>
        <v>0</v>
      </c>
    </row>
    <row r="28" spans="3:6" x14ac:dyDescent="0.25">
      <c r="D28">
        <v>1020</v>
      </c>
      <c r="E28" t="s">
        <v>326</v>
      </c>
      <c r="F28" s="4">
        <f>HLOOKUP($E$4,'Bourgeoisie bilan'!$F$3:$S$228,23,0)</f>
        <v>0</v>
      </c>
    </row>
    <row r="29" spans="3:6" x14ac:dyDescent="0.25">
      <c r="D29">
        <v>1022</v>
      </c>
      <c r="E29" t="s">
        <v>327</v>
      </c>
      <c r="F29" s="4">
        <f>HLOOKUP($E$4,'Bourgeoisie bilan'!$F$3:$S$228,24,0)</f>
        <v>0</v>
      </c>
    </row>
    <row r="30" spans="3:6" x14ac:dyDescent="0.25">
      <c r="D30">
        <v>1023</v>
      </c>
      <c r="E30" t="s">
        <v>328</v>
      </c>
      <c r="F30" s="4">
        <f>HLOOKUP($E$4,'Bourgeoisie bilan'!$F$3:$S$228,25,0)</f>
        <v>0</v>
      </c>
    </row>
    <row r="31" spans="3:6" x14ac:dyDescent="0.25">
      <c r="D31">
        <v>1029</v>
      </c>
      <c r="E31" t="s">
        <v>329</v>
      </c>
      <c r="F31" s="4">
        <f>HLOOKUP($E$4,'Bourgeoisie bilan'!$F$3:$S$228,26,0)</f>
        <v>0</v>
      </c>
    </row>
    <row r="32" spans="3:6" x14ac:dyDescent="0.25">
      <c r="F32" s="4"/>
    </row>
    <row r="33" spans="3:6" x14ac:dyDescent="0.25">
      <c r="C33" s="56">
        <v>104</v>
      </c>
      <c r="D33" s="56"/>
      <c r="E33" s="56" t="s">
        <v>244</v>
      </c>
      <c r="F33" s="57">
        <f>HLOOKUP($E$4,'Bourgeoisie bilan'!$F$3:$S$228,28,0)</f>
        <v>14774.55</v>
      </c>
    </row>
    <row r="34" spans="3:6" x14ac:dyDescent="0.25">
      <c r="D34">
        <v>1040</v>
      </c>
      <c r="E34" t="s">
        <v>61</v>
      </c>
      <c r="F34" s="4">
        <f>HLOOKUP($E$4,'Bourgeoisie bilan'!$F$3:$S$228,29,0)</f>
        <v>0</v>
      </c>
    </row>
    <row r="35" spans="3:6" x14ac:dyDescent="0.25">
      <c r="D35">
        <v>1041</v>
      </c>
      <c r="E35" t="s">
        <v>330</v>
      </c>
      <c r="F35" s="4">
        <f>HLOOKUP($E$4,'Bourgeoisie bilan'!$F$3:$S$228,30,0)</f>
        <v>0</v>
      </c>
    </row>
    <row r="36" spans="3:6" x14ac:dyDescent="0.25">
      <c r="D36">
        <v>1042</v>
      </c>
      <c r="E36" t="s">
        <v>331</v>
      </c>
      <c r="F36" s="4">
        <f>HLOOKUP($E$4,'Bourgeoisie bilan'!$F$3:$S$228,31,0)</f>
        <v>0</v>
      </c>
    </row>
    <row r="37" spans="3:6" x14ac:dyDescent="0.25">
      <c r="D37">
        <v>1043</v>
      </c>
      <c r="E37" t="s">
        <v>332</v>
      </c>
      <c r="F37" s="4">
        <f>HLOOKUP($E$4,'Bourgeoisie bilan'!$F$3:$S$228,32,0)</f>
        <v>0</v>
      </c>
    </row>
    <row r="38" spans="3:6" x14ac:dyDescent="0.25">
      <c r="D38">
        <v>1044</v>
      </c>
      <c r="E38" t="s">
        <v>333</v>
      </c>
      <c r="F38" s="4">
        <f>HLOOKUP($E$4,'Bourgeoisie bilan'!$F$3:$S$228,33,0)</f>
        <v>0</v>
      </c>
    </row>
    <row r="39" spans="3:6" x14ac:dyDescent="0.25">
      <c r="D39">
        <v>1045</v>
      </c>
      <c r="E39" t="s">
        <v>334</v>
      </c>
      <c r="F39" s="4">
        <f>HLOOKUP($E$4,'Bourgeoisie bilan'!$F$3:$S$228,34,0)</f>
        <v>0</v>
      </c>
    </row>
    <row r="40" spans="3:6" x14ac:dyDescent="0.25">
      <c r="D40">
        <v>1046</v>
      </c>
      <c r="E40" t="s">
        <v>335</v>
      </c>
      <c r="F40" s="4">
        <f>HLOOKUP($E$4,'Bourgeoisie bilan'!$F$3:$S$228,35,0)</f>
        <v>0</v>
      </c>
    </row>
    <row r="41" spans="3:6" x14ac:dyDescent="0.25">
      <c r="D41">
        <v>1049</v>
      </c>
      <c r="E41" t="s">
        <v>336</v>
      </c>
      <c r="F41" s="4">
        <f>HLOOKUP($E$4,'Bourgeoisie bilan'!$F$3:$S$228,36,0)</f>
        <v>14774.55</v>
      </c>
    </row>
    <row r="42" spans="3:6" x14ac:dyDescent="0.25">
      <c r="F42" s="4"/>
    </row>
    <row r="43" spans="3:6" x14ac:dyDescent="0.25">
      <c r="C43" s="56">
        <v>106</v>
      </c>
      <c r="D43" s="56"/>
      <c r="E43" s="56" t="s">
        <v>245</v>
      </c>
      <c r="F43" s="57">
        <f>HLOOKUP($E$4,'Bourgeoisie bilan'!$F$3:$S$228,38,0)</f>
        <v>0</v>
      </c>
    </row>
    <row r="44" spans="3:6" x14ac:dyDescent="0.25">
      <c r="D44">
        <v>1060</v>
      </c>
      <c r="E44" t="s">
        <v>337</v>
      </c>
      <c r="F44" s="4">
        <f>HLOOKUP($E$4,'Bourgeoisie bilan'!$F$3:$S$228,39,0)</f>
        <v>0</v>
      </c>
    </row>
    <row r="45" spans="3:6" x14ac:dyDescent="0.25">
      <c r="D45">
        <v>1061</v>
      </c>
      <c r="E45" t="s">
        <v>338</v>
      </c>
      <c r="F45" s="4">
        <f>HLOOKUP($E$4,'Bourgeoisie bilan'!$F$3:$S$228,40,0)</f>
        <v>0</v>
      </c>
    </row>
    <row r="46" spans="3:6" x14ac:dyDescent="0.25">
      <c r="D46">
        <v>1062</v>
      </c>
      <c r="E46" t="s">
        <v>339</v>
      </c>
      <c r="F46" s="4">
        <f>HLOOKUP($E$4,'Bourgeoisie bilan'!$F$3:$S$228,41,0)</f>
        <v>0</v>
      </c>
    </row>
    <row r="47" spans="3:6" x14ac:dyDescent="0.25">
      <c r="D47">
        <v>1063</v>
      </c>
      <c r="E47" t="s">
        <v>340</v>
      </c>
      <c r="F47" s="4">
        <f>HLOOKUP($E$4,'Bourgeoisie bilan'!$F$3:$S$228,42,0)</f>
        <v>0</v>
      </c>
    </row>
    <row r="48" spans="3:6" x14ac:dyDescent="0.25">
      <c r="D48">
        <v>1068</v>
      </c>
      <c r="E48" t="s">
        <v>341</v>
      </c>
      <c r="F48" s="4">
        <f>HLOOKUP($E$4,'Bourgeoisie bilan'!$F$3:$S$228,43,0)</f>
        <v>0</v>
      </c>
    </row>
    <row r="49" spans="3:6" x14ac:dyDescent="0.25">
      <c r="F49" s="4"/>
    </row>
    <row r="50" spans="3:6" x14ac:dyDescent="0.25">
      <c r="C50" s="56">
        <v>107</v>
      </c>
      <c r="D50" s="56"/>
      <c r="E50" s="56" t="s">
        <v>346</v>
      </c>
      <c r="F50" s="57">
        <f>HLOOKUP($E$4,'Bourgeoisie bilan'!$F$3:$S$228,45,0)</f>
        <v>5200</v>
      </c>
    </row>
    <row r="51" spans="3:6" x14ac:dyDescent="0.25">
      <c r="D51">
        <v>1070</v>
      </c>
      <c r="E51" t="s">
        <v>342</v>
      </c>
      <c r="F51" s="4">
        <f>HLOOKUP($E$4,'Bourgeoisie bilan'!$F$3:$S$228,46,0)</f>
        <v>5200</v>
      </c>
    </row>
    <row r="52" spans="3:6" x14ac:dyDescent="0.25">
      <c r="D52">
        <v>1071</v>
      </c>
      <c r="E52" t="s">
        <v>343</v>
      </c>
      <c r="F52" s="4">
        <f>HLOOKUP($E$4,'Bourgeoisie bilan'!$F$3:$S$228,47,0)</f>
        <v>0</v>
      </c>
    </row>
    <row r="53" spans="3:6" x14ac:dyDescent="0.25">
      <c r="D53">
        <v>1072</v>
      </c>
      <c r="E53" t="s">
        <v>344</v>
      </c>
      <c r="F53" s="4">
        <f>HLOOKUP($E$4,'Bourgeoisie bilan'!$F$3:$S$228,48,0)</f>
        <v>0</v>
      </c>
    </row>
    <row r="54" spans="3:6" x14ac:dyDescent="0.25">
      <c r="D54">
        <v>1079</v>
      </c>
      <c r="E54" t="s">
        <v>345</v>
      </c>
      <c r="F54" s="4">
        <f>HLOOKUP($E$4,'Bourgeoisie bilan'!$F$3:$S$228,49,0)</f>
        <v>0</v>
      </c>
    </row>
    <row r="55" spans="3:6" x14ac:dyDescent="0.25">
      <c r="F55" s="4"/>
    </row>
    <row r="56" spans="3:6" x14ac:dyDescent="0.25">
      <c r="C56" s="56">
        <v>108</v>
      </c>
      <c r="D56" s="56"/>
      <c r="E56" s="56" t="s">
        <v>246</v>
      </c>
      <c r="F56" s="57">
        <f>HLOOKUP($E$4,'Bourgeoisie bilan'!$F$3:$S$228,51,0)</f>
        <v>26926350</v>
      </c>
    </row>
    <row r="57" spans="3:6" x14ac:dyDescent="0.25">
      <c r="D57">
        <v>1080</v>
      </c>
      <c r="E57" t="s">
        <v>347</v>
      </c>
      <c r="F57" s="4">
        <f>HLOOKUP($E$4,'Bourgeoisie bilan'!$F$3:$S$228,52,0)</f>
        <v>21626550</v>
      </c>
    </row>
    <row r="58" spans="3:6" x14ac:dyDescent="0.25">
      <c r="D58">
        <v>1084</v>
      </c>
      <c r="E58" t="s">
        <v>348</v>
      </c>
      <c r="F58" s="4">
        <f>HLOOKUP($E$4,'Bourgeoisie bilan'!$F$3:$S$228,53,0)</f>
        <v>5299800</v>
      </c>
    </row>
    <row r="59" spans="3:6" x14ac:dyDescent="0.25">
      <c r="D59">
        <v>1086</v>
      </c>
      <c r="E59" t="s">
        <v>349</v>
      </c>
      <c r="F59" s="4">
        <f>HLOOKUP($E$4,'Bourgeoisie bilan'!$F$3:$S$228,54,0)</f>
        <v>0</v>
      </c>
    </row>
    <row r="60" spans="3:6" x14ac:dyDescent="0.25">
      <c r="D60">
        <v>1087</v>
      </c>
      <c r="E60" t="s">
        <v>350</v>
      </c>
      <c r="F60" s="4">
        <f>HLOOKUP($E$4,'Bourgeoisie bilan'!$F$3:$S$228,55,0)</f>
        <v>0</v>
      </c>
    </row>
    <row r="61" spans="3:6" x14ac:dyDescent="0.25">
      <c r="D61">
        <v>1088</v>
      </c>
      <c r="E61" t="s">
        <v>351</v>
      </c>
      <c r="F61" s="4">
        <f>HLOOKUP($E$4,'Bourgeoisie bilan'!$F$3:$S$228,56,0)</f>
        <v>0</v>
      </c>
    </row>
    <row r="62" spans="3:6" x14ac:dyDescent="0.25">
      <c r="D62">
        <v>1089</v>
      </c>
      <c r="E62" t="s">
        <v>352</v>
      </c>
      <c r="F62" s="4">
        <f>HLOOKUP($E$4,'Bourgeoisie bilan'!$F$3:$S$228,57,0)</f>
        <v>0</v>
      </c>
    </row>
    <row r="63" spans="3:6" x14ac:dyDescent="0.25">
      <c r="F63" s="4"/>
    </row>
    <row r="64" spans="3:6" x14ac:dyDescent="0.25">
      <c r="C64" s="56">
        <v>109</v>
      </c>
      <c r="D64" s="56"/>
      <c r="E64" s="56" t="s">
        <v>353</v>
      </c>
      <c r="F64" s="57">
        <f>HLOOKUP($E$4,'Bourgeoisie bilan'!$F$3:$S$228,59,0)</f>
        <v>0</v>
      </c>
    </row>
    <row r="65" spans="2:6" x14ac:dyDescent="0.25">
      <c r="D65">
        <v>1090</v>
      </c>
      <c r="E65" t="s">
        <v>353</v>
      </c>
      <c r="F65" s="4">
        <f>HLOOKUP($E$4,'Bourgeoisie bilan'!$F$3:$S$228,60,0)</f>
        <v>0</v>
      </c>
    </row>
    <row r="66" spans="2:6" x14ac:dyDescent="0.25">
      <c r="D66">
        <v>1091</v>
      </c>
      <c r="E66" t="s">
        <v>354</v>
      </c>
      <c r="F66" s="4">
        <f>HLOOKUP($E$4,'Bourgeoisie bilan'!$F$3:$S$228,61,0)</f>
        <v>0</v>
      </c>
    </row>
    <row r="67" spans="2:6" x14ac:dyDescent="0.25">
      <c r="D67">
        <v>1092</v>
      </c>
      <c r="E67" t="s">
        <v>355</v>
      </c>
      <c r="F67" s="4">
        <f>HLOOKUP($E$4,'Bourgeoisie bilan'!$F$3:$S$228,62,0)</f>
        <v>0</v>
      </c>
    </row>
    <row r="68" spans="2:6" x14ac:dyDescent="0.25">
      <c r="D68">
        <v>1093</v>
      </c>
      <c r="E68" t="s">
        <v>356</v>
      </c>
      <c r="F68" s="4">
        <f>HLOOKUP($E$4,'Bourgeoisie bilan'!$F$3:$S$228,63,0)</f>
        <v>0</v>
      </c>
    </row>
    <row r="69" spans="2:6" x14ac:dyDescent="0.25">
      <c r="F69" s="4"/>
    </row>
    <row r="70" spans="2:6" x14ac:dyDescent="0.25">
      <c r="B70" s="62">
        <v>14</v>
      </c>
      <c r="C70" s="62"/>
      <c r="D70" s="62"/>
      <c r="E70" s="62" t="s">
        <v>247</v>
      </c>
      <c r="F70" s="63">
        <f>HLOOKUP($E$4,'Bourgeoisie bilan'!$F$3:$S$228,65,0)</f>
        <v>2212174.2000000002</v>
      </c>
    </row>
    <row r="71" spans="2:6" x14ac:dyDescent="0.25">
      <c r="C71" s="56">
        <v>140</v>
      </c>
      <c r="D71" s="56"/>
      <c r="E71" s="56" t="s">
        <v>249</v>
      </c>
      <c r="F71" s="57">
        <f>HLOOKUP($E$4,'Bourgeoisie bilan'!$F$3:$S$228,66,0)</f>
        <v>2144171.2000000002</v>
      </c>
    </row>
    <row r="72" spans="2:6" x14ac:dyDescent="0.25">
      <c r="D72">
        <v>1400</v>
      </c>
      <c r="E72" t="s">
        <v>357</v>
      </c>
      <c r="F72" s="4">
        <f>HLOOKUP($E$4,'Bourgeoisie bilan'!$F$3:$S$228,67,0)</f>
        <v>764001</v>
      </c>
    </row>
    <row r="73" spans="2:6" x14ac:dyDescent="0.25">
      <c r="D73">
        <v>1401</v>
      </c>
      <c r="E73" t="s">
        <v>358</v>
      </c>
      <c r="F73" s="4">
        <f>HLOOKUP($E$4,'Bourgeoisie bilan'!$F$3:$S$228,68,0)</f>
        <v>1</v>
      </c>
    </row>
    <row r="74" spans="2:6" x14ac:dyDescent="0.25">
      <c r="D74">
        <v>1402</v>
      </c>
      <c r="E74" t="s">
        <v>359</v>
      </c>
      <c r="F74" s="4">
        <f>HLOOKUP($E$4,'Bourgeoisie bilan'!$F$3:$S$228,69,0)</f>
        <v>0</v>
      </c>
    </row>
    <row r="75" spans="2:6" x14ac:dyDescent="0.25">
      <c r="D75">
        <v>1403</v>
      </c>
      <c r="E75" t="s">
        <v>360</v>
      </c>
      <c r="F75" s="4">
        <f>HLOOKUP($E$4,'Bourgeoisie bilan'!$F$3:$S$228,70,0)</f>
        <v>0</v>
      </c>
    </row>
    <row r="76" spans="2:6" x14ac:dyDescent="0.25">
      <c r="D76">
        <v>1404</v>
      </c>
      <c r="E76" t="s">
        <v>361</v>
      </c>
      <c r="F76" s="4">
        <f>HLOOKUP($E$4,'Bourgeoisie bilan'!$F$3:$S$228,71,0)</f>
        <v>37329.199999999997</v>
      </c>
    </row>
    <row r="77" spans="2:6" x14ac:dyDescent="0.25">
      <c r="D77">
        <v>1405</v>
      </c>
      <c r="E77" t="s">
        <v>362</v>
      </c>
      <c r="F77" s="4">
        <f>HLOOKUP($E$4,'Bourgeoisie bilan'!$F$3:$S$228,72,0)</f>
        <v>1342840</v>
      </c>
    </row>
    <row r="78" spans="2:6" x14ac:dyDescent="0.25">
      <c r="D78">
        <v>1406</v>
      </c>
      <c r="E78" t="s">
        <v>363</v>
      </c>
      <c r="F78" s="4">
        <f>HLOOKUP($E$4,'Bourgeoisie bilan'!$F$3:$S$228,73,0)</f>
        <v>0</v>
      </c>
    </row>
    <row r="79" spans="2:6" x14ac:dyDescent="0.25">
      <c r="D79">
        <v>1407</v>
      </c>
      <c r="E79" t="s">
        <v>364</v>
      </c>
      <c r="F79" s="4">
        <f>HLOOKUP($E$4,'Bourgeoisie bilan'!$F$3:$S$228,74,0)</f>
        <v>0</v>
      </c>
    </row>
    <row r="80" spans="2:6" x14ac:dyDescent="0.25">
      <c r="D80">
        <v>1409</v>
      </c>
      <c r="E80" t="s">
        <v>365</v>
      </c>
      <c r="F80" s="4">
        <f>HLOOKUP($E$4,'Bourgeoisie bilan'!$F$3:$S$228,75,0)</f>
        <v>0</v>
      </c>
    </row>
    <row r="81" spans="3:6" x14ac:dyDescent="0.25">
      <c r="F81" s="4"/>
    </row>
    <row r="82" spans="3:6" x14ac:dyDescent="0.25">
      <c r="C82" s="56">
        <v>142</v>
      </c>
      <c r="D82" s="56"/>
      <c r="E82" s="56" t="s">
        <v>581</v>
      </c>
      <c r="F82" s="57">
        <f>HLOOKUP($E$4,'Bourgeoisie bilan'!$F$3:$S$228,77,0)</f>
        <v>0</v>
      </c>
    </row>
    <row r="83" spans="3:6" x14ac:dyDescent="0.25">
      <c r="D83">
        <v>1420</v>
      </c>
      <c r="E83" t="s">
        <v>366</v>
      </c>
      <c r="F83" s="4">
        <f>HLOOKUP($E$4,'Bourgeoisie bilan'!$F$3:$S$228,78,0)</f>
        <v>0</v>
      </c>
    </row>
    <row r="84" spans="3:6" x14ac:dyDescent="0.25">
      <c r="D84">
        <v>1421</v>
      </c>
      <c r="E84" t="s">
        <v>367</v>
      </c>
      <c r="F84" s="4">
        <f>HLOOKUP($E$4,'Bourgeoisie bilan'!$F$3:$S$228,79,0)</f>
        <v>0</v>
      </c>
    </row>
    <row r="85" spans="3:6" x14ac:dyDescent="0.25">
      <c r="D85">
        <v>1427</v>
      </c>
      <c r="E85" t="s">
        <v>580</v>
      </c>
      <c r="F85" s="4">
        <f>HLOOKUP($E$4,'Bourgeoisie bilan'!$F$3:$S$228,80,0)</f>
        <v>0</v>
      </c>
    </row>
    <row r="86" spans="3:6" x14ac:dyDescent="0.25">
      <c r="D86">
        <v>1429</v>
      </c>
      <c r="E86" t="s">
        <v>465</v>
      </c>
      <c r="F86" s="4">
        <f>HLOOKUP($E$4,'Bourgeoisie bilan'!$F$3:$S$228,81,0)</f>
        <v>0</v>
      </c>
    </row>
    <row r="87" spans="3:6" x14ac:dyDescent="0.25">
      <c r="F87" s="4"/>
    </row>
    <row r="88" spans="3:6" x14ac:dyDescent="0.25">
      <c r="C88" s="56">
        <v>144</v>
      </c>
      <c r="D88" s="56"/>
      <c r="E88" s="56" t="s">
        <v>250</v>
      </c>
      <c r="F88" s="57">
        <f>HLOOKUP($E$4,'Bourgeoisie bilan'!$F$3:$S$228,83,0)</f>
        <v>0</v>
      </c>
    </row>
    <row r="89" spans="3:6" x14ac:dyDescent="0.25">
      <c r="D89">
        <v>1440</v>
      </c>
      <c r="E89" t="s">
        <v>368</v>
      </c>
      <c r="F89" s="4">
        <f>HLOOKUP($E$4,'Bourgeoisie bilan'!$F$3:$S$228,83,0)</f>
        <v>0</v>
      </c>
    </row>
    <row r="90" spans="3:6" x14ac:dyDescent="0.25">
      <c r="D90">
        <v>1441</v>
      </c>
      <c r="E90" t="s">
        <v>370</v>
      </c>
      <c r="F90" s="4">
        <f>HLOOKUP($E$4,'Bourgeoisie bilan'!$F$3:$S$228,85,0)</f>
        <v>0</v>
      </c>
    </row>
    <row r="91" spans="3:6" x14ac:dyDescent="0.25">
      <c r="D91">
        <v>1442</v>
      </c>
      <c r="E91" t="s">
        <v>369</v>
      </c>
      <c r="F91" s="4">
        <f>HLOOKUP($E$4,'Bourgeoisie bilan'!$F$3:$S$228,86,0)</f>
        <v>0</v>
      </c>
    </row>
    <row r="92" spans="3:6" x14ac:dyDescent="0.25">
      <c r="D92">
        <v>1443</v>
      </c>
      <c r="E92" t="s">
        <v>371</v>
      </c>
      <c r="F92" s="4">
        <f>HLOOKUP($E$4,'Bourgeoisie bilan'!$F$3:$S$228,87,0)</f>
        <v>0</v>
      </c>
    </row>
    <row r="93" spans="3:6" x14ac:dyDescent="0.25">
      <c r="D93">
        <v>1444</v>
      </c>
      <c r="E93" t="s">
        <v>372</v>
      </c>
      <c r="F93" s="4">
        <f>HLOOKUP($E$4,'Bourgeoisie bilan'!$F$3:$S$228,88,0)</f>
        <v>0</v>
      </c>
    </row>
    <row r="94" spans="3:6" x14ac:dyDescent="0.25">
      <c r="D94">
        <v>1445</v>
      </c>
      <c r="E94" t="s">
        <v>373</v>
      </c>
      <c r="F94" s="4">
        <f>HLOOKUP($E$4,'Bourgeoisie bilan'!$F$3:$S$228,89,0)</f>
        <v>0</v>
      </c>
    </row>
    <row r="95" spans="3:6" x14ac:dyDescent="0.25">
      <c r="D95">
        <v>1446</v>
      </c>
      <c r="E95" t="s">
        <v>374</v>
      </c>
      <c r="F95" s="4">
        <f>HLOOKUP($E$4,'Bourgeoisie bilan'!$F$3:$S$228,90,0)</f>
        <v>0</v>
      </c>
    </row>
    <row r="96" spans="3:6" x14ac:dyDescent="0.25">
      <c r="D96">
        <v>1447</v>
      </c>
      <c r="E96" t="s">
        <v>375</v>
      </c>
      <c r="F96" s="4">
        <f>HLOOKUP($E$4,'Bourgeoisie bilan'!$F$3:$S$228,91,0)</f>
        <v>0</v>
      </c>
    </row>
    <row r="97" spans="3:6" x14ac:dyDescent="0.25">
      <c r="D97">
        <v>1448</v>
      </c>
      <c r="E97" t="s">
        <v>376</v>
      </c>
      <c r="F97" s="4">
        <f>HLOOKUP($E$4,'Bourgeoisie bilan'!$F$3:$S$228,92,0)</f>
        <v>0</v>
      </c>
    </row>
    <row r="98" spans="3:6" x14ac:dyDescent="0.25">
      <c r="F98" s="4"/>
    </row>
    <row r="99" spans="3:6" x14ac:dyDescent="0.25">
      <c r="C99" s="56">
        <v>145</v>
      </c>
      <c r="D99" s="56"/>
      <c r="E99" s="56" t="s">
        <v>379</v>
      </c>
      <c r="F99" s="57">
        <f>HLOOKUP($E$4,'Bourgeoisie bilan'!$F$3:$S$228,94,0)</f>
        <v>68003</v>
      </c>
    </row>
    <row r="100" spans="3:6" x14ac:dyDescent="0.25">
      <c r="D100">
        <v>1450</v>
      </c>
      <c r="E100" t="s">
        <v>378</v>
      </c>
      <c r="F100" s="4">
        <f>HLOOKUP($E$4,'Bourgeoisie bilan'!$F$3:$S$228,95,0)</f>
        <v>0</v>
      </c>
    </row>
    <row r="101" spans="3:6" x14ac:dyDescent="0.25">
      <c r="D101">
        <v>1451</v>
      </c>
      <c r="E101" t="s">
        <v>377</v>
      </c>
      <c r="F101" s="4">
        <f>HLOOKUP($E$4,'Bourgeoisie bilan'!$F$3:$S$228,96,0)</f>
        <v>0</v>
      </c>
    </row>
    <row r="102" spans="3:6" x14ac:dyDescent="0.25">
      <c r="D102">
        <v>1452</v>
      </c>
      <c r="E102" t="s">
        <v>380</v>
      </c>
      <c r="F102" s="4">
        <f>HLOOKUP($E$4,'Bourgeoisie bilan'!$F$3:$S$228,97,0)</f>
        <v>0</v>
      </c>
    </row>
    <row r="103" spans="3:6" x14ac:dyDescent="0.25">
      <c r="D103">
        <v>1453</v>
      </c>
      <c r="E103" t="s">
        <v>381</v>
      </c>
      <c r="F103" s="4">
        <f>HLOOKUP($E$4,'Bourgeoisie bilan'!$F$3:$S$228,98,0)</f>
        <v>0</v>
      </c>
    </row>
    <row r="104" spans="3:6" x14ac:dyDescent="0.25">
      <c r="D104">
        <v>1454</v>
      </c>
      <c r="E104" t="s">
        <v>382</v>
      </c>
      <c r="F104" s="4">
        <f>HLOOKUP($E$4,'Bourgeoisie bilan'!$F$3:$S$228,99,0)</f>
        <v>0</v>
      </c>
    </row>
    <row r="105" spans="3:6" x14ac:dyDescent="0.25">
      <c r="D105">
        <v>1455</v>
      </c>
      <c r="E105" t="s">
        <v>383</v>
      </c>
      <c r="F105" s="4">
        <f>HLOOKUP($E$4,'Bourgeoisie bilan'!$F$3:$S$228,100,0)</f>
        <v>68003</v>
      </c>
    </row>
    <row r="106" spans="3:6" x14ac:dyDescent="0.25">
      <c r="D106">
        <v>1456</v>
      </c>
      <c r="E106" t="s">
        <v>384</v>
      </c>
      <c r="F106" s="4">
        <f>HLOOKUP($E$4,'Bourgeoisie bilan'!$F$3:$S$228,101,0)</f>
        <v>0</v>
      </c>
    </row>
    <row r="107" spans="3:6" x14ac:dyDescent="0.25">
      <c r="D107">
        <v>1457</v>
      </c>
      <c r="E107" t="s">
        <v>385</v>
      </c>
      <c r="F107" s="4">
        <f>HLOOKUP($E$4,'Bourgeoisie bilan'!$F$3:$S$228,102,0)</f>
        <v>0</v>
      </c>
    </row>
    <row r="108" spans="3:6" x14ac:dyDescent="0.25">
      <c r="D108">
        <v>1458</v>
      </c>
      <c r="E108" t="s">
        <v>386</v>
      </c>
      <c r="F108" s="4">
        <f>HLOOKUP($E$4,'Bourgeoisie bilan'!$F$3:$S$228,103,0)</f>
        <v>0</v>
      </c>
    </row>
    <row r="109" spans="3:6" x14ac:dyDescent="0.25">
      <c r="F109" s="4"/>
    </row>
    <row r="110" spans="3:6" x14ac:dyDescent="0.25">
      <c r="C110" s="56">
        <v>146</v>
      </c>
      <c r="D110" s="56"/>
      <c r="E110" s="56" t="s">
        <v>397</v>
      </c>
      <c r="F110" s="57">
        <f>HLOOKUP($E$4,'Bourgeoisie bilan'!$F$3:$S$228,105,0)</f>
        <v>0</v>
      </c>
    </row>
    <row r="111" spans="3:6" x14ac:dyDescent="0.25">
      <c r="D111">
        <v>1460</v>
      </c>
      <c r="E111" t="s">
        <v>394</v>
      </c>
      <c r="F111" s="4">
        <f>HLOOKUP($E$4,'Bourgeoisie bilan'!$F$3:$S$228,106,0)</f>
        <v>0</v>
      </c>
    </row>
    <row r="112" spans="3:6" x14ac:dyDescent="0.25">
      <c r="D112">
        <v>1461</v>
      </c>
      <c r="E112" t="s">
        <v>395</v>
      </c>
      <c r="F112" s="4">
        <f>HLOOKUP($E$4,'Bourgeoisie bilan'!$F$3:$S$228,107,0)</f>
        <v>0</v>
      </c>
    </row>
    <row r="113" spans="1:6" x14ac:dyDescent="0.25">
      <c r="D113">
        <v>1462</v>
      </c>
      <c r="E113" t="s">
        <v>387</v>
      </c>
      <c r="F113" s="4">
        <f>HLOOKUP($E$4,'Bourgeoisie bilan'!$F$3:$S$228,108,0)</f>
        <v>0</v>
      </c>
    </row>
    <row r="114" spans="1:6" x14ac:dyDescent="0.25">
      <c r="D114">
        <v>1463</v>
      </c>
      <c r="E114" t="s">
        <v>388</v>
      </c>
      <c r="F114" s="4">
        <f>HLOOKUP($E$4,'Bourgeoisie bilan'!$F$3:$S$228,109,0)</f>
        <v>0</v>
      </c>
    </row>
    <row r="115" spans="1:6" x14ac:dyDescent="0.25">
      <c r="D115">
        <v>1464</v>
      </c>
      <c r="E115" t="s">
        <v>389</v>
      </c>
      <c r="F115" s="4">
        <f>HLOOKUP($E$4,'Bourgeoisie bilan'!$F$3:$S$228,110,0)</f>
        <v>0</v>
      </c>
    </row>
    <row r="116" spans="1:6" x14ac:dyDescent="0.25">
      <c r="D116">
        <v>1465</v>
      </c>
      <c r="E116" t="s">
        <v>390</v>
      </c>
      <c r="F116" s="4">
        <f>HLOOKUP($E$4,'Bourgeoisie bilan'!$F$3:$S$228,111,0)</f>
        <v>0</v>
      </c>
    </row>
    <row r="117" spans="1:6" x14ac:dyDescent="0.25">
      <c r="D117">
        <v>1466</v>
      </c>
      <c r="E117" t="s">
        <v>396</v>
      </c>
      <c r="F117" s="4">
        <f>HLOOKUP($E$4,'Bourgeoisie bilan'!$F$3:$S$228,112,0)</f>
        <v>0</v>
      </c>
    </row>
    <row r="118" spans="1:6" x14ac:dyDescent="0.25">
      <c r="D118">
        <v>1467</v>
      </c>
      <c r="E118" t="s">
        <v>391</v>
      </c>
      <c r="F118" s="4">
        <f>HLOOKUP($E$4,'Bourgeoisie bilan'!$F$3:$S$228,113,0)</f>
        <v>0</v>
      </c>
    </row>
    <row r="119" spans="1:6" x14ac:dyDescent="0.25">
      <c r="D119">
        <v>1468</v>
      </c>
      <c r="E119" t="s">
        <v>392</v>
      </c>
      <c r="F119" s="4">
        <f>HLOOKUP($E$4,'Bourgeoisie bilan'!$F$3:$S$228,114,0)</f>
        <v>0</v>
      </c>
    </row>
    <row r="120" spans="1:6" x14ac:dyDescent="0.25">
      <c r="D120">
        <v>1469</v>
      </c>
      <c r="E120" t="s">
        <v>393</v>
      </c>
      <c r="F120" s="4">
        <f>HLOOKUP($E$4,'Bourgeoisie bilan'!$F$3:$S$228,115,0)</f>
        <v>0</v>
      </c>
    </row>
    <row r="121" spans="1:6" x14ac:dyDescent="0.25">
      <c r="F121" s="4"/>
    </row>
    <row r="122" spans="1:6" x14ac:dyDescent="0.25">
      <c r="F122" s="4"/>
    </row>
    <row r="123" spans="1:6" ht="21" x14ac:dyDescent="0.35">
      <c r="A123" s="64">
        <v>2</v>
      </c>
      <c r="B123" s="64"/>
      <c r="C123" s="64"/>
      <c r="D123" s="64"/>
      <c r="E123" s="64" t="s">
        <v>251</v>
      </c>
      <c r="F123" s="144">
        <f>HLOOKUP($E$4,'Bourgeoisie bilan'!$F$3:$S$228,118,0)</f>
        <v>34168981.130000003</v>
      </c>
    </row>
    <row r="124" spans="1:6" x14ac:dyDescent="0.25">
      <c r="A124" s="7"/>
      <c r="B124" s="68">
        <v>20</v>
      </c>
      <c r="C124" s="68"/>
      <c r="D124" s="68"/>
      <c r="E124" s="68" t="s">
        <v>252</v>
      </c>
      <c r="F124" s="69">
        <f>HLOOKUP($E$4,'Bourgeoisie bilan'!$F$3:$S$228,119,0)</f>
        <v>4196382.0999999996</v>
      </c>
    </row>
    <row r="125" spans="1:6" x14ac:dyDescent="0.25">
      <c r="C125" s="66">
        <v>200</v>
      </c>
      <c r="D125" s="66"/>
      <c r="E125" s="66" t="s">
        <v>253</v>
      </c>
      <c r="F125" s="67">
        <f>HLOOKUP($E$4,'Bourgeoisie bilan'!$F$3:$S$228,120,0)</f>
        <v>188444.6</v>
      </c>
    </row>
    <row r="126" spans="1:6" x14ac:dyDescent="0.25">
      <c r="D126">
        <v>2000</v>
      </c>
      <c r="E126" t="s">
        <v>398</v>
      </c>
      <c r="F126" s="4">
        <f>HLOOKUP($E$4,'Bourgeoisie bilan'!$F$3:$S$228,121,0)</f>
        <v>179945.85</v>
      </c>
    </row>
    <row r="127" spans="1:6" x14ac:dyDescent="0.25">
      <c r="D127">
        <v>2001</v>
      </c>
      <c r="E127" t="s">
        <v>399</v>
      </c>
      <c r="F127" s="4">
        <f>HLOOKUP($E$4,'Bourgeoisie bilan'!$F$3:$S$228,122,0)</f>
        <v>0</v>
      </c>
    </row>
    <row r="128" spans="1:6" x14ac:dyDescent="0.25">
      <c r="D128">
        <v>2002</v>
      </c>
      <c r="E128" t="s">
        <v>400</v>
      </c>
      <c r="F128" s="4">
        <f>HLOOKUP($E$4,'Bourgeoisie bilan'!$F$3:$S$228,123,0)</f>
        <v>0</v>
      </c>
    </row>
    <row r="129" spans="3:6" x14ac:dyDescent="0.25">
      <c r="D129">
        <v>2003</v>
      </c>
      <c r="E129" t="s">
        <v>401</v>
      </c>
      <c r="F129" s="4">
        <f>HLOOKUP($E$4,'Bourgeoisie bilan'!$F$3:$S$228,124,0)</f>
        <v>6398.75</v>
      </c>
    </row>
    <row r="130" spans="3:6" x14ac:dyDescent="0.25">
      <c r="D130">
        <v>2004</v>
      </c>
      <c r="E130" t="s">
        <v>402</v>
      </c>
      <c r="F130" s="4">
        <f>HLOOKUP($E$4,'Bourgeoisie bilan'!$F$3:$S$228,125,0)</f>
        <v>0</v>
      </c>
    </row>
    <row r="131" spans="3:6" x14ac:dyDescent="0.25">
      <c r="D131">
        <v>2005</v>
      </c>
      <c r="E131" t="s">
        <v>323</v>
      </c>
      <c r="F131" s="4">
        <f>HLOOKUP($E$4,'Bourgeoisie bilan'!$F$3:$S$228,126,0)</f>
        <v>0</v>
      </c>
    </row>
    <row r="132" spans="3:6" x14ac:dyDescent="0.25">
      <c r="D132">
        <v>2006</v>
      </c>
      <c r="E132" t="s">
        <v>447</v>
      </c>
      <c r="F132" s="4">
        <f>HLOOKUP($E$4,'Bourgeoisie bilan'!$F$3:$S$228,127,0)</f>
        <v>2100</v>
      </c>
    </row>
    <row r="133" spans="3:6" x14ac:dyDescent="0.25">
      <c r="D133">
        <v>2009</v>
      </c>
      <c r="E133" t="s">
        <v>404</v>
      </c>
      <c r="F133" s="4">
        <f>HLOOKUP($E$4,'Bourgeoisie bilan'!$F$3:$S$228,128,0)</f>
        <v>0</v>
      </c>
    </row>
    <row r="134" spans="3:6" x14ac:dyDescent="0.25">
      <c r="F134" s="4"/>
    </row>
    <row r="135" spans="3:6" x14ac:dyDescent="0.25">
      <c r="C135" s="66">
        <v>201</v>
      </c>
      <c r="D135" s="66"/>
      <c r="E135" s="66" t="s">
        <v>254</v>
      </c>
      <c r="F135" s="67">
        <f>HLOOKUP($E$4,'Bourgeoisie bilan'!$F$3:$S$228,130,0)</f>
        <v>0</v>
      </c>
    </row>
    <row r="136" spans="3:6" x14ac:dyDescent="0.25">
      <c r="D136">
        <v>2010</v>
      </c>
      <c r="E136" t="s">
        <v>405</v>
      </c>
      <c r="F136" s="4">
        <f>HLOOKUP($E$4,'Bourgeoisie bilan'!$F$3:$S$228,131,0)</f>
        <v>0</v>
      </c>
    </row>
    <row r="137" spans="3:6" x14ac:dyDescent="0.25">
      <c r="D137">
        <v>2011</v>
      </c>
      <c r="E137" t="s">
        <v>406</v>
      </c>
      <c r="F137" s="4">
        <f>HLOOKUP($E$4,'Bourgeoisie bilan'!$F$3:$S$228,132,0)</f>
        <v>0</v>
      </c>
    </row>
    <row r="138" spans="3:6" x14ac:dyDescent="0.25">
      <c r="D138">
        <v>2012</v>
      </c>
      <c r="E138" t="s">
        <v>407</v>
      </c>
      <c r="F138" s="4">
        <f>HLOOKUP($E$4,'Bourgeoisie bilan'!$F$3:$S$228,133,0)</f>
        <v>0</v>
      </c>
    </row>
    <row r="139" spans="3:6" x14ac:dyDescent="0.25">
      <c r="D139">
        <v>2013</v>
      </c>
      <c r="E139" t="s">
        <v>408</v>
      </c>
      <c r="F139" s="4">
        <f>HLOOKUP($E$4,'Bourgeoisie bilan'!$F$3:$S$228,134,0)</f>
        <v>0</v>
      </c>
    </row>
    <row r="140" spans="3:6" x14ac:dyDescent="0.25">
      <c r="D140">
        <v>2014</v>
      </c>
      <c r="E140" t="s">
        <v>410</v>
      </c>
      <c r="F140" s="4">
        <f>HLOOKUP($E$4,'Bourgeoisie bilan'!$F$3:$S$228,135,0)</f>
        <v>0</v>
      </c>
    </row>
    <row r="141" spans="3:6" x14ac:dyDescent="0.25">
      <c r="D141">
        <v>2015</v>
      </c>
      <c r="E141" t="s">
        <v>409</v>
      </c>
      <c r="F141" s="4">
        <f>HLOOKUP($E$4,'Bourgeoisie bilan'!$F$3:$S$228,136,0)</f>
        <v>0</v>
      </c>
    </row>
    <row r="142" spans="3:6" x14ac:dyDescent="0.25">
      <c r="D142">
        <v>2016</v>
      </c>
      <c r="E142" t="s">
        <v>269</v>
      </c>
      <c r="F142" s="4">
        <f>HLOOKUP($E$4,'Bourgeoisie bilan'!$F$3:$S$228,137,0)</f>
        <v>0</v>
      </c>
    </row>
    <row r="143" spans="3:6" x14ac:dyDescent="0.25">
      <c r="D143">
        <v>2019</v>
      </c>
      <c r="E143" t="s">
        <v>411</v>
      </c>
      <c r="F143" s="4">
        <f>HLOOKUP($E$4,'Bourgeoisie bilan'!$F$3:$S$228,138,0)</f>
        <v>0</v>
      </c>
    </row>
    <row r="144" spans="3:6" x14ac:dyDescent="0.25">
      <c r="F144" s="4"/>
    </row>
    <row r="145" spans="3:6" x14ac:dyDescent="0.25">
      <c r="C145" s="66">
        <v>204</v>
      </c>
      <c r="D145" s="66"/>
      <c r="E145" s="66" t="s">
        <v>255</v>
      </c>
      <c r="F145" s="67">
        <f>HLOOKUP($E$4,'Bourgeoisie bilan'!$F$3:$S$228,140,0)</f>
        <v>374187.5</v>
      </c>
    </row>
    <row r="146" spans="3:6" x14ac:dyDescent="0.25">
      <c r="D146">
        <v>2040</v>
      </c>
      <c r="E146" t="s">
        <v>61</v>
      </c>
      <c r="F146" s="4">
        <f>HLOOKUP($E$4,'Bourgeoisie bilan'!$F$3:$S$228,141,0)</f>
        <v>0</v>
      </c>
    </row>
    <row r="147" spans="3:6" x14ac:dyDescent="0.25">
      <c r="D147">
        <v>2041</v>
      </c>
      <c r="E147" t="s">
        <v>277</v>
      </c>
      <c r="F147" s="4">
        <f>HLOOKUP($E$4,'Bourgeoisie bilan'!$F$3:$S$228,142,0)</f>
        <v>160000</v>
      </c>
    </row>
    <row r="148" spans="3:6" x14ac:dyDescent="0.25">
      <c r="D148">
        <v>2042</v>
      </c>
      <c r="E148" t="s">
        <v>331</v>
      </c>
      <c r="F148" s="4">
        <f>HLOOKUP($E$4,'Bourgeoisie bilan'!$F$3:$S$228,143,0)</f>
        <v>0</v>
      </c>
    </row>
    <row r="149" spans="3:6" x14ac:dyDescent="0.25">
      <c r="D149">
        <v>2043</v>
      </c>
      <c r="E149" t="s">
        <v>332</v>
      </c>
      <c r="F149" s="4">
        <f>HLOOKUP($E$4,'Bourgeoisie bilan'!$F$3:$S$228,144,0)</f>
        <v>0</v>
      </c>
    </row>
    <row r="150" spans="3:6" x14ac:dyDescent="0.25">
      <c r="D150">
        <v>2044</v>
      </c>
      <c r="E150" t="s">
        <v>412</v>
      </c>
      <c r="F150" s="4">
        <f>HLOOKUP($E$4,'Bourgeoisie bilan'!$F$3:$S$228,145,0)</f>
        <v>0</v>
      </c>
    </row>
    <row r="151" spans="3:6" x14ac:dyDescent="0.25">
      <c r="D151">
        <v>2045</v>
      </c>
      <c r="E151" t="s">
        <v>334</v>
      </c>
      <c r="F151" s="4">
        <f>HLOOKUP($E$4,'Bourgeoisie bilan'!$F$3:$S$228,146,0)</f>
        <v>0</v>
      </c>
    </row>
    <row r="152" spans="3:6" x14ac:dyDescent="0.25">
      <c r="D152">
        <v>2046</v>
      </c>
      <c r="E152" t="s">
        <v>413</v>
      </c>
      <c r="F152" s="4">
        <f>HLOOKUP($E$4,'Bourgeoisie bilan'!$F$3:$S$228,147,0)</f>
        <v>0</v>
      </c>
    </row>
    <row r="153" spans="3:6" x14ac:dyDescent="0.25">
      <c r="D153">
        <v>2049</v>
      </c>
      <c r="E153" t="s">
        <v>414</v>
      </c>
      <c r="F153" s="4">
        <f>HLOOKUP($E$4,'Bourgeoisie bilan'!$F$3:$S$228,148,0)</f>
        <v>214187.5</v>
      </c>
    </row>
    <row r="154" spans="3:6" x14ac:dyDescent="0.25">
      <c r="F154" s="4"/>
    </row>
    <row r="155" spans="3:6" x14ac:dyDescent="0.25">
      <c r="C155" s="66">
        <v>205</v>
      </c>
      <c r="D155" s="66"/>
      <c r="E155" s="66" t="s">
        <v>256</v>
      </c>
      <c r="F155" s="67">
        <f>HLOOKUP($E$4,'Bourgeoisie bilan'!$F$3:$S$228,150,0)</f>
        <v>0</v>
      </c>
    </row>
    <row r="156" spans="3:6" x14ac:dyDescent="0.25">
      <c r="D156">
        <v>2050</v>
      </c>
      <c r="E156" t="s">
        <v>415</v>
      </c>
      <c r="F156" s="4">
        <f>HLOOKUP($E$4,'Bourgeoisie bilan'!$F$3:$S$228,151,0)</f>
        <v>0</v>
      </c>
    </row>
    <row r="157" spans="3:6" x14ac:dyDescent="0.25">
      <c r="D157">
        <v>2051</v>
      </c>
      <c r="E157" t="s">
        <v>416</v>
      </c>
      <c r="F157" s="4">
        <f>HLOOKUP($E$4,'Bourgeoisie bilan'!$F$3:$S$228,152,0)</f>
        <v>0</v>
      </c>
    </row>
    <row r="158" spans="3:6" x14ac:dyDescent="0.25">
      <c r="D158">
        <v>2052</v>
      </c>
      <c r="E158" t="s">
        <v>417</v>
      </c>
      <c r="F158" s="4">
        <f>HLOOKUP($E$4,'Bourgeoisie bilan'!$F$3:$S$228,153,0)</f>
        <v>0</v>
      </c>
    </row>
    <row r="159" spans="3:6" x14ac:dyDescent="0.25">
      <c r="D159">
        <v>2053</v>
      </c>
      <c r="E159" t="s">
        <v>421</v>
      </c>
      <c r="F159" s="4">
        <f>HLOOKUP($E$4,'Bourgeoisie bilan'!$F$3:$S$228,154,0)</f>
        <v>0</v>
      </c>
    </row>
    <row r="160" spans="3:6" x14ac:dyDescent="0.25">
      <c r="D160">
        <v>2054</v>
      </c>
      <c r="E160" t="s">
        <v>419</v>
      </c>
      <c r="F160" s="4">
        <f>HLOOKUP($E$4,'Bourgeoisie bilan'!$F$3:$S$228,155,0)</f>
        <v>0</v>
      </c>
    </row>
    <row r="161" spans="3:6" x14ac:dyDescent="0.25">
      <c r="D161">
        <v>2055</v>
      </c>
      <c r="E161" t="s">
        <v>418</v>
      </c>
      <c r="F161" s="4">
        <f>HLOOKUP($E$4,'Bourgeoisie bilan'!$F$3:$S$228,156,0)</f>
        <v>0</v>
      </c>
    </row>
    <row r="162" spans="3:6" x14ac:dyDescent="0.25">
      <c r="D162">
        <v>2056</v>
      </c>
      <c r="E162" t="s">
        <v>420</v>
      </c>
      <c r="F162" s="4">
        <f>HLOOKUP($E$4,'Bourgeoisie bilan'!$F$3:$S$228,157,0)</f>
        <v>0</v>
      </c>
    </row>
    <row r="163" spans="3:6" x14ac:dyDescent="0.25">
      <c r="D163">
        <v>2057</v>
      </c>
      <c r="E163" t="s">
        <v>422</v>
      </c>
      <c r="F163" s="4">
        <f>HLOOKUP($E$4,'Bourgeoisie bilan'!$F$3:$S$228,158,0)</f>
        <v>0</v>
      </c>
    </row>
    <row r="164" spans="3:6" x14ac:dyDescent="0.25">
      <c r="D164">
        <v>2058</v>
      </c>
      <c r="E164" t="s">
        <v>423</v>
      </c>
      <c r="F164" s="4">
        <f>HLOOKUP($E$4,'Bourgeoisie bilan'!$F$3:$S$228,159,0)</f>
        <v>0</v>
      </c>
    </row>
    <row r="165" spans="3:6" x14ac:dyDescent="0.25">
      <c r="D165">
        <v>2059</v>
      </c>
      <c r="E165" t="s">
        <v>424</v>
      </c>
      <c r="F165" s="4">
        <f>HLOOKUP($E$4,'Bourgeoisie bilan'!$F$3:$S$228,160,0)</f>
        <v>0</v>
      </c>
    </row>
    <row r="166" spans="3:6" x14ac:dyDescent="0.25">
      <c r="F166" s="4"/>
    </row>
    <row r="167" spans="3:6" x14ac:dyDescent="0.25">
      <c r="C167" s="66">
        <v>206</v>
      </c>
      <c r="D167" s="66"/>
      <c r="E167" s="66" t="s">
        <v>257</v>
      </c>
      <c r="F167" s="67">
        <f>HLOOKUP($E$4,'Bourgeoisie bilan'!$F$3:$S$228,162,0)</f>
        <v>3283750</v>
      </c>
    </row>
    <row r="168" spans="3:6" x14ac:dyDescent="0.25">
      <c r="D168">
        <v>2060</v>
      </c>
      <c r="E168" t="s">
        <v>425</v>
      </c>
      <c r="F168" s="4">
        <f>HLOOKUP($E$4,'Bourgeoisie bilan'!$F$3:$S$228,163,0)</f>
        <v>3283750</v>
      </c>
    </row>
    <row r="169" spans="3:6" x14ac:dyDescent="0.25">
      <c r="D169">
        <v>2062</v>
      </c>
      <c r="E169" t="s">
        <v>426</v>
      </c>
      <c r="F169" s="4">
        <f>HLOOKUP($E$4,'Bourgeoisie bilan'!$F$3:$S$228,164,0)</f>
        <v>0</v>
      </c>
    </row>
    <row r="170" spans="3:6" x14ac:dyDescent="0.25">
      <c r="D170">
        <v>2063</v>
      </c>
      <c r="E170" t="s">
        <v>427</v>
      </c>
      <c r="F170" s="4">
        <f>HLOOKUP($E$4,'Bourgeoisie bilan'!$F$3:$S$228,165,0)</f>
        <v>0</v>
      </c>
    </row>
    <row r="171" spans="3:6" x14ac:dyDescent="0.25">
      <c r="D171">
        <v>2064</v>
      </c>
      <c r="E171" t="s">
        <v>448</v>
      </c>
      <c r="F171" s="4">
        <f>HLOOKUP($E$4,'Bourgeoisie bilan'!$F$3:$S$228,166,0)</f>
        <v>0</v>
      </c>
    </row>
    <row r="172" spans="3:6" x14ac:dyDescent="0.25">
      <c r="D172">
        <v>2067</v>
      </c>
      <c r="E172" t="s">
        <v>429</v>
      </c>
      <c r="F172" s="4">
        <f>HLOOKUP($E$4,'Bourgeoisie bilan'!$F$3:$S$228,167,0)</f>
        <v>0</v>
      </c>
    </row>
    <row r="173" spans="3:6" x14ac:dyDescent="0.25">
      <c r="D173">
        <v>2069</v>
      </c>
      <c r="E173" t="s">
        <v>430</v>
      </c>
      <c r="F173" s="4">
        <f>HLOOKUP($E$4,'Bourgeoisie bilan'!$F$3:$S$228,168,0)</f>
        <v>0</v>
      </c>
    </row>
    <row r="174" spans="3:6" x14ac:dyDescent="0.25">
      <c r="F174" s="4"/>
    </row>
    <row r="175" spans="3:6" x14ac:dyDescent="0.25">
      <c r="C175" s="66">
        <v>208</v>
      </c>
      <c r="D175" s="66"/>
      <c r="E175" s="66" t="s">
        <v>258</v>
      </c>
      <c r="F175" s="67">
        <f>HLOOKUP($E$4,'Bourgeoisie bilan'!$F$3:$S$228,170,0)</f>
        <v>350000</v>
      </c>
    </row>
    <row r="176" spans="3:6" x14ac:dyDescent="0.25">
      <c r="D176">
        <v>2081</v>
      </c>
      <c r="E176" t="s">
        <v>431</v>
      </c>
      <c r="F176" s="4">
        <f>HLOOKUP($E$4,'Bourgeoisie bilan'!$F$3:$S$228,171,0)</f>
        <v>0</v>
      </c>
    </row>
    <row r="177" spans="2:6" x14ac:dyDescent="0.25">
      <c r="D177">
        <v>2082</v>
      </c>
      <c r="E177" t="s">
        <v>432</v>
      </c>
      <c r="F177" s="4">
        <f>HLOOKUP($E$4,'Bourgeoisie bilan'!$F$3:$S$228,172,0)</f>
        <v>0</v>
      </c>
    </row>
    <row r="178" spans="2:6" x14ac:dyDescent="0.25">
      <c r="D178">
        <v>2083</v>
      </c>
      <c r="E178" t="s">
        <v>433</v>
      </c>
      <c r="F178" s="4">
        <f>HLOOKUP($E$4,'Bourgeoisie bilan'!$F$3:$S$228,173,0)</f>
        <v>0</v>
      </c>
    </row>
    <row r="179" spans="2:6" x14ac:dyDescent="0.25">
      <c r="D179">
        <v>2084</v>
      </c>
      <c r="E179" t="s">
        <v>434</v>
      </c>
      <c r="F179" s="4">
        <f>HLOOKUP($E$4,'Bourgeoisie bilan'!$F$3:$S$228,174,0)</f>
        <v>0</v>
      </c>
    </row>
    <row r="180" spans="2:6" x14ac:dyDescent="0.25">
      <c r="D180">
        <v>2085</v>
      </c>
      <c r="E180" t="s">
        <v>436</v>
      </c>
      <c r="F180" s="4">
        <f>HLOOKUP($E$4,'Bourgeoisie bilan'!$F$3:$S$228,175,0)</f>
        <v>350000</v>
      </c>
    </row>
    <row r="181" spans="2:6" x14ac:dyDescent="0.25">
      <c r="D181">
        <v>2086</v>
      </c>
      <c r="E181" t="s">
        <v>435</v>
      </c>
      <c r="F181" s="4">
        <f>HLOOKUP($E$4,'Bourgeoisie bilan'!$F$3:$S$228,176,0)</f>
        <v>0</v>
      </c>
    </row>
    <row r="182" spans="2:6" x14ac:dyDescent="0.25">
      <c r="D182">
        <v>2087</v>
      </c>
      <c r="E182" t="s">
        <v>437</v>
      </c>
      <c r="F182" s="4">
        <f>HLOOKUP($E$4,'Bourgeoisie bilan'!$F$3:$S$228,177,0)</f>
        <v>0</v>
      </c>
    </row>
    <row r="183" spans="2:6" x14ac:dyDescent="0.25">
      <c r="D183">
        <v>2088</v>
      </c>
      <c r="E183" t="s">
        <v>438</v>
      </c>
      <c r="F183" s="4">
        <f>HLOOKUP($E$4,'Bourgeoisie bilan'!$F$3:$S$228,178,0)</f>
        <v>0</v>
      </c>
    </row>
    <row r="184" spans="2:6" x14ac:dyDescent="0.25">
      <c r="D184">
        <v>2089</v>
      </c>
      <c r="E184" t="s">
        <v>439</v>
      </c>
      <c r="F184" s="4">
        <f>HLOOKUP($E$4,'Bourgeoisie bilan'!$F$3:$S$228,179,0)</f>
        <v>0</v>
      </c>
    </row>
    <row r="185" spans="2:6" x14ac:dyDescent="0.25">
      <c r="F185" s="4"/>
    </row>
    <row r="186" spans="2:6" x14ac:dyDescent="0.25">
      <c r="C186" s="66">
        <v>209</v>
      </c>
      <c r="D186" s="66"/>
      <c r="E186" s="66" t="s">
        <v>259</v>
      </c>
      <c r="F186" s="67">
        <f>HLOOKUP($E$4,'Bourgeoisie bilan'!$F$3:$S$228,181,0)</f>
        <v>0</v>
      </c>
    </row>
    <row r="187" spans="2:6" x14ac:dyDescent="0.25">
      <c r="D187">
        <v>2090</v>
      </c>
      <c r="E187" t="s">
        <v>259</v>
      </c>
      <c r="F187" s="4">
        <f>HLOOKUP($E$4,'Bourgeoisie bilan'!$F$3:$S$228,182,0)</f>
        <v>0</v>
      </c>
    </row>
    <row r="188" spans="2:6" x14ac:dyDescent="0.25">
      <c r="D188">
        <v>2091</v>
      </c>
      <c r="E188" t="s">
        <v>440</v>
      </c>
      <c r="F188" s="4">
        <f>HLOOKUP($E$4,'Bourgeoisie bilan'!$F$3:$S$228,183,0)</f>
        <v>0</v>
      </c>
    </row>
    <row r="189" spans="2:6" x14ac:dyDescent="0.25">
      <c r="D189">
        <v>2092</v>
      </c>
      <c r="E189" t="s">
        <v>441</v>
      </c>
      <c r="F189" s="4">
        <f>HLOOKUP($E$4,'Bourgeoisie bilan'!$F$3:$S$228,184,0)</f>
        <v>0</v>
      </c>
    </row>
    <row r="190" spans="2:6" x14ac:dyDescent="0.25">
      <c r="D190">
        <v>2093</v>
      </c>
      <c r="E190" t="s">
        <v>442</v>
      </c>
      <c r="F190" s="4">
        <f>HLOOKUP($E$4,'Bourgeoisie bilan'!$F$3:$S$228,185,0)</f>
        <v>0</v>
      </c>
    </row>
    <row r="191" spans="2:6" x14ac:dyDescent="0.25">
      <c r="F191" s="4"/>
    </row>
    <row r="192" spans="2:6" x14ac:dyDescent="0.25">
      <c r="B192" s="68">
        <v>29</v>
      </c>
      <c r="C192" s="68"/>
      <c r="D192" s="68"/>
      <c r="E192" s="68" t="s">
        <v>260</v>
      </c>
      <c r="F192" s="4">
        <f>HLOOKUP($E$4,'Bourgeoisie bilan'!$F$3:$S$228,187,0)</f>
        <v>29972599.030000001</v>
      </c>
    </row>
    <row r="193" spans="3:6" x14ac:dyDescent="0.25">
      <c r="C193" s="66">
        <v>290</v>
      </c>
      <c r="D193" s="66"/>
      <c r="E193" s="66" t="s">
        <v>261</v>
      </c>
      <c r="F193" s="67">
        <f>HLOOKUP($E$4,'Bourgeoisie bilan'!$F$3:$S$228,188,0)</f>
        <v>2824736.18</v>
      </c>
    </row>
    <row r="194" spans="3:6" x14ac:dyDescent="0.25">
      <c r="D194">
        <v>2900</v>
      </c>
      <c r="E194" t="s">
        <v>261</v>
      </c>
      <c r="F194" s="4">
        <f>HLOOKUP($E$4,'Bourgeoisie bilan'!$F$3:$S$228,189,0)</f>
        <v>2824736.18</v>
      </c>
    </row>
    <row r="195" spans="3:6" x14ac:dyDescent="0.25">
      <c r="F195" s="4"/>
    </row>
    <row r="196" spans="3:6" x14ac:dyDescent="0.25">
      <c r="C196" s="66">
        <v>291</v>
      </c>
      <c r="D196" s="66"/>
      <c r="E196" s="66" t="s">
        <v>262</v>
      </c>
      <c r="F196" s="67">
        <f>HLOOKUP($E$4,'Bourgeoisie bilan'!$F$3:$S$228,191,0)</f>
        <v>0</v>
      </c>
    </row>
    <row r="197" spans="3:6" x14ac:dyDescent="0.25">
      <c r="D197">
        <v>2910</v>
      </c>
      <c r="E197" t="s">
        <v>262</v>
      </c>
      <c r="F197" s="4">
        <f>HLOOKUP($E$4,'Bourgeoisie bilan'!$F$3:$S$228,192,0)</f>
        <v>0</v>
      </c>
    </row>
    <row r="198" spans="3:6" x14ac:dyDescent="0.25">
      <c r="D198">
        <v>2911</v>
      </c>
      <c r="E198" t="s">
        <v>443</v>
      </c>
      <c r="F198" s="4">
        <f>HLOOKUP($E$4,'Bourgeoisie bilan'!$F$3:$S$228,193,0)</f>
        <v>0</v>
      </c>
    </row>
    <row r="199" spans="3:6" x14ac:dyDescent="0.25">
      <c r="F199" s="4"/>
    </row>
    <row r="200" spans="3:6" x14ac:dyDescent="0.25">
      <c r="C200" s="66">
        <v>292</v>
      </c>
      <c r="D200" s="66"/>
      <c r="E200" s="66" t="s">
        <v>263</v>
      </c>
      <c r="F200" s="67">
        <f>HLOOKUP($E$4,'Bourgeoisie bilan'!$F$3:$S$228,195,0)</f>
        <v>0</v>
      </c>
    </row>
    <row r="201" spans="3:6" x14ac:dyDescent="0.25">
      <c r="D201">
        <v>2920</v>
      </c>
      <c r="E201" t="s">
        <v>263</v>
      </c>
      <c r="F201" s="4">
        <f>HLOOKUP($E$4,'Bourgeoisie bilan'!$F$3:$S$228,196,0)</f>
        <v>0</v>
      </c>
    </row>
    <row r="202" spans="3:6" x14ac:dyDescent="0.25">
      <c r="F202" s="4"/>
    </row>
    <row r="203" spans="3:6" x14ac:dyDescent="0.25">
      <c r="C203" s="66">
        <v>293</v>
      </c>
      <c r="D203" s="66"/>
      <c r="E203" s="66" t="s">
        <v>264</v>
      </c>
      <c r="F203" s="67">
        <f>HLOOKUP($E$4,'Bourgeoisie bilan'!$F$3:$S$228,198,0)</f>
        <v>0</v>
      </c>
    </row>
    <row r="204" spans="3:6" x14ac:dyDescent="0.25">
      <c r="D204">
        <v>2930</v>
      </c>
      <c r="E204" t="s">
        <v>264</v>
      </c>
      <c r="F204" s="4">
        <f>HLOOKUP($E$4,'Bourgeoisie bilan'!$F$3:$S$228,199,0)</f>
        <v>0</v>
      </c>
    </row>
    <row r="205" spans="3:6" x14ac:dyDescent="0.25">
      <c r="F205" s="4"/>
    </row>
    <row r="206" spans="3:6" x14ac:dyDescent="0.25">
      <c r="C206" s="66">
        <v>294</v>
      </c>
      <c r="D206" s="66"/>
      <c r="E206" s="66" t="s">
        <v>265</v>
      </c>
      <c r="F206" s="67">
        <f>HLOOKUP($E$4,'Bourgeoisie bilan'!$F$3:$S$228,201,0)</f>
        <v>10000</v>
      </c>
    </row>
    <row r="207" spans="3:6" x14ac:dyDescent="0.25">
      <c r="D207">
        <v>2940</v>
      </c>
      <c r="E207" t="s">
        <v>265</v>
      </c>
      <c r="F207" s="4">
        <f>HLOOKUP($E$4,'Bourgeoisie bilan'!$F$3:$S$228,202,0)</f>
        <v>10000</v>
      </c>
    </row>
    <row r="208" spans="3:6" x14ac:dyDescent="0.25">
      <c r="F208" s="4"/>
    </row>
    <row r="209" spans="3:6" x14ac:dyDescent="0.25">
      <c r="C209" s="66">
        <v>295</v>
      </c>
      <c r="D209" s="66"/>
      <c r="E209" s="66" t="s">
        <v>266</v>
      </c>
      <c r="F209" s="67">
        <f>HLOOKUP($E$4,'Bourgeoisie bilan'!$F$3:$S$228,204,0)</f>
        <v>0</v>
      </c>
    </row>
    <row r="210" spans="3:6" x14ac:dyDescent="0.25">
      <c r="D210">
        <v>2950</v>
      </c>
      <c r="E210" t="s">
        <v>266</v>
      </c>
      <c r="F210" s="4">
        <f>HLOOKUP($E$4,'Bourgeoisie bilan'!$F$3:$S$228,205,0)</f>
        <v>0</v>
      </c>
    </row>
    <row r="211" spans="3:6" x14ac:dyDescent="0.25">
      <c r="F211" s="4"/>
    </row>
    <row r="212" spans="3:6" x14ac:dyDescent="0.25">
      <c r="C212" s="66">
        <v>296</v>
      </c>
      <c r="D212" s="66"/>
      <c r="E212" s="66" t="s">
        <v>267</v>
      </c>
      <c r="F212" s="67">
        <f>HLOOKUP($E$4,'Bourgeoisie bilan'!$F$3:$S$228,207,0)</f>
        <v>23553589</v>
      </c>
    </row>
    <row r="213" spans="3:6" x14ac:dyDescent="0.25">
      <c r="D213">
        <v>2960</v>
      </c>
      <c r="E213" t="s">
        <v>267</v>
      </c>
      <c r="F213" s="4">
        <f>HLOOKUP($E$4,'Bourgeoisie bilan'!$F$3:$S$228,208,0)</f>
        <v>23553589</v>
      </c>
    </row>
    <row r="214" spans="3:6" x14ac:dyDescent="0.25">
      <c r="F214" s="4"/>
    </row>
    <row r="215" spans="3:6" x14ac:dyDescent="0.25">
      <c r="C215" s="66">
        <v>298</v>
      </c>
      <c r="D215" s="66"/>
      <c r="E215" s="66" t="s">
        <v>268</v>
      </c>
      <c r="F215" s="67">
        <f>HLOOKUP($E$4,'Bourgeoisie bilan'!$F$3:$S$228,210,0)</f>
        <v>0</v>
      </c>
    </row>
    <row r="216" spans="3:6" x14ac:dyDescent="0.25">
      <c r="D216">
        <v>2980</v>
      </c>
      <c r="E216" t="s">
        <v>268</v>
      </c>
      <c r="F216" s="4">
        <f>HLOOKUP($E$4,'Bourgeoisie bilan'!$F$3:$S$228,211,0)</f>
        <v>0</v>
      </c>
    </row>
    <row r="217" spans="3:6" x14ac:dyDescent="0.25">
      <c r="F217" s="4"/>
    </row>
    <row r="218" spans="3:6" x14ac:dyDescent="0.25">
      <c r="C218" s="66">
        <v>299</v>
      </c>
      <c r="D218" s="66"/>
      <c r="E218" s="66" t="s">
        <v>444</v>
      </c>
      <c r="F218" s="67">
        <f>HLOOKUP($E$4,'Bourgeoisie bilan'!$F$3:$S$228,213,0)</f>
        <v>3584273.85</v>
      </c>
    </row>
    <row r="219" spans="3:6" x14ac:dyDescent="0.25">
      <c r="D219">
        <v>2990</v>
      </c>
      <c r="E219" t="s">
        <v>444</v>
      </c>
      <c r="F219" s="4">
        <f>HLOOKUP($E$4,'Bourgeoisie bilan'!$F$3:$S$228,214,0)</f>
        <v>-699.52</v>
      </c>
    </row>
    <row r="220" spans="3:6" x14ac:dyDescent="0.25">
      <c r="D220">
        <v>2999</v>
      </c>
      <c r="E220" t="s">
        <v>582</v>
      </c>
      <c r="F220" s="4">
        <f>HLOOKUP($E$4,'Bourgeoisie bilan'!$F$3:$S$228,215,0)</f>
        <v>3584973.37</v>
      </c>
    </row>
    <row r="221" spans="3:6" x14ac:dyDescent="0.25">
      <c r="F221" s="4"/>
    </row>
    <row r="222" spans="3:6" x14ac:dyDescent="0.25">
      <c r="C222" s="128"/>
      <c r="D222" s="128"/>
      <c r="E222" s="128" t="s">
        <v>587</v>
      </c>
      <c r="F222" s="4">
        <f>HLOOKUP($E$4,'Bourgeoisie bilan'!$F$3:$S$228,217,0)</f>
        <v>0</v>
      </c>
    </row>
    <row r="223" spans="3:6" x14ac:dyDescent="0.25">
      <c r="D223">
        <v>290</v>
      </c>
      <c r="E223" t="s">
        <v>586</v>
      </c>
      <c r="F223" s="4">
        <f>HLOOKUP($E$4,'Bourgeoisie bilan'!$F$3:$S$228,218,0)</f>
        <v>0</v>
      </c>
    </row>
    <row r="224" spans="3:6" x14ac:dyDescent="0.25">
      <c r="D224">
        <v>2990</v>
      </c>
      <c r="E224" t="s">
        <v>590</v>
      </c>
      <c r="F224" s="4">
        <f>HLOOKUP($E$4,'Bourgeoisie bilan'!$F$3:$S$228,219,0)</f>
        <v>-699.52</v>
      </c>
    </row>
    <row r="225" spans="5:6" x14ac:dyDescent="0.25">
      <c r="F225" s="4"/>
    </row>
    <row r="226" spans="5:6" x14ac:dyDescent="0.25">
      <c r="E226" s="7" t="s">
        <v>589</v>
      </c>
      <c r="F226" s="4">
        <f>HLOOKUP($E$4,'Bourgeoisie bilan'!$F$3:$S$228,221,0)</f>
        <v>-699.52</v>
      </c>
    </row>
    <row r="227" spans="5:6" x14ac:dyDescent="0.25">
      <c r="F227" s="4">
        <f>HLOOKUP($E$4,'Bourgeoisie bilan'!$F$3:$S$228,222,0)</f>
        <v>0</v>
      </c>
    </row>
    <row r="228" spans="5:6" x14ac:dyDescent="0.25">
      <c r="E228" s="48" t="s">
        <v>588</v>
      </c>
      <c r="F228" s="4">
        <f>HLOOKUP($E$4,'Bourgeoisie bilan'!$F$3:$S$228,223,0)</f>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E00-000000000000}">
          <x14:formula1>
            <xm:f>'Bourgeoisie bilan'!$F$3:$S$3</xm:f>
          </x14:formula1>
          <xm:sqref>E4</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00B0F0"/>
  </sheetPr>
  <dimension ref="A1:P38"/>
  <sheetViews>
    <sheetView workbookViewId="0">
      <selection activeCell="A2" sqref="A2"/>
    </sheetView>
  </sheetViews>
  <sheetFormatPr baseColWidth="10" defaultColWidth="11.42578125" defaultRowHeight="15" x14ac:dyDescent="0.25"/>
  <cols>
    <col min="1" max="1" width="5.7109375" customWidth="1"/>
    <col min="2" max="2" width="50.28515625" customWidth="1"/>
    <col min="3" max="16" width="16.28515625" customWidth="1"/>
  </cols>
  <sheetData>
    <row r="1" spans="1:16" ht="26.25" x14ac:dyDescent="0.4">
      <c r="A1" s="32" t="s">
        <v>850</v>
      </c>
      <c r="B1" s="7"/>
    </row>
    <row r="2" spans="1:16" ht="15" customHeight="1" x14ac:dyDescent="0.25">
      <c r="A2" s="150" t="s">
        <v>756</v>
      </c>
      <c r="B2" s="7"/>
    </row>
    <row r="3" spans="1:16" ht="15" customHeight="1" x14ac:dyDescent="0.25">
      <c r="A3" s="7"/>
      <c r="B3" s="7"/>
    </row>
    <row r="4" spans="1:16" ht="15" customHeight="1" x14ac:dyDescent="0.4">
      <c r="A4" s="32"/>
      <c r="B4" s="7"/>
    </row>
    <row r="5" spans="1:16" x14ac:dyDescent="0.25">
      <c r="A5" s="151"/>
      <c r="C5" s="45"/>
      <c r="D5" s="45"/>
      <c r="E5" s="45"/>
      <c r="F5" s="45"/>
      <c r="G5" s="45"/>
      <c r="H5" s="45"/>
      <c r="I5" s="45"/>
      <c r="J5" s="45"/>
      <c r="K5" s="45"/>
      <c r="L5" s="45"/>
      <c r="M5" s="45"/>
      <c r="N5" s="45"/>
      <c r="O5" s="45"/>
      <c r="P5" s="45"/>
    </row>
    <row r="6" spans="1:16" x14ac:dyDescent="0.25">
      <c r="C6" s="33" t="s">
        <v>56</v>
      </c>
      <c r="D6" s="33" t="s">
        <v>18</v>
      </c>
      <c r="E6" s="33" t="s">
        <v>57</v>
      </c>
      <c r="F6" s="33" t="s">
        <v>750</v>
      </c>
      <c r="G6" s="33" t="s">
        <v>33</v>
      </c>
      <c r="H6" s="33" t="s">
        <v>28</v>
      </c>
      <c r="I6" s="33" t="s">
        <v>751</v>
      </c>
      <c r="J6" s="33" t="s">
        <v>16</v>
      </c>
      <c r="K6" s="33" t="s">
        <v>752</v>
      </c>
      <c r="L6" s="33" t="s">
        <v>753</v>
      </c>
      <c r="M6" s="33" t="s">
        <v>59</v>
      </c>
      <c r="N6" s="33" t="s">
        <v>754</v>
      </c>
      <c r="O6" s="33" t="s">
        <v>755</v>
      </c>
      <c r="P6" s="36" t="s">
        <v>65</v>
      </c>
    </row>
    <row r="7" spans="1:16" x14ac:dyDescent="0.25">
      <c r="A7">
        <v>10</v>
      </c>
      <c r="B7" t="s">
        <v>240</v>
      </c>
      <c r="C7" s="83">
        <f>'Bourgeoisie bilan'!F5</f>
        <v>8416072.5999999996</v>
      </c>
      <c r="D7" s="83">
        <f>'Bourgeoisie bilan'!G5</f>
        <v>91261.89</v>
      </c>
      <c r="E7" s="83">
        <f>'Bourgeoisie bilan'!H5</f>
        <v>416713.9</v>
      </c>
      <c r="F7" s="83">
        <f>'Bourgeoisie bilan'!I5</f>
        <v>291699.63</v>
      </c>
      <c r="G7" s="83">
        <f>'Bourgeoisie bilan'!J5</f>
        <v>1480316.77</v>
      </c>
      <c r="H7" s="83">
        <f>'Bourgeoisie bilan'!K5</f>
        <v>31956806.93</v>
      </c>
      <c r="I7" s="83">
        <f>'Bourgeoisie bilan'!L5</f>
        <v>453352.90999999992</v>
      </c>
      <c r="J7" s="83">
        <f>'Bourgeoisie bilan'!M5</f>
        <v>700771.38</v>
      </c>
      <c r="K7" s="83">
        <f>'Bourgeoisie bilan'!N5</f>
        <v>0</v>
      </c>
      <c r="L7" s="83">
        <f>'Bourgeoisie bilan'!O5</f>
        <v>582363.77</v>
      </c>
      <c r="M7" s="83">
        <f>'Bourgeoisie bilan'!P5</f>
        <v>1358276.4</v>
      </c>
      <c r="N7" s="83">
        <f>'Bourgeoisie bilan'!Q5</f>
        <v>898560.29</v>
      </c>
      <c r="O7" s="83">
        <f>'Bourgeoisie bilan'!R5</f>
        <v>951662.69</v>
      </c>
      <c r="P7" s="83">
        <f>SUM(C7:O7)</f>
        <v>47597859.159999996</v>
      </c>
    </row>
    <row r="8" spans="1:16" x14ac:dyDescent="0.25">
      <c r="C8" s="83"/>
      <c r="D8" s="83"/>
      <c r="E8" s="83"/>
      <c r="F8" s="83"/>
      <c r="G8" s="83"/>
      <c r="H8" s="83"/>
      <c r="I8" s="83"/>
      <c r="J8" s="83"/>
      <c r="K8" s="83"/>
      <c r="L8" s="83"/>
      <c r="M8" s="83"/>
      <c r="N8" s="83"/>
      <c r="O8" s="83"/>
      <c r="P8" s="83"/>
    </row>
    <row r="9" spans="1:16" x14ac:dyDescent="0.25">
      <c r="A9">
        <v>20</v>
      </c>
      <c r="B9" t="s">
        <v>252</v>
      </c>
      <c r="C9" s="83">
        <f>'Bourgeoisie bilan'!F121</f>
        <v>3182880.35</v>
      </c>
      <c r="D9" s="83">
        <f>'Bourgeoisie bilan'!G121</f>
        <v>200723.15</v>
      </c>
      <c r="E9" s="83">
        <f>'Bourgeoisie bilan'!H121</f>
        <v>289877</v>
      </c>
      <c r="F9" s="83">
        <f>'Bourgeoisie bilan'!I121</f>
        <v>2406.5</v>
      </c>
      <c r="G9" s="83">
        <f>'Bourgeoisie bilan'!J121</f>
        <v>755273.6</v>
      </c>
      <c r="H9" s="83">
        <f>'Bourgeoisie bilan'!K121</f>
        <v>4196382.0999999996</v>
      </c>
      <c r="I9" s="83">
        <f>'Bourgeoisie bilan'!L121</f>
        <v>142220.20000000001</v>
      </c>
      <c r="J9" s="83">
        <f>'Bourgeoisie bilan'!M121</f>
        <v>44127.4</v>
      </c>
      <c r="K9" s="83">
        <f>'Bourgeoisie bilan'!N121</f>
        <v>0</v>
      </c>
      <c r="L9" s="83">
        <f>'Bourgeoisie bilan'!O121</f>
        <v>15000</v>
      </c>
      <c r="M9" s="83">
        <f>'Bourgeoisie bilan'!P121</f>
        <v>75502.2</v>
      </c>
      <c r="N9" s="83">
        <f>'Bourgeoisie bilan'!Q121</f>
        <v>483896.37</v>
      </c>
      <c r="O9" s="83">
        <f>'Bourgeoisie bilan'!R121</f>
        <v>48390.65</v>
      </c>
      <c r="P9" s="83">
        <f>SUM(C9:O9)</f>
        <v>9436679.5199999977</v>
      </c>
    </row>
    <row r="10" spans="1:16" x14ac:dyDescent="0.25">
      <c r="C10" s="83"/>
      <c r="D10" s="83"/>
      <c r="E10" s="83"/>
      <c r="F10" s="83"/>
      <c r="G10" s="83"/>
      <c r="H10" s="83"/>
      <c r="I10" s="83"/>
      <c r="J10" s="83"/>
      <c r="K10" s="83"/>
      <c r="L10" s="83"/>
      <c r="M10" s="83"/>
      <c r="N10" s="83"/>
      <c r="O10" s="83"/>
      <c r="P10" s="83"/>
    </row>
    <row r="11" spans="1:16" x14ac:dyDescent="0.25">
      <c r="A11">
        <v>200</v>
      </c>
      <c r="B11" t="s">
        <v>451</v>
      </c>
      <c r="C11" s="83">
        <f>'Bourgeoisie bilan'!F122</f>
        <v>73684.3</v>
      </c>
      <c r="D11" s="83">
        <f>'Bourgeoisie bilan'!G122</f>
        <v>2708.4</v>
      </c>
      <c r="E11" s="83">
        <f>'Bourgeoisie bilan'!H122</f>
        <v>0</v>
      </c>
      <c r="F11" s="83">
        <f>'Bourgeoisie bilan'!I122</f>
        <v>0</v>
      </c>
      <c r="G11" s="83">
        <f>'Bourgeoisie bilan'!J122</f>
        <v>4777.8500000000004</v>
      </c>
      <c r="H11" s="83">
        <f>'Bourgeoisie bilan'!K122</f>
        <v>188444.6</v>
      </c>
      <c r="I11" s="83">
        <f>'Bourgeoisie bilan'!L122</f>
        <v>0</v>
      </c>
      <c r="J11" s="83">
        <f>'Bourgeoisie bilan'!M122</f>
        <v>0</v>
      </c>
      <c r="K11" s="83">
        <f>'Bourgeoisie bilan'!N122</f>
        <v>0</v>
      </c>
      <c r="L11" s="83">
        <f>'Bourgeoisie bilan'!O122</f>
        <v>15000</v>
      </c>
      <c r="M11" s="83">
        <f>'Bourgeoisie bilan'!P122</f>
        <v>0</v>
      </c>
      <c r="N11" s="83">
        <f>'Bourgeoisie bilan'!Q122</f>
        <v>13.87</v>
      </c>
      <c r="O11" s="83">
        <f>'Bourgeoisie bilan'!R122</f>
        <v>47678.15</v>
      </c>
      <c r="P11" s="83">
        <f>SUM(C11:O11)</f>
        <v>332307.17000000004</v>
      </c>
    </row>
    <row r="12" spans="1:16" x14ac:dyDescent="0.25">
      <c r="C12" s="83"/>
      <c r="D12" s="83"/>
      <c r="E12" s="83"/>
      <c r="F12" s="83"/>
      <c r="G12" s="83"/>
      <c r="H12" s="83"/>
      <c r="I12" s="83"/>
      <c r="J12" s="83"/>
      <c r="K12" s="83"/>
      <c r="L12" s="83"/>
      <c r="M12" s="83"/>
      <c r="N12" s="83"/>
      <c r="O12" s="83"/>
      <c r="P12" s="83"/>
    </row>
    <row r="13" spans="1:16" x14ac:dyDescent="0.25">
      <c r="A13">
        <v>201</v>
      </c>
      <c r="B13" t="s">
        <v>254</v>
      </c>
      <c r="C13" s="83">
        <f>'Bourgeoisie bilan'!F132</f>
        <v>22000</v>
      </c>
      <c r="D13" s="83">
        <f>'Bourgeoisie bilan'!G132</f>
        <v>0</v>
      </c>
      <c r="E13" s="83">
        <f>'Bourgeoisie bilan'!H132</f>
        <v>0</v>
      </c>
      <c r="F13" s="83">
        <f>'Bourgeoisie bilan'!I132</f>
        <v>0</v>
      </c>
      <c r="G13" s="83">
        <f>'Bourgeoisie bilan'!J132</f>
        <v>0</v>
      </c>
      <c r="H13" s="83">
        <f>'Bourgeoisie bilan'!K132</f>
        <v>0</v>
      </c>
      <c r="I13" s="83">
        <f>'Bourgeoisie bilan'!L132</f>
        <v>0</v>
      </c>
      <c r="J13" s="83">
        <f>'Bourgeoisie bilan'!M132</f>
        <v>0</v>
      </c>
      <c r="K13" s="83">
        <f>'Bourgeoisie bilan'!N132</f>
        <v>0</v>
      </c>
      <c r="L13" s="83">
        <f>'Bourgeoisie bilan'!O132</f>
        <v>0</v>
      </c>
      <c r="M13" s="83">
        <f>'Bourgeoisie bilan'!P132</f>
        <v>0</v>
      </c>
      <c r="N13" s="83">
        <f>'Bourgeoisie bilan'!Q132</f>
        <v>0</v>
      </c>
      <c r="O13" s="83">
        <f>'Bourgeoisie bilan'!R132</f>
        <v>0</v>
      </c>
      <c r="P13" s="83">
        <f>SUM(C13:O13)</f>
        <v>22000</v>
      </c>
    </row>
    <row r="14" spans="1:16" x14ac:dyDescent="0.25">
      <c r="C14" s="83"/>
      <c r="D14" s="83"/>
      <c r="E14" s="83"/>
      <c r="F14" s="83"/>
      <c r="G14" s="83"/>
      <c r="H14" s="83"/>
      <c r="I14" s="83"/>
      <c r="J14" s="83"/>
      <c r="K14" s="83"/>
      <c r="L14" s="83"/>
      <c r="M14" s="83"/>
      <c r="N14" s="83"/>
      <c r="O14" s="83"/>
      <c r="P14" s="83"/>
    </row>
    <row r="15" spans="1:16" x14ac:dyDescent="0.25">
      <c r="A15">
        <v>206</v>
      </c>
      <c r="B15" t="s">
        <v>257</v>
      </c>
      <c r="C15" s="83">
        <f>'Bourgeoisie bilan'!F164</f>
        <v>2989500</v>
      </c>
      <c r="D15" s="83">
        <f>'Bourgeoisie bilan'!G164</f>
        <v>183000</v>
      </c>
      <c r="E15" s="83">
        <f>'Bourgeoisie bilan'!H164</f>
        <v>280425.59999999998</v>
      </c>
      <c r="F15" s="83">
        <f>'Bourgeoisie bilan'!I164</f>
        <v>0</v>
      </c>
      <c r="G15" s="83">
        <f>'Bourgeoisie bilan'!J164</f>
        <v>377000</v>
      </c>
      <c r="H15" s="83">
        <f>'Bourgeoisie bilan'!K164</f>
        <v>3283750</v>
      </c>
      <c r="I15" s="83">
        <f>'Bourgeoisie bilan'!L164</f>
        <v>134500</v>
      </c>
      <c r="J15" s="83">
        <f>'Bourgeoisie bilan'!M164</f>
        <v>0</v>
      </c>
      <c r="K15" s="83">
        <f>'Bourgeoisie bilan'!N164</f>
        <v>0</v>
      </c>
      <c r="L15" s="83">
        <f>'Bourgeoisie bilan'!O164</f>
        <v>0</v>
      </c>
      <c r="M15" s="83">
        <f>'Bourgeoisie bilan'!P164</f>
        <v>0</v>
      </c>
      <c r="N15" s="83">
        <f>'Bourgeoisie bilan'!Q164</f>
        <v>458240</v>
      </c>
      <c r="O15" s="83">
        <f>'Bourgeoisie bilan'!R164</f>
        <v>0</v>
      </c>
      <c r="P15" s="83">
        <f>SUM(C15:O15)</f>
        <v>7706415.5999999996</v>
      </c>
    </row>
    <row r="16" spans="1:16" x14ac:dyDescent="0.25">
      <c r="C16" s="83"/>
      <c r="D16" s="83"/>
      <c r="E16" s="83"/>
      <c r="F16" s="83"/>
      <c r="G16" s="83"/>
      <c r="H16" s="83"/>
      <c r="I16" s="83"/>
      <c r="J16" s="83"/>
      <c r="K16" s="83"/>
      <c r="L16" s="83"/>
      <c r="M16" s="83"/>
      <c r="N16" s="83"/>
      <c r="O16" s="83"/>
      <c r="P16" s="83"/>
    </row>
    <row r="17" spans="1:16" x14ac:dyDescent="0.25">
      <c r="A17">
        <v>2016</v>
      </c>
      <c r="B17" t="s">
        <v>269</v>
      </c>
      <c r="C17" s="83">
        <f>'Bourgeoisie bilan'!F139</f>
        <v>0</v>
      </c>
      <c r="D17" s="83">
        <f>'Bourgeoisie bilan'!G139</f>
        <v>0</v>
      </c>
      <c r="E17" s="83">
        <f>'Bourgeoisie bilan'!H139</f>
        <v>0</v>
      </c>
      <c r="F17" s="83">
        <f>'Bourgeoisie bilan'!I139</f>
        <v>0</v>
      </c>
      <c r="G17" s="83">
        <f>'Bourgeoisie bilan'!J139</f>
        <v>0</v>
      </c>
      <c r="H17" s="83">
        <f>'Bourgeoisie bilan'!K139</f>
        <v>0</v>
      </c>
      <c r="I17" s="83">
        <f>'Bourgeoisie bilan'!L139</f>
        <v>0</v>
      </c>
      <c r="J17" s="83">
        <f>'Bourgeoisie bilan'!M139</f>
        <v>0</v>
      </c>
      <c r="K17" s="83">
        <f>'Bourgeoisie bilan'!N139</f>
        <v>0</v>
      </c>
      <c r="L17" s="83">
        <f>'Bourgeoisie bilan'!O139</f>
        <v>0</v>
      </c>
      <c r="M17" s="83">
        <f>'Bourgeoisie bilan'!P139</f>
        <v>0</v>
      </c>
      <c r="N17" s="83">
        <f>'Bourgeoisie bilan'!Q139</f>
        <v>0</v>
      </c>
      <c r="O17" s="83">
        <f>'Bourgeoisie bilan'!R139</f>
        <v>0</v>
      </c>
      <c r="P17" s="83">
        <f>SUM(C17:O17)</f>
        <v>0</v>
      </c>
    </row>
    <row r="18" spans="1:16" x14ac:dyDescent="0.25">
      <c r="C18" s="83"/>
      <c r="D18" s="83"/>
      <c r="E18" s="83"/>
      <c r="F18" s="83"/>
      <c r="G18" s="83"/>
      <c r="H18" s="83"/>
      <c r="I18" s="83"/>
      <c r="J18" s="83"/>
      <c r="K18" s="83"/>
      <c r="L18" s="83"/>
      <c r="M18" s="83"/>
      <c r="N18" s="83"/>
      <c r="O18" s="83"/>
      <c r="P18" s="83"/>
    </row>
    <row r="19" spans="1:16" x14ac:dyDescent="0.25">
      <c r="C19" s="83"/>
      <c r="D19" s="83"/>
      <c r="E19" s="83"/>
      <c r="F19" s="83"/>
      <c r="G19" s="83"/>
      <c r="H19" s="83"/>
      <c r="I19" s="83"/>
      <c r="J19" s="83"/>
      <c r="K19" s="83"/>
      <c r="L19" s="83"/>
      <c r="M19" s="83"/>
      <c r="N19" s="83"/>
      <c r="O19" s="83"/>
      <c r="P19" s="83"/>
    </row>
    <row r="20" spans="1:16" x14ac:dyDescent="0.25">
      <c r="B20" s="81" t="s">
        <v>567</v>
      </c>
      <c r="C20" s="147">
        <f>C11+C13+C15-C17</f>
        <v>3085184.3</v>
      </c>
      <c r="D20" s="147">
        <f t="shared" ref="D20:O20" si="0">D11+D13+D15-D17</f>
        <v>185708.4</v>
      </c>
      <c r="E20" s="147">
        <f t="shared" si="0"/>
        <v>280425.59999999998</v>
      </c>
      <c r="F20" s="147">
        <f t="shared" si="0"/>
        <v>0</v>
      </c>
      <c r="G20" s="147">
        <f t="shared" si="0"/>
        <v>381777.85</v>
      </c>
      <c r="H20" s="147">
        <f t="shared" si="0"/>
        <v>3472194.6</v>
      </c>
      <c r="I20" s="147">
        <f t="shared" si="0"/>
        <v>134500</v>
      </c>
      <c r="J20" s="147">
        <f t="shared" si="0"/>
        <v>0</v>
      </c>
      <c r="K20" s="147">
        <f t="shared" si="0"/>
        <v>0</v>
      </c>
      <c r="L20" s="147">
        <f t="shared" si="0"/>
        <v>15000</v>
      </c>
      <c r="M20" s="147">
        <f t="shared" si="0"/>
        <v>0</v>
      </c>
      <c r="N20" s="147">
        <f t="shared" si="0"/>
        <v>458253.87</v>
      </c>
      <c r="O20" s="147">
        <f t="shared" si="0"/>
        <v>47678.15</v>
      </c>
      <c r="P20" s="147">
        <f>SUM(C20:O20)</f>
        <v>8060722.7700000005</v>
      </c>
    </row>
    <row r="21" spans="1:16" x14ac:dyDescent="0.25">
      <c r="B21" s="7"/>
      <c r="C21" s="148"/>
      <c r="D21" s="148"/>
      <c r="E21" s="148"/>
      <c r="F21" s="148"/>
      <c r="G21" s="148"/>
      <c r="H21" s="148"/>
      <c r="I21" s="148"/>
      <c r="J21" s="148"/>
      <c r="K21" s="148"/>
      <c r="L21" s="148"/>
      <c r="M21" s="148"/>
      <c r="N21" s="148"/>
      <c r="O21" s="148"/>
      <c r="P21" s="148"/>
    </row>
    <row r="22" spans="1:16" x14ac:dyDescent="0.25">
      <c r="B22" s="81" t="s">
        <v>498</v>
      </c>
      <c r="C22" s="147">
        <f t="shared" ref="C22:O22" si="1">C9-C7</f>
        <v>-5233192.25</v>
      </c>
      <c r="D22" s="147">
        <f t="shared" si="1"/>
        <v>109461.26</v>
      </c>
      <c r="E22" s="147">
        <f t="shared" si="1"/>
        <v>-126836.90000000002</v>
      </c>
      <c r="F22" s="147">
        <f t="shared" si="1"/>
        <v>-289293.13</v>
      </c>
      <c r="G22" s="147">
        <f t="shared" si="1"/>
        <v>-725043.17</v>
      </c>
      <c r="H22" s="147">
        <f t="shared" si="1"/>
        <v>-27760424.829999998</v>
      </c>
      <c r="I22" s="147">
        <f t="shared" si="1"/>
        <v>-311132.7099999999</v>
      </c>
      <c r="J22" s="147">
        <f t="shared" si="1"/>
        <v>-656643.98</v>
      </c>
      <c r="K22" s="147">
        <f t="shared" si="1"/>
        <v>0</v>
      </c>
      <c r="L22" s="147">
        <f t="shared" si="1"/>
        <v>-567363.77</v>
      </c>
      <c r="M22" s="147">
        <f t="shared" si="1"/>
        <v>-1282774.2</v>
      </c>
      <c r="N22" s="147">
        <f t="shared" si="1"/>
        <v>-414663.92000000004</v>
      </c>
      <c r="O22" s="147">
        <f t="shared" si="1"/>
        <v>-903272.03999999992</v>
      </c>
      <c r="P22" s="147">
        <f>SUM(C22:O22)</f>
        <v>-38161179.640000001</v>
      </c>
    </row>
    <row r="23" spans="1:16" x14ac:dyDescent="0.25">
      <c r="C23" s="83"/>
      <c r="D23" s="83"/>
      <c r="E23" s="83"/>
      <c r="F23" s="83"/>
      <c r="G23" s="83"/>
      <c r="H23" s="83"/>
      <c r="I23" s="83"/>
      <c r="J23" s="83"/>
      <c r="K23" s="83"/>
      <c r="L23" s="83"/>
      <c r="M23" s="83"/>
      <c r="N23" s="83"/>
      <c r="O23" s="83"/>
      <c r="P23" s="83"/>
    </row>
    <row r="24" spans="1:16" x14ac:dyDescent="0.25">
      <c r="C24" s="83"/>
      <c r="D24" s="83"/>
      <c r="E24" s="83"/>
      <c r="F24" s="83"/>
      <c r="G24" s="83"/>
      <c r="H24" s="83"/>
      <c r="I24" s="83"/>
      <c r="J24" s="83"/>
      <c r="K24" s="83"/>
      <c r="L24" s="83"/>
      <c r="M24" s="83"/>
      <c r="N24" s="83"/>
      <c r="O24" s="83"/>
      <c r="P24" s="83"/>
    </row>
    <row r="25" spans="1:16" x14ac:dyDescent="0.25">
      <c r="C25" s="83"/>
      <c r="D25" s="83"/>
      <c r="E25" s="83"/>
      <c r="F25" s="83"/>
      <c r="G25" s="83"/>
      <c r="H25" s="83"/>
      <c r="I25" s="83"/>
      <c r="J25" s="83"/>
      <c r="K25" s="83"/>
      <c r="L25" s="83"/>
      <c r="M25" s="83"/>
      <c r="N25" s="83"/>
      <c r="O25" s="83"/>
      <c r="P25" s="83"/>
    </row>
    <row r="26" spans="1:16" x14ac:dyDescent="0.25">
      <c r="C26" s="83"/>
      <c r="D26" s="83"/>
      <c r="E26" s="83"/>
      <c r="F26" s="83"/>
      <c r="G26" s="83"/>
      <c r="H26" s="83"/>
      <c r="I26" s="83"/>
      <c r="J26" s="83"/>
      <c r="K26" s="83"/>
      <c r="L26" s="83"/>
      <c r="M26" s="83"/>
      <c r="N26" s="83"/>
      <c r="O26" s="83"/>
      <c r="P26" s="83"/>
    </row>
    <row r="27" spans="1:16" x14ac:dyDescent="0.25">
      <c r="C27" s="83"/>
      <c r="D27" s="83"/>
      <c r="E27" s="83"/>
      <c r="F27" s="83"/>
      <c r="G27" s="83"/>
      <c r="H27" s="83"/>
      <c r="I27" s="83"/>
      <c r="J27" s="83"/>
      <c r="K27" s="83"/>
      <c r="L27" s="83"/>
      <c r="M27" s="83"/>
      <c r="N27" s="83"/>
      <c r="O27" s="83"/>
      <c r="P27" s="83"/>
    </row>
    <row r="28" spans="1:16" x14ac:dyDescent="0.25">
      <c r="C28" s="83"/>
      <c r="D28" s="83"/>
      <c r="E28" s="83"/>
      <c r="F28" s="83"/>
      <c r="G28" s="83"/>
      <c r="H28" s="83"/>
      <c r="I28" s="83"/>
      <c r="J28" s="83"/>
      <c r="K28" s="83"/>
      <c r="L28" s="83"/>
      <c r="M28" s="83"/>
      <c r="N28" s="83"/>
      <c r="O28" s="83"/>
      <c r="P28" s="83"/>
    </row>
    <row r="29" spans="1:16" x14ac:dyDescent="0.25">
      <c r="C29" s="83"/>
      <c r="D29" s="83"/>
      <c r="E29" s="83"/>
      <c r="F29" s="83"/>
      <c r="G29" s="83"/>
      <c r="H29" s="83"/>
      <c r="I29" s="83"/>
      <c r="J29" s="83"/>
      <c r="K29" s="83"/>
      <c r="L29" s="83"/>
      <c r="M29" s="83"/>
      <c r="N29" s="83"/>
      <c r="O29" s="83"/>
      <c r="P29" s="83"/>
    </row>
    <row r="30" spans="1:16" x14ac:dyDescent="0.25">
      <c r="C30" s="83"/>
      <c r="D30" s="83"/>
      <c r="E30" s="83"/>
      <c r="F30" s="83"/>
      <c r="G30" s="83"/>
      <c r="H30" s="83"/>
      <c r="I30" s="83"/>
      <c r="J30" s="83"/>
      <c r="K30" s="83"/>
      <c r="L30" s="83"/>
      <c r="M30" s="83"/>
      <c r="N30" s="83"/>
      <c r="O30" s="83"/>
      <c r="P30" s="83"/>
    </row>
    <row r="31" spans="1:16" x14ac:dyDescent="0.25">
      <c r="C31" s="83"/>
      <c r="D31" s="83"/>
      <c r="E31" s="83"/>
      <c r="F31" s="83"/>
      <c r="G31" s="83"/>
      <c r="H31" s="83"/>
      <c r="I31" s="83"/>
      <c r="J31" s="83"/>
      <c r="K31" s="83"/>
      <c r="L31" s="83"/>
      <c r="M31" s="83"/>
      <c r="N31" s="83"/>
      <c r="O31" s="83"/>
      <c r="P31" s="83"/>
    </row>
    <row r="32" spans="1:16" x14ac:dyDescent="0.25">
      <c r="C32" s="83"/>
      <c r="D32" s="83"/>
      <c r="E32" s="83"/>
      <c r="F32" s="83"/>
      <c r="G32" s="83"/>
      <c r="H32" s="83"/>
      <c r="I32" s="83"/>
      <c r="J32" s="83"/>
      <c r="K32" s="83"/>
      <c r="L32" s="83"/>
      <c r="M32" s="83"/>
      <c r="N32" s="83"/>
      <c r="O32" s="83"/>
      <c r="P32" s="83"/>
    </row>
    <row r="33" spans="3:16" x14ac:dyDescent="0.25">
      <c r="C33" s="83"/>
      <c r="D33" s="83"/>
      <c r="E33" s="83"/>
      <c r="F33" s="83"/>
      <c r="G33" s="83"/>
      <c r="H33" s="83"/>
      <c r="I33" s="83"/>
      <c r="J33" s="83"/>
      <c r="K33" s="83"/>
      <c r="L33" s="83"/>
      <c r="M33" s="83"/>
      <c r="N33" s="83"/>
      <c r="O33" s="83"/>
      <c r="P33" s="83"/>
    </row>
    <row r="34" spans="3:16" x14ac:dyDescent="0.25">
      <c r="C34" s="83"/>
      <c r="D34" s="83"/>
      <c r="E34" s="83"/>
      <c r="F34" s="83"/>
      <c r="G34" s="83"/>
      <c r="H34" s="83"/>
      <c r="I34" s="83"/>
      <c r="J34" s="83"/>
      <c r="K34" s="83"/>
      <c r="L34" s="83"/>
      <c r="M34" s="83"/>
      <c r="N34" s="83"/>
      <c r="O34" s="83"/>
      <c r="P34" s="83"/>
    </row>
    <row r="35" spans="3:16" x14ac:dyDescent="0.25">
      <c r="C35" s="83"/>
      <c r="D35" s="83"/>
      <c r="E35" s="83"/>
      <c r="F35" s="83"/>
      <c r="G35" s="83"/>
      <c r="H35" s="83"/>
      <c r="I35" s="83"/>
      <c r="J35" s="83"/>
      <c r="K35" s="83"/>
      <c r="L35" s="83"/>
      <c r="M35" s="83"/>
      <c r="N35" s="83"/>
      <c r="O35" s="83"/>
      <c r="P35" s="83"/>
    </row>
    <row r="36" spans="3:16" x14ac:dyDescent="0.25">
      <c r="C36" s="83"/>
      <c r="D36" s="83"/>
      <c r="E36" s="83"/>
      <c r="F36" s="83"/>
      <c r="G36" s="83"/>
      <c r="H36" s="83"/>
      <c r="I36" s="83"/>
      <c r="J36" s="83"/>
      <c r="K36" s="83"/>
      <c r="L36" s="83"/>
      <c r="M36" s="83"/>
      <c r="N36" s="83"/>
      <c r="O36" s="83"/>
      <c r="P36" s="83"/>
    </row>
    <row r="37" spans="3:16" x14ac:dyDescent="0.25">
      <c r="C37" s="83"/>
      <c r="D37" s="83"/>
      <c r="E37" s="83"/>
      <c r="F37" s="83"/>
      <c r="G37" s="83"/>
      <c r="H37" s="83"/>
      <c r="I37" s="83"/>
      <c r="J37" s="83"/>
      <c r="K37" s="83"/>
      <c r="L37" s="83"/>
      <c r="M37" s="83"/>
      <c r="N37" s="83"/>
      <c r="O37" s="83"/>
      <c r="P37" s="83"/>
    </row>
    <row r="38" spans="3:16" x14ac:dyDescent="0.25">
      <c r="C38" s="83"/>
      <c r="D38" s="83"/>
      <c r="E38" s="83"/>
      <c r="F38" s="83"/>
      <c r="G38" s="83"/>
      <c r="H38" s="83"/>
      <c r="I38" s="83"/>
      <c r="J38" s="83"/>
      <c r="K38" s="83"/>
      <c r="L38" s="83"/>
      <c r="M38" s="83"/>
      <c r="N38" s="83"/>
      <c r="O38" s="83"/>
      <c r="P38" s="83"/>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00B0F0"/>
  </sheetPr>
  <dimension ref="A1:C22"/>
  <sheetViews>
    <sheetView workbookViewId="0">
      <selection activeCell="B4" sqref="B4"/>
    </sheetView>
  </sheetViews>
  <sheetFormatPr baseColWidth="10" defaultColWidth="11.42578125" defaultRowHeight="15" x14ac:dyDescent="0.25"/>
  <cols>
    <col min="1" max="1" width="5.7109375" customWidth="1"/>
    <col min="2" max="2" width="50.28515625" customWidth="1"/>
    <col min="3" max="3" width="22.85546875" customWidth="1"/>
  </cols>
  <sheetData>
    <row r="1" spans="1:3" ht="26.25" x14ac:dyDescent="0.4">
      <c r="A1" s="32" t="s">
        <v>858</v>
      </c>
      <c r="B1" s="7"/>
    </row>
    <row r="2" spans="1:3" ht="15" customHeight="1" x14ac:dyDescent="0.4">
      <c r="A2" s="32"/>
      <c r="B2" s="7"/>
    </row>
    <row r="3" spans="1:3" ht="15" customHeight="1" thickBot="1" x14ac:dyDescent="0.3">
      <c r="A3" s="7"/>
      <c r="B3" s="124" t="s">
        <v>758</v>
      </c>
    </row>
    <row r="4" spans="1:3" ht="15" customHeight="1" thickBot="1" x14ac:dyDescent="0.45">
      <c r="A4" s="32"/>
      <c r="B4" s="146" t="s">
        <v>28</v>
      </c>
    </row>
    <row r="5" spans="1:3" ht="15" customHeight="1" x14ac:dyDescent="0.25">
      <c r="C5" s="53"/>
    </row>
    <row r="6" spans="1:3" ht="15" customHeight="1" x14ac:dyDescent="0.25">
      <c r="C6" s="149" t="s">
        <v>202</v>
      </c>
    </row>
    <row r="7" spans="1:3" x14ac:dyDescent="0.25">
      <c r="A7">
        <v>10</v>
      </c>
      <c r="B7" t="s">
        <v>240</v>
      </c>
      <c r="C7" s="4">
        <f>HLOOKUP($B$4,'Bourgeoisie endettement'!$C$6:$P$22,2,0)</f>
        <v>31956806.93</v>
      </c>
    </row>
    <row r="8" spans="1:3" x14ac:dyDescent="0.25">
      <c r="C8" s="4"/>
    </row>
    <row r="9" spans="1:3" x14ac:dyDescent="0.25">
      <c r="A9">
        <v>20</v>
      </c>
      <c r="B9" t="s">
        <v>252</v>
      </c>
      <c r="C9" s="4">
        <f>HLOOKUP($B$4,'Bourgeoisie endettement'!$C$6:$P$22,4,0)</f>
        <v>4196382.0999999996</v>
      </c>
    </row>
    <row r="10" spans="1:3" x14ac:dyDescent="0.25">
      <c r="C10" s="4"/>
    </row>
    <row r="11" spans="1:3" x14ac:dyDescent="0.25">
      <c r="A11">
        <v>200</v>
      </c>
      <c r="B11" t="s">
        <v>451</v>
      </c>
      <c r="C11" s="4">
        <f>HLOOKUP($B$4,'Bourgeoisie endettement'!$C$6:$P$22,6,0)</f>
        <v>188444.6</v>
      </c>
    </row>
    <row r="12" spans="1:3" x14ac:dyDescent="0.25">
      <c r="C12" s="4"/>
    </row>
    <row r="13" spans="1:3" x14ac:dyDescent="0.25">
      <c r="A13">
        <v>201</v>
      </c>
      <c r="B13" t="s">
        <v>254</v>
      </c>
      <c r="C13" s="4">
        <f>HLOOKUP($B$4,'Bourgeoisie endettement'!$C$6:$P$22,8,0)</f>
        <v>0</v>
      </c>
    </row>
    <row r="14" spans="1:3" x14ac:dyDescent="0.25">
      <c r="C14" s="4"/>
    </row>
    <row r="15" spans="1:3" x14ac:dyDescent="0.25">
      <c r="A15">
        <v>206</v>
      </c>
      <c r="B15" t="s">
        <v>257</v>
      </c>
      <c r="C15" s="4">
        <f>HLOOKUP($B$4,'Bourgeoisie endettement'!$C$6:$P$22,10,0)</f>
        <v>3283750</v>
      </c>
    </row>
    <row r="16" spans="1:3" x14ac:dyDescent="0.25">
      <c r="C16" s="4"/>
    </row>
    <row r="17" spans="1:3" x14ac:dyDescent="0.25">
      <c r="A17">
        <v>2016</v>
      </c>
      <c r="B17" t="s">
        <v>269</v>
      </c>
      <c r="C17" s="4">
        <f>HLOOKUP($B$4,'Bourgeoisie endettement'!$C$6:$P$22,12,0)</f>
        <v>0</v>
      </c>
    </row>
    <row r="18" spans="1:3" x14ac:dyDescent="0.25">
      <c r="C18" s="4"/>
    </row>
    <row r="19" spans="1:3" x14ac:dyDescent="0.25">
      <c r="C19" s="4"/>
    </row>
    <row r="20" spans="1:3" x14ac:dyDescent="0.25">
      <c r="B20" s="81" t="s">
        <v>567</v>
      </c>
      <c r="C20" s="82">
        <f>HLOOKUP($B$4,'Bourgeoisie endettement'!$C$6:$P$22,15,0)</f>
        <v>3472194.6</v>
      </c>
    </row>
    <row r="21" spans="1:3" x14ac:dyDescent="0.25">
      <c r="B21" s="7"/>
      <c r="C21" s="31"/>
    </row>
    <row r="22" spans="1:3" x14ac:dyDescent="0.25">
      <c r="B22" s="81" t="s">
        <v>498</v>
      </c>
      <c r="C22" s="82">
        <f>HLOOKUP($B$4,'Bourgeoisie endettement'!$C$6:$P$22,17,0)</f>
        <v>-27760424.829999998</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000-000000000000}">
          <x14:formula1>
            <xm:f>'Bourgeoisie endettement'!$C$6:$P$6</xm:f>
          </x14:formula1>
          <xm:sqref>B4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pageSetUpPr fitToPage="1"/>
  </sheetPr>
  <dimension ref="A3:U36"/>
  <sheetViews>
    <sheetView workbookViewId="0">
      <selection activeCell="R25" sqref="R25"/>
    </sheetView>
  </sheetViews>
  <sheetFormatPr baseColWidth="10" defaultColWidth="11.42578125" defaultRowHeight="15" x14ac:dyDescent="0.25"/>
  <cols>
    <col min="1" max="1" width="4.85546875" customWidth="1"/>
    <col min="2" max="2" width="20.140625" customWidth="1"/>
    <col min="3" max="3" width="12.85546875" customWidth="1"/>
    <col min="4" max="4" width="4.42578125" customWidth="1"/>
    <col min="7" max="7" width="4.7109375" customWidth="1"/>
    <col min="10" max="10" width="4.85546875" customWidth="1"/>
    <col min="13" max="13" width="6" customWidth="1"/>
    <col min="16" max="16" width="4.140625" customWidth="1"/>
  </cols>
  <sheetData>
    <row r="3" spans="1:21" x14ac:dyDescent="0.25">
      <c r="B3" t="s">
        <v>0</v>
      </c>
      <c r="E3" t="s">
        <v>1</v>
      </c>
      <c r="G3" t="s">
        <v>2</v>
      </c>
      <c r="J3" t="s">
        <v>3</v>
      </c>
      <c r="M3" t="s">
        <v>4</v>
      </c>
      <c r="P3" t="s">
        <v>5</v>
      </c>
    </row>
    <row r="5" spans="1:21" x14ac:dyDescent="0.25">
      <c r="A5">
        <v>1</v>
      </c>
      <c r="B5" t="s">
        <v>11</v>
      </c>
      <c r="C5" s="1">
        <f>'Base de données pop.'!C24</f>
        <v>96</v>
      </c>
      <c r="D5">
        <v>9</v>
      </c>
      <c r="E5" t="s">
        <v>6</v>
      </c>
      <c r="F5" s="1">
        <f>'Base de données pop.'!C32</f>
        <v>222</v>
      </c>
      <c r="G5">
        <v>21</v>
      </c>
      <c r="H5" t="s">
        <v>19</v>
      </c>
      <c r="I5" s="1">
        <f>'Base de données pop.'!C26</f>
        <v>518</v>
      </c>
      <c r="J5">
        <v>33</v>
      </c>
      <c r="K5" t="s">
        <v>8</v>
      </c>
      <c r="L5" s="1">
        <f>'Base de données pop.'!C43</f>
        <v>1016</v>
      </c>
      <c r="M5">
        <v>45</v>
      </c>
      <c r="N5" t="s">
        <v>9</v>
      </c>
      <c r="O5" s="1">
        <f>'Base de données pop.'!C45</f>
        <v>2412</v>
      </c>
      <c r="P5">
        <v>48</v>
      </c>
      <c r="Q5" t="s">
        <v>27</v>
      </c>
      <c r="R5" s="1">
        <f>'Base de données pop.'!C20</f>
        <v>3229</v>
      </c>
    </row>
    <row r="6" spans="1:21" x14ac:dyDescent="0.25">
      <c r="A6">
        <v>2</v>
      </c>
      <c r="B6" t="s">
        <v>17</v>
      </c>
      <c r="C6" s="1">
        <f>'Base de données pop.'!C14</f>
        <v>111</v>
      </c>
      <c r="D6">
        <v>10</v>
      </c>
      <c r="E6" t="s">
        <v>18</v>
      </c>
      <c r="F6" s="1">
        <f>'Base de données pop.'!C3</f>
        <v>265</v>
      </c>
      <c r="G6">
        <v>22</v>
      </c>
      <c r="H6" t="s">
        <v>7</v>
      </c>
      <c r="I6" s="1">
        <f>'Base de données pop.'!C29</f>
        <v>525</v>
      </c>
      <c r="J6">
        <v>34</v>
      </c>
      <c r="K6" t="s">
        <v>58</v>
      </c>
      <c r="L6" s="1">
        <f>'Base de données pop.'!C51</f>
        <v>1073</v>
      </c>
      <c r="M6">
        <v>46</v>
      </c>
      <c r="N6" t="s">
        <v>21</v>
      </c>
      <c r="O6" s="1">
        <f>'Base de données pop.'!C31</f>
        <v>2580</v>
      </c>
      <c r="P6">
        <v>49</v>
      </c>
      <c r="Q6" t="s">
        <v>10</v>
      </c>
      <c r="R6" s="1">
        <f>'Base de données pop.'!C7</f>
        <v>3345</v>
      </c>
    </row>
    <row r="7" spans="1:21" x14ac:dyDescent="0.25">
      <c r="A7">
        <v>3</v>
      </c>
      <c r="B7" t="s">
        <v>23</v>
      </c>
      <c r="C7" s="1">
        <f>'Base de données pop.'!C11</f>
        <v>117</v>
      </c>
      <c r="D7">
        <v>11</v>
      </c>
      <c r="E7" t="s">
        <v>12</v>
      </c>
      <c r="F7" s="1">
        <f>'Base de données pop.'!C18</f>
        <v>269</v>
      </c>
      <c r="G7">
        <v>23</v>
      </c>
      <c r="H7" t="s">
        <v>13</v>
      </c>
      <c r="I7" s="1">
        <f>'Base de données pop.'!C13</f>
        <v>538</v>
      </c>
      <c r="J7">
        <v>35</v>
      </c>
      <c r="K7" t="s">
        <v>14</v>
      </c>
      <c r="L7" s="1">
        <f>'Base de données pop.'!C35</f>
        <v>1126</v>
      </c>
      <c r="M7">
        <v>47</v>
      </c>
      <c r="N7" t="s">
        <v>15</v>
      </c>
      <c r="O7" s="1">
        <f>'Base de données pop.'!C8</f>
        <v>2652</v>
      </c>
      <c r="P7">
        <v>50</v>
      </c>
      <c r="Q7" t="s">
        <v>33</v>
      </c>
      <c r="R7" s="1">
        <f>'Base de données pop.'!C6</f>
        <v>3728</v>
      </c>
    </row>
    <row r="8" spans="1:21" x14ac:dyDescent="0.25">
      <c r="A8">
        <v>4</v>
      </c>
      <c r="B8" t="s">
        <v>29</v>
      </c>
      <c r="C8" s="1">
        <f>'Base de données pop.'!C37</f>
        <v>117</v>
      </c>
      <c r="D8">
        <v>12</v>
      </c>
      <c r="E8" t="s">
        <v>24</v>
      </c>
      <c r="F8" s="1">
        <f>'Base de données pop.'!C44</f>
        <v>304</v>
      </c>
      <c r="G8">
        <v>24</v>
      </c>
      <c r="H8" t="s">
        <v>25</v>
      </c>
      <c r="I8" s="1">
        <f>'Base de données pop.'!C54</f>
        <v>559</v>
      </c>
      <c r="J8">
        <v>36</v>
      </c>
      <c r="K8" t="s">
        <v>26</v>
      </c>
      <c r="L8" s="1">
        <f>'Base de données pop.'!C38</f>
        <v>1185</v>
      </c>
      <c r="O8" s="2">
        <f>SUM(O5:O7)</f>
        <v>7644</v>
      </c>
      <c r="P8">
        <v>51</v>
      </c>
      <c r="Q8" t="s">
        <v>16</v>
      </c>
      <c r="R8" s="1">
        <f>'Base de données pop.'!C53</f>
        <v>6466</v>
      </c>
    </row>
    <row r="9" spans="1:21" x14ac:dyDescent="0.25">
      <c r="A9">
        <v>5</v>
      </c>
      <c r="B9" t="s">
        <v>34</v>
      </c>
      <c r="C9" s="1">
        <f>'Base de données pop.'!C33</f>
        <v>129</v>
      </c>
      <c r="D9">
        <v>13</v>
      </c>
      <c r="E9" t="s">
        <v>30</v>
      </c>
      <c r="F9" s="1">
        <f>'Base de données pop.'!C21</f>
        <v>310</v>
      </c>
      <c r="G9">
        <v>25</v>
      </c>
      <c r="H9" t="s">
        <v>36</v>
      </c>
      <c r="I9" s="1">
        <f>'Base de données pop.'!C28</f>
        <v>564</v>
      </c>
      <c r="J9">
        <v>37</v>
      </c>
      <c r="K9" t="s">
        <v>32</v>
      </c>
      <c r="L9" s="1">
        <f>'Base de données pop.'!C36</f>
        <v>1225</v>
      </c>
      <c r="N9" s="3" t="s">
        <v>38</v>
      </c>
      <c r="O9" s="4">
        <f>O8/5</f>
        <v>1528.8</v>
      </c>
      <c r="P9">
        <v>52</v>
      </c>
      <c r="Q9" t="s">
        <v>22</v>
      </c>
      <c r="R9" s="1">
        <f>'Base de données pop.'!C12</f>
        <v>7261</v>
      </c>
    </row>
    <row r="10" spans="1:21" x14ac:dyDescent="0.25">
      <c r="A10">
        <v>6</v>
      </c>
      <c r="B10" t="s">
        <v>39</v>
      </c>
      <c r="C10" s="1">
        <f>'Base de données pop.'!C25</f>
        <v>148</v>
      </c>
      <c r="D10">
        <v>14</v>
      </c>
      <c r="E10" t="s">
        <v>35</v>
      </c>
      <c r="F10" s="1">
        <f>'Base de données pop.'!C48</f>
        <v>340</v>
      </c>
      <c r="G10">
        <v>26</v>
      </c>
      <c r="H10" t="s">
        <v>44</v>
      </c>
      <c r="I10" s="1">
        <f>'Base de données pop.'!C40</f>
        <v>633</v>
      </c>
      <c r="J10">
        <v>38</v>
      </c>
      <c r="K10" t="s">
        <v>20</v>
      </c>
      <c r="L10" s="1">
        <f>'Base de données pop.'!C22</f>
        <v>1270</v>
      </c>
      <c r="P10">
        <v>53</v>
      </c>
      <c r="Q10" t="s">
        <v>28</v>
      </c>
      <c r="R10" s="1">
        <f>'Base de données pop.'!C9</f>
        <v>12479</v>
      </c>
    </row>
    <row r="11" spans="1:21" x14ac:dyDescent="0.25">
      <c r="A11">
        <v>7</v>
      </c>
      <c r="B11" t="s">
        <v>50</v>
      </c>
      <c r="C11" s="1">
        <f>'Base de données pop.'!C52</f>
        <v>184</v>
      </c>
      <c r="D11">
        <v>15</v>
      </c>
      <c r="E11" t="s">
        <v>40</v>
      </c>
      <c r="F11" s="1">
        <f>'Base de données pop.'!C16</f>
        <v>346</v>
      </c>
      <c r="G11">
        <v>27</v>
      </c>
      <c r="H11" t="s">
        <v>48</v>
      </c>
      <c r="I11" s="1">
        <f>'Base de données pop.'!C39</f>
        <v>642</v>
      </c>
      <c r="J11">
        <v>39</v>
      </c>
      <c r="K11" t="s">
        <v>37</v>
      </c>
      <c r="L11" s="1">
        <f>'Base de données pop.'!C41</f>
        <v>1284</v>
      </c>
      <c r="R11" s="2">
        <f>SUM(R5:R10)</f>
        <v>36508</v>
      </c>
    </row>
    <row r="12" spans="1:21" x14ac:dyDescent="0.25">
      <c r="A12">
        <v>8</v>
      </c>
      <c r="B12" t="s">
        <v>46</v>
      </c>
      <c r="C12" s="1">
        <f>'Base de données pop.'!C47</f>
        <v>185</v>
      </c>
      <c r="D12">
        <v>16</v>
      </c>
      <c r="E12" t="s">
        <v>47</v>
      </c>
      <c r="F12" s="1">
        <f>'Base de données pop.'!C50</f>
        <v>390</v>
      </c>
      <c r="G12">
        <v>28</v>
      </c>
      <c r="H12" t="s">
        <v>41</v>
      </c>
      <c r="I12" s="1">
        <f>'Base de données pop.'!C27</f>
        <v>701</v>
      </c>
      <c r="J12">
        <v>40</v>
      </c>
      <c r="K12" t="s">
        <v>42</v>
      </c>
      <c r="L12" s="1">
        <f>'Base de données pop.'!C10</f>
        <v>1359</v>
      </c>
      <c r="Q12" s="3" t="s">
        <v>38</v>
      </c>
      <c r="R12" s="4">
        <f>R11/4</f>
        <v>9127</v>
      </c>
      <c r="T12" s="1"/>
    </row>
    <row r="13" spans="1:21" x14ac:dyDescent="0.25">
      <c r="C13" s="2">
        <f>SUM(C5:C12)</f>
        <v>1087</v>
      </c>
      <c r="D13">
        <v>17</v>
      </c>
      <c r="E13" t="s">
        <v>43</v>
      </c>
      <c r="F13" s="1">
        <f>'Base de données pop.'!C15</f>
        <v>421</v>
      </c>
      <c r="G13">
        <v>29</v>
      </c>
      <c r="H13" t="s">
        <v>31</v>
      </c>
      <c r="I13" s="1">
        <f>'Base de données pop.'!C17</f>
        <v>710</v>
      </c>
      <c r="J13">
        <v>41</v>
      </c>
      <c r="K13" t="s">
        <v>45</v>
      </c>
      <c r="L13" s="1">
        <f>'Base de données pop.'!C23</f>
        <v>1506</v>
      </c>
      <c r="T13" s="1"/>
    </row>
    <row r="14" spans="1:21" x14ac:dyDescent="0.25">
      <c r="B14" s="3" t="s">
        <v>38</v>
      </c>
      <c r="C14" s="4">
        <f>C13/8</f>
        <v>135.875</v>
      </c>
      <c r="D14">
        <v>18</v>
      </c>
      <c r="E14" t="s">
        <v>53</v>
      </c>
      <c r="F14" s="1">
        <f>'Base de données pop.'!C5</f>
        <v>439</v>
      </c>
      <c r="G14">
        <v>30</v>
      </c>
      <c r="H14" t="s">
        <v>51</v>
      </c>
      <c r="I14" s="1">
        <f>'Base de données pop.'!C42</f>
        <v>731</v>
      </c>
      <c r="J14">
        <v>42</v>
      </c>
      <c r="K14" t="s">
        <v>49</v>
      </c>
      <c r="L14" s="1">
        <f>'Base de données pop.'!C49</f>
        <v>1697</v>
      </c>
      <c r="S14" s="5">
        <f>C13+F17+I17+L17+O8+R11</f>
        <v>73798</v>
      </c>
      <c r="U14" s="1"/>
    </row>
    <row r="15" spans="1:21" x14ac:dyDescent="0.25">
      <c r="D15">
        <v>19</v>
      </c>
      <c r="E15" t="s">
        <v>59</v>
      </c>
      <c r="F15" s="1">
        <f>'Base de données pop.'!C19</f>
        <v>440</v>
      </c>
      <c r="G15">
        <v>31</v>
      </c>
      <c r="H15" t="s">
        <v>54</v>
      </c>
      <c r="I15" s="1">
        <f>'Base de données pop.'!C46</f>
        <v>735</v>
      </c>
      <c r="J15">
        <v>43</v>
      </c>
      <c r="K15" t="s">
        <v>52</v>
      </c>
      <c r="L15" s="1">
        <f>'Base de données pop.'!C34</f>
        <v>1891</v>
      </c>
      <c r="S15" s="1">
        <f>S14/53</f>
        <v>1392.4150943396226</v>
      </c>
    </row>
    <row r="16" spans="1:21" x14ac:dyDescent="0.25">
      <c r="D16">
        <v>20</v>
      </c>
      <c r="E16" t="s">
        <v>57</v>
      </c>
      <c r="F16" s="1">
        <f>'Base de données pop.'!C4</f>
        <v>469</v>
      </c>
      <c r="G16">
        <v>32</v>
      </c>
      <c r="H16" t="s">
        <v>56</v>
      </c>
      <c r="I16" s="1">
        <f>'Base de données pop.'!C2</f>
        <v>947</v>
      </c>
      <c r="J16">
        <v>44</v>
      </c>
      <c r="K16" t="s">
        <v>55</v>
      </c>
      <c r="L16" s="1">
        <f>'Base de données pop.'!C30</f>
        <v>1909</v>
      </c>
      <c r="Q16" s="1"/>
      <c r="U16" t="s">
        <v>66</v>
      </c>
    </row>
    <row r="17" spans="2:21" x14ac:dyDescent="0.25">
      <c r="C17" s="1"/>
      <c r="F17" s="2">
        <f>SUM(F5:F16)</f>
        <v>4215</v>
      </c>
      <c r="I17" s="9">
        <f>SUM(I5:I16)</f>
        <v>7803</v>
      </c>
      <c r="L17" s="2">
        <f>SUM(L5:L16)</f>
        <v>16541</v>
      </c>
      <c r="U17" s="1">
        <f>C13+F17+I17</f>
        <v>13105</v>
      </c>
    </row>
    <row r="18" spans="2:21" x14ac:dyDescent="0.25">
      <c r="E18" s="3" t="s">
        <v>38</v>
      </c>
      <c r="F18" s="4">
        <f>F17/13</f>
        <v>324.23076923076923</v>
      </c>
      <c r="H18" s="3" t="s">
        <v>38</v>
      </c>
      <c r="I18" s="4">
        <f>I17/11</f>
        <v>709.36363636363637</v>
      </c>
      <c r="K18" s="3" t="s">
        <v>38</v>
      </c>
      <c r="L18" s="4">
        <f>L17/12</f>
        <v>1378.4166666666667</v>
      </c>
      <c r="Q18" s="1"/>
    </row>
    <row r="20" spans="2:21" x14ac:dyDescent="0.25">
      <c r="F20" s="1"/>
      <c r="O20" s="1"/>
    </row>
    <row r="21" spans="2:21" x14ac:dyDescent="0.25">
      <c r="B21" s="1">
        <f>C13+F17+I17+L17+O8+R11</f>
        <v>73798</v>
      </c>
      <c r="O21" s="1"/>
    </row>
    <row r="22" spans="2:21" x14ac:dyDescent="0.25">
      <c r="O22" s="8"/>
    </row>
    <row r="23" spans="2:21" x14ac:dyDescent="0.25">
      <c r="K23" t="s">
        <v>63</v>
      </c>
      <c r="L23" t="s">
        <v>28</v>
      </c>
      <c r="M23" s="7"/>
      <c r="N23" s="7"/>
      <c r="O23" s="1">
        <v>39125</v>
      </c>
    </row>
    <row r="24" spans="2:21" x14ac:dyDescent="0.25">
      <c r="B24" t="s">
        <v>77</v>
      </c>
      <c r="C24" s="2">
        <f>C13</f>
        <v>1087</v>
      </c>
      <c r="D24" s="4"/>
      <c r="E24" s="28">
        <f>C24*100/B21</f>
        <v>1.4729396460608688</v>
      </c>
      <c r="L24" t="s">
        <v>64</v>
      </c>
      <c r="O24" s="1">
        <v>10478</v>
      </c>
      <c r="R24" s="1"/>
    </row>
    <row r="25" spans="2:21" x14ac:dyDescent="0.25">
      <c r="B25" t="s">
        <v>73</v>
      </c>
      <c r="C25" s="2">
        <f>F17</f>
        <v>4215</v>
      </c>
      <c r="D25" s="4"/>
      <c r="E25" s="28">
        <f>C25*100/B21</f>
        <v>5.7115368980189167</v>
      </c>
      <c r="F25" s="28">
        <f>E24+E25</f>
        <v>7.1844765440797858</v>
      </c>
      <c r="L25" t="s">
        <v>16</v>
      </c>
      <c r="O25" s="1">
        <v>24195</v>
      </c>
      <c r="R25" s="1"/>
    </row>
    <row r="26" spans="2:21" x14ac:dyDescent="0.25">
      <c r="B26" t="s">
        <v>78</v>
      </c>
      <c r="C26" s="2">
        <f>I17</f>
        <v>7803</v>
      </c>
      <c r="D26" s="4"/>
      <c r="E26" s="28">
        <f>C26*100/B21</f>
        <v>10.573457275264913</v>
      </c>
      <c r="L26" s="7" t="s">
        <v>65</v>
      </c>
      <c r="O26" s="14">
        <f>SUM(O23:O25)</f>
        <v>73798</v>
      </c>
      <c r="R26" s="1"/>
    </row>
    <row r="27" spans="2:21" x14ac:dyDescent="0.25">
      <c r="B27" t="s">
        <v>74</v>
      </c>
      <c r="C27" s="2">
        <f>L17</f>
        <v>16541</v>
      </c>
      <c r="D27" s="4"/>
      <c r="E27" s="28">
        <f>C27*100/B21</f>
        <v>22.413886555191198</v>
      </c>
    </row>
    <row r="28" spans="2:21" x14ac:dyDescent="0.25">
      <c r="B28" t="s">
        <v>75</v>
      </c>
      <c r="C28" s="2">
        <f>O8</f>
        <v>7644</v>
      </c>
      <c r="D28" s="4"/>
      <c r="E28" s="28">
        <f>C28*100/B21</f>
        <v>10.358004281958861</v>
      </c>
    </row>
    <row r="29" spans="2:21" x14ac:dyDescent="0.25">
      <c r="B29" t="s">
        <v>76</v>
      </c>
      <c r="C29" s="2">
        <f>R11</f>
        <v>36508</v>
      </c>
      <c r="D29" s="4"/>
      <c r="E29" s="28">
        <f>C29*100/B21</f>
        <v>49.470175343505247</v>
      </c>
    </row>
    <row r="30" spans="2:21" x14ac:dyDescent="0.25">
      <c r="C30" s="14">
        <f>SUM(C24:C29)</f>
        <v>73798</v>
      </c>
      <c r="D30" s="30"/>
      <c r="E30" s="28">
        <f>C30*100/B21</f>
        <v>100</v>
      </c>
    </row>
    <row r="31" spans="2:21" x14ac:dyDescent="0.25">
      <c r="D31" s="29"/>
      <c r="E31" s="29"/>
    </row>
    <row r="32" spans="2:21" x14ac:dyDescent="0.25">
      <c r="C32" s="6"/>
      <c r="D32" s="29"/>
      <c r="E32" s="29"/>
    </row>
    <row r="36" spans="3:3" x14ac:dyDescent="0.25">
      <c r="C36" s="6"/>
    </row>
  </sheetData>
  <sortState xmlns:xlrd2="http://schemas.microsoft.com/office/spreadsheetml/2017/richdata2" ref="G5:I16">
    <sortCondition ref="I5:I16"/>
  </sortState>
  <pageMargins left="0.7" right="0.7" top="0.75" bottom="0.75" header="0.3" footer="0.3"/>
  <pageSetup paperSize="9" scale="59"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00B0F0"/>
  </sheetPr>
  <dimension ref="A1:S184"/>
  <sheetViews>
    <sheetView zoomScale="85" zoomScaleNormal="85" workbookViewId="0">
      <pane xSplit="4" ySplit="3" topLeftCell="J148" activePane="bottomRight" state="frozen"/>
      <selection pane="topRight" activeCell="E1" sqref="E1"/>
      <selection pane="bottomLeft" activeCell="A4" sqref="A4"/>
      <selection pane="bottomRight" activeCell="J180" sqref="J180"/>
    </sheetView>
  </sheetViews>
  <sheetFormatPr baseColWidth="10" defaultColWidth="11.42578125" defaultRowHeight="15" x14ac:dyDescent="0.25"/>
  <cols>
    <col min="1" max="2" width="5.7109375" customWidth="1"/>
    <col min="3" max="3" width="9" customWidth="1"/>
    <col min="4" max="4" width="63.5703125" customWidth="1"/>
    <col min="5" max="16" width="16.28515625" customWidth="1"/>
    <col min="17" max="17" width="18.140625" customWidth="1"/>
    <col min="18" max="18" width="16.28515625" customWidth="1"/>
  </cols>
  <sheetData>
    <row r="1" spans="1:19" ht="26.25" x14ac:dyDescent="0.4">
      <c r="A1" s="32" t="s">
        <v>852</v>
      </c>
      <c r="B1" s="7"/>
      <c r="C1" s="7"/>
      <c r="D1" s="7"/>
    </row>
    <row r="2" spans="1:19" ht="18.75" x14ac:dyDescent="0.3">
      <c r="A2" s="157" t="s">
        <v>746</v>
      </c>
      <c r="E2" s="45">
        <f>'Base de données pop.'!C2</f>
        <v>947</v>
      </c>
      <c r="F2" s="45">
        <f>'Base de données pop.'!C3</f>
        <v>265</v>
      </c>
      <c r="G2" s="45">
        <f>'Base de données pop.'!C4</f>
        <v>469</v>
      </c>
      <c r="H2" s="45">
        <f>'Base de données pop.'!C5</f>
        <v>439</v>
      </c>
      <c r="I2" s="45">
        <f>'Base de données pop.'!C6</f>
        <v>3728</v>
      </c>
      <c r="J2" s="45">
        <f>'Base de données pop.'!C7</f>
        <v>3345</v>
      </c>
      <c r="K2" s="45">
        <f>'Base de données pop.'!C8</f>
        <v>2652</v>
      </c>
      <c r="L2" s="45">
        <f>'Base de données pop.'!C9</f>
        <v>12479</v>
      </c>
      <c r="M2" s="45">
        <f>'Base de données pop.'!C10</f>
        <v>1359</v>
      </c>
      <c r="N2" s="45">
        <f>'Base de données pop.'!C11</f>
        <v>117</v>
      </c>
      <c r="O2" s="45">
        <f>'Base de données pop.'!C12</f>
        <v>7261</v>
      </c>
      <c r="P2" s="45">
        <f>'Base de données pop.'!C13</f>
        <v>538</v>
      </c>
      <c r="Q2" s="45">
        <f>'Base de données pop.'!C14</f>
        <v>111</v>
      </c>
      <c r="R2" s="45">
        <f>SUM(E2:Q2)</f>
        <v>33710</v>
      </c>
    </row>
    <row r="3" spans="1:19" x14ac:dyDescent="0.25">
      <c r="E3" s="33" t="s">
        <v>56</v>
      </c>
      <c r="F3" s="33" t="s">
        <v>18</v>
      </c>
      <c r="G3" s="33" t="s">
        <v>57</v>
      </c>
      <c r="H3" s="33" t="s">
        <v>750</v>
      </c>
      <c r="I3" s="33" t="s">
        <v>33</v>
      </c>
      <c r="J3" s="33" t="s">
        <v>28</v>
      </c>
      <c r="K3" s="33" t="s">
        <v>751</v>
      </c>
      <c r="L3" s="33" t="s">
        <v>16</v>
      </c>
      <c r="M3" s="33" t="s">
        <v>752</v>
      </c>
      <c r="N3" s="33" t="s">
        <v>753</v>
      </c>
      <c r="O3" s="33" t="s">
        <v>59</v>
      </c>
      <c r="P3" s="33" t="s">
        <v>754</v>
      </c>
      <c r="Q3" s="33" t="s">
        <v>755</v>
      </c>
      <c r="R3" s="36" t="s">
        <v>65</v>
      </c>
    </row>
    <row r="4" spans="1:19" ht="21" x14ac:dyDescent="0.35">
      <c r="A4" s="84">
        <v>5</v>
      </c>
      <c r="B4" s="84"/>
      <c r="C4" s="84"/>
      <c r="D4" s="84" t="s">
        <v>193</v>
      </c>
      <c r="E4" s="82">
        <f>E5+E15+E25+E30+E41+E52+E63+E74</f>
        <v>48107.85</v>
      </c>
      <c r="F4" s="82">
        <f t="shared" ref="F4:R4" si="0">F5+F15+F25+F30+F41+F52+F63+F74</f>
        <v>0</v>
      </c>
      <c r="G4" s="82">
        <f t="shared" si="0"/>
        <v>6087.4</v>
      </c>
      <c r="H4" s="82">
        <f t="shared" si="0"/>
        <v>0</v>
      </c>
      <c r="I4" s="82">
        <f t="shared" si="0"/>
        <v>2490.15</v>
      </c>
      <c r="J4" s="82">
        <f t="shared" si="0"/>
        <v>0</v>
      </c>
      <c r="K4" s="82">
        <f t="shared" si="0"/>
        <v>0</v>
      </c>
      <c r="L4" s="82">
        <f t="shared" si="0"/>
        <v>0</v>
      </c>
      <c r="M4" s="82">
        <f t="shared" si="0"/>
        <v>0</v>
      </c>
      <c r="N4" s="82">
        <f t="shared" si="0"/>
        <v>0</v>
      </c>
      <c r="O4" s="82">
        <f t="shared" si="0"/>
        <v>0</v>
      </c>
      <c r="P4" s="82">
        <f t="shared" si="0"/>
        <v>0</v>
      </c>
      <c r="Q4" s="82">
        <f t="shared" si="0"/>
        <v>0</v>
      </c>
      <c r="R4" s="82">
        <f t="shared" si="0"/>
        <v>56685.4</v>
      </c>
    </row>
    <row r="5" spans="1:19" x14ac:dyDescent="0.25">
      <c r="A5" s="7"/>
      <c r="B5" s="56">
        <v>50</v>
      </c>
      <c r="C5" s="56"/>
      <c r="D5" s="56" t="s">
        <v>454</v>
      </c>
      <c r="E5" s="57">
        <f>E6+E7+E8+E9+E10+E11+E12+E13</f>
        <v>48107.85</v>
      </c>
      <c r="F5" s="57">
        <f t="shared" ref="F5:R5" si="1">F6+F7+F8+F9+F10+F11+F12+F13</f>
        <v>0</v>
      </c>
      <c r="G5" s="57">
        <f t="shared" si="1"/>
        <v>6087.4</v>
      </c>
      <c r="H5" s="57">
        <f t="shared" si="1"/>
        <v>0</v>
      </c>
      <c r="I5" s="57">
        <f t="shared" si="1"/>
        <v>2490.15</v>
      </c>
      <c r="J5" s="57">
        <f t="shared" si="1"/>
        <v>0</v>
      </c>
      <c r="K5" s="57">
        <f t="shared" si="1"/>
        <v>0</v>
      </c>
      <c r="L5" s="57">
        <f t="shared" si="1"/>
        <v>0</v>
      </c>
      <c r="M5" s="57">
        <f t="shared" si="1"/>
        <v>0</v>
      </c>
      <c r="N5" s="57">
        <f t="shared" si="1"/>
        <v>0</v>
      </c>
      <c r="O5" s="57">
        <f t="shared" si="1"/>
        <v>0</v>
      </c>
      <c r="P5" s="57">
        <f t="shared" si="1"/>
        <v>0</v>
      </c>
      <c r="Q5" s="57">
        <f t="shared" si="1"/>
        <v>0</v>
      </c>
      <c r="R5" s="57">
        <f t="shared" si="1"/>
        <v>56685.4</v>
      </c>
    </row>
    <row r="6" spans="1:19" x14ac:dyDescent="0.25">
      <c r="C6">
        <v>500</v>
      </c>
      <c r="D6" t="s">
        <v>456</v>
      </c>
      <c r="E6" s="4">
        <v>0</v>
      </c>
      <c r="F6" s="4">
        <v>0</v>
      </c>
      <c r="G6" s="4">
        <v>0</v>
      </c>
      <c r="H6" s="4">
        <v>0</v>
      </c>
      <c r="I6" s="4">
        <v>0</v>
      </c>
      <c r="J6" s="4">
        <v>0</v>
      </c>
      <c r="K6" s="4">
        <v>0</v>
      </c>
      <c r="L6" s="4">
        <v>0</v>
      </c>
      <c r="M6" s="4"/>
      <c r="N6" s="4">
        <v>0</v>
      </c>
      <c r="O6" s="4">
        <v>0</v>
      </c>
      <c r="P6" s="4"/>
      <c r="Q6" s="4"/>
      <c r="R6" s="4">
        <f t="shared" ref="R6:R13" si="2">SUM(E6:Q6)</f>
        <v>0</v>
      </c>
      <c r="S6" s="1">
        <v>4</v>
      </c>
    </row>
    <row r="7" spans="1:19" x14ac:dyDescent="0.25">
      <c r="C7">
        <v>501</v>
      </c>
      <c r="D7" t="s">
        <v>457</v>
      </c>
      <c r="E7" s="4">
        <v>0</v>
      </c>
      <c r="F7" s="4">
        <v>0</v>
      </c>
      <c r="G7" s="4">
        <v>6087.4</v>
      </c>
      <c r="H7" s="4">
        <v>0</v>
      </c>
      <c r="I7" s="4">
        <v>0</v>
      </c>
      <c r="J7" s="4">
        <v>0</v>
      </c>
      <c r="K7" s="4">
        <v>0</v>
      </c>
      <c r="L7" s="4">
        <v>0</v>
      </c>
      <c r="M7" s="4"/>
      <c r="N7" s="4">
        <v>0</v>
      </c>
      <c r="O7" s="4">
        <v>0</v>
      </c>
      <c r="P7" s="4"/>
      <c r="Q7" s="4"/>
      <c r="R7" s="4">
        <f t="shared" si="2"/>
        <v>6087.4</v>
      </c>
      <c r="S7">
        <v>5</v>
      </c>
    </row>
    <row r="8" spans="1:19" x14ac:dyDescent="0.25">
      <c r="C8">
        <v>502</v>
      </c>
      <c r="D8" t="s">
        <v>458</v>
      </c>
      <c r="E8" s="4">
        <v>0</v>
      </c>
      <c r="F8" s="4">
        <v>0</v>
      </c>
      <c r="G8" s="4">
        <v>0</v>
      </c>
      <c r="H8" s="4">
        <v>0</v>
      </c>
      <c r="I8" s="4">
        <v>0</v>
      </c>
      <c r="J8" s="4">
        <v>0</v>
      </c>
      <c r="K8" s="4">
        <v>0</v>
      </c>
      <c r="L8" s="4">
        <v>0</v>
      </c>
      <c r="M8" s="4"/>
      <c r="N8" s="4">
        <v>0</v>
      </c>
      <c r="O8" s="4">
        <v>0</v>
      </c>
      <c r="P8" s="4"/>
      <c r="Q8" s="4"/>
      <c r="R8" s="4">
        <f t="shared" si="2"/>
        <v>0</v>
      </c>
      <c r="S8">
        <v>6</v>
      </c>
    </row>
    <row r="9" spans="1:19" x14ac:dyDescent="0.25">
      <c r="C9">
        <v>503</v>
      </c>
      <c r="D9" t="s">
        <v>459</v>
      </c>
      <c r="E9" s="4">
        <v>48107.85</v>
      </c>
      <c r="F9" s="4">
        <v>0</v>
      </c>
      <c r="G9" s="4">
        <v>0</v>
      </c>
      <c r="H9" s="4">
        <v>0</v>
      </c>
      <c r="I9" s="4">
        <v>2490.15</v>
      </c>
      <c r="J9" s="4">
        <v>0</v>
      </c>
      <c r="K9" s="4">
        <v>0</v>
      </c>
      <c r="L9" s="4">
        <v>0</v>
      </c>
      <c r="M9" s="4"/>
      <c r="N9" s="4">
        <v>0</v>
      </c>
      <c r="O9" s="4">
        <v>0</v>
      </c>
      <c r="P9" s="4"/>
      <c r="Q9" s="4"/>
      <c r="R9" s="4">
        <f t="shared" si="2"/>
        <v>50598</v>
      </c>
      <c r="S9" s="1">
        <v>7</v>
      </c>
    </row>
    <row r="10" spans="1:19" x14ac:dyDescent="0.25">
      <c r="C10">
        <v>504</v>
      </c>
      <c r="D10" t="s">
        <v>460</v>
      </c>
      <c r="E10" s="4">
        <v>0</v>
      </c>
      <c r="F10" s="4">
        <v>0</v>
      </c>
      <c r="G10" s="4">
        <v>0</v>
      </c>
      <c r="H10" s="4">
        <v>0</v>
      </c>
      <c r="I10" s="4">
        <v>0</v>
      </c>
      <c r="J10" s="4">
        <v>0</v>
      </c>
      <c r="K10" s="4">
        <v>0</v>
      </c>
      <c r="L10" s="4">
        <v>0</v>
      </c>
      <c r="M10" s="4"/>
      <c r="N10" s="4">
        <v>0</v>
      </c>
      <c r="O10" s="4">
        <v>0</v>
      </c>
      <c r="P10" s="4"/>
      <c r="Q10" s="4"/>
      <c r="R10" s="4">
        <f t="shared" si="2"/>
        <v>0</v>
      </c>
      <c r="S10">
        <v>8</v>
      </c>
    </row>
    <row r="11" spans="1:19" x14ac:dyDescent="0.25">
      <c r="C11">
        <v>505</v>
      </c>
      <c r="D11" t="s">
        <v>461</v>
      </c>
      <c r="E11" s="4">
        <v>0</v>
      </c>
      <c r="F11" s="4">
        <v>0</v>
      </c>
      <c r="G11" s="4">
        <v>0</v>
      </c>
      <c r="H11" s="4">
        <v>0</v>
      </c>
      <c r="I11" s="4">
        <v>0</v>
      </c>
      <c r="J11" s="4">
        <v>0</v>
      </c>
      <c r="K11" s="4">
        <v>0</v>
      </c>
      <c r="L11" s="4">
        <v>0</v>
      </c>
      <c r="M11" s="4"/>
      <c r="N11" s="4">
        <v>0</v>
      </c>
      <c r="O11" s="4">
        <v>0</v>
      </c>
      <c r="P11" s="4"/>
      <c r="Q11" s="4"/>
      <c r="R11" s="4">
        <f t="shared" si="2"/>
        <v>0</v>
      </c>
      <c r="S11">
        <v>9</v>
      </c>
    </row>
    <row r="12" spans="1:19" x14ac:dyDescent="0.25">
      <c r="C12">
        <v>506</v>
      </c>
      <c r="D12" t="s">
        <v>462</v>
      </c>
      <c r="E12" s="4">
        <v>0</v>
      </c>
      <c r="F12" s="4">
        <v>0</v>
      </c>
      <c r="G12" s="4">
        <v>0</v>
      </c>
      <c r="H12" s="4">
        <v>0</v>
      </c>
      <c r="I12" s="4">
        <v>0</v>
      </c>
      <c r="J12" s="4">
        <v>0</v>
      </c>
      <c r="K12" s="4">
        <v>0</v>
      </c>
      <c r="L12" s="4">
        <v>0</v>
      </c>
      <c r="M12" s="4"/>
      <c r="N12" s="4">
        <v>0</v>
      </c>
      <c r="O12" s="4">
        <v>0</v>
      </c>
      <c r="P12" s="4"/>
      <c r="Q12" s="4"/>
      <c r="R12" s="4">
        <f t="shared" si="2"/>
        <v>0</v>
      </c>
      <c r="S12" s="1">
        <v>10</v>
      </c>
    </row>
    <row r="13" spans="1:19" x14ac:dyDescent="0.25">
      <c r="C13">
        <v>509</v>
      </c>
      <c r="D13" t="s">
        <v>463</v>
      </c>
      <c r="E13" s="4">
        <v>0</v>
      </c>
      <c r="F13" s="4">
        <v>0</v>
      </c>
      <c r="G13" s="4">
        <v>0</v>
      </c>
      <c r="H13" s="4">
        <v>0</v>
      </c>
      <c r="I13" s="4">
        <v>0</v>
      </c>
      <c r="J13" s="4">
        <v>0</v>
      </c>
      <c r="K13" s="4">
        <v>0</v>
      </c>
      <c r="L13" s="4">
        <v>0</v>
      </c>
      <c r="M13" s="4"/>
      <c r="N13" s="4">
        <v>0</v>
      </c>
      <c r="O13" s="4">
        <v>0</v>
      </c>
      <c r="P13" s="4"/>
      <c r="Q13" s="4"/>
      <c r="R13" s="4">
        <f t="shared" si="2"/>
        <v>0</v>
      </c>
      <c r="S13">
        <v>11</v>
      </c>
    </row>
    <row r="14" spans="1:19" x14ac:dyDescent="0.25">
      <c r="E14" s="4"/>
      <c r="F14" s="4"/>
      <c r="G14" s="4"/>
      <c r="H14" s="4"/>
      <c r="I14" s="4"/>
      <c r="J14" s="4"/>
      <c r="K14" s="4"/>
      <c r="L14" s="4"/>
      <c r="M14" s="4"/>
      <c r="N14" s="4"/>
      <c r="O14" s="4"/>
      <c r="P14" s="4"/>
      <c r="Q14" s="4"/>
      <c r="R14" s="4"/>
      <c r="S14">
        <v>12</v>
      </c>
    </row>
    <row r="15" spans="1:19" x14ac:dyDescent="0.25">
      <c r="B15" s="56">
        <v>51</v>
      </c>
      <c r="C15" s="56"/>
      <c r="D15" s="56" t="s">
        <v>455</v>
      </c>
      <c r="E15" s="57">
        <f>E16+E17+E18+E19+E20+E21+E22+E23</f>
        <v>0</v>
      </c>
      <c r="F15" s="57">
        <f t="shared" ref="F15:R15" si="3">F16+F17+F18+F19+F20+F21+F22+F23</f>
        <v>0</v>
      </c>
      <c r="G15" s="57">
        <f t="shared" si="3"/>
        <v>0</v>
      </c>
      <c r="H15" s="57">
        <f t="shared" si="3"/>
        <v>0</v>
      </c>
      <c r="I15" s="57">
        <f t="shared" si="3"/>
        <v>0</v>
      </c>
      <c r="J15" s="57">
        <f t="shared" si="3"/>
        <v>0</v>
      </c>
      <c r="K15" s="57">
        <f t="shared" si="3"/>
        <v>0</v>
      </c>
      <c r="L15" s="57">
        <f t="shared" si="3"/>
        <v>0</v>
      </c>
      <c r="M15" s="57">
        <f t="shared" si="3"/>
        <v>0</v>
      </c>
      <c r="N15" s="57">
        <f t="shared" si="3"/>
        <v>0</v>
      </c>
      <c r="O15" s="57">
        <f t="shared" si="3"/>
        <v>0</v>
      </c>
      <c r="P15" s="57">
        <f t="shared" si="3"/>
        <v>0</v>
      </c>
      <c r="Q15" s="57">
        <f t="shared" si="3"/>
        <v>0</v>
      </c>
      <c r="R15" s="57">
        <f t="shared" si="3"/>
        <v>0</v>
      </c>
      <c r="S15" s="1">
        <v>13</v>
      </c>
    </row>
    <row r="16" spans="1:19" x14ac:dyDescent="0.25">
      <c r="C16">
        <v>510</v>
      </c>
      <c r="D16" t="s">
        <v>456</v>
      </c>
      <c r="E16" s="4">
        <v>0</v>
      </c>
      <c r="F16" s="4">
        <v>0</v>
      </c>
      <c r="G16" s="4">
        <v>0</v>
      </c>
      <c r="H16" s="4">
        <v>0</v>
      </c>
      <c r="I16" s="4">
        <v>0</v>
      </c>
      <c r="J16" s="4">
        <v>0</v>
      </c>
      <c r="K16" s="4">
        <v>0</v>
      </c>
      <c r="L16" s="4">
        <v>0</v>
      </c>
      <c r="M16" s="4"/>
      <c r="N16" s="4">
        <v>0</v>
      </c>
      <c r="O16" s="4">
        <v>0</v>
      </c>
      <c r="P16" s="4"/>
      <c r="Q16" s="4"/>
      <c r="R16" s="4">
        <f t="shared" ref="R16:R23" si="4">SUM(E16:Q16)</f>
        <v>0</v>
      </c>
      <c r="S16">
        <v>14</v>
      </c>
    </row>
    <row r="17" spans="2:19" x14ac:dyDescent="0.25">
      <c r="C17">
        <v>511</v>
      </c>
      <c r="D17" t="s">
        <v>457</v>
      </c>
      <c r="E17" s="4">
        <v>0</v>
      </c>
      <c r="F17" s="4">
        <v>0</v>
      </c>
      <c r="G17" s="4">
        <v>0</v>
      </c>
      <c r="H17" s="4">
        <v>0</v>
      </c>
      <c r="I17" s="4">
        <v>0</v>
      </c>
      <c r="J17" s="4">
        <v>0</v>
      </c>
      <c r="K17" s="4">
        <v>0</v>
      </c>
      <c r="L17" s="4">
        <v>0</v>
      </c>
      <c r="M17" s="4"/>
      <c r="N17" s="4">
        <v>0</v>
      </c>
      <c r="O17" s="4">
        <v>0</v>
      </c>
      <c r="P17" s="4"/>
      <c r="Q17" s="4"/>
      <c r="R17" s="4">
        <f t="shared" si="4"/>
        <v>0</v>
      </c>
      <c r="S17">
        <v>15</v>
      </c>
    </row>
    <row r="18" spans="2:19" x14ac:dyDescent="0.25">
      <c r="C18">
        <v>512</v>
      </c>
      <c r="D18" t="s">
        <v>458</v>
      </c>
      <c r="E18" s="4">
        <v>0</v>
      </c>
      <c r="F18" s="4">
        <v>0</v>
      </c>
      <c r="G18" s="4">
        <v>0</v>
      </c>
      <c r="H18" s="4">
        <v>0</v>
      </c>
      <c r="I18" s="4">
        <v>0</v>
      </c>
      <c r="J18" s="4">
        <v>0</v>
      </c>
      <c r="K18" s="4">
        <v>0</v>
      </c>
      <c r="L18" s="4">
        <v>0</v>
      </c>
      <c r="M18" s="4"/>
      <c r="N18" s="4">
        <v>0</v>
      </c>
      <c r="O18" s="4">
        <v>0</v>
      </c>
      <c r="P18" s="4"/>
      <c r="Q18" s="4"/>
      <c r="R18" s="4">
        <f t="shared" si="4"/>
        <v>0</v>
      </c>
      <c r="S18" s="1">
        <v>16</v>
      </c>
    </row>
    <row r="19" spans="2:19" x14ac:dyDescent="0.25">
      <c r="C19">
        <v>513</v>
      </c>
      <c r="D19" t="s">
        <v>459</v>
      </c>
      <c r="E19" s="4">
        <v>0</v>
      </c>
      <c r="F19" s="4">
        <v>0</v>
      </c>
      <c r="G19" s="4">
        <v>0</v>
      </c>
      <c r="H19" s="4">
        <v>0</v>
      </c>
      <c r="I19" s="4">
        <v>0</v>
      </c>
      <c r="J19" s="4">
        <v>0</v>
      </c>
      <c r="K19" s="4">
        <v>0</v>
      </c>
      <c r="L19" s="4">
        <v>0</v>
      </c>
      <c r="M19" s="4"/>
      <c r="N19" s="4">
        <v>0</v>
      </c>
      <c r="O19" s="4">
        <v>0</v>
      </c>
      <c r="P19" s="4"/>
      <c r="Q19" s="4"/>
      <c r="R19" s="4">
        <f t="shared" si="4"/>
        <v>0</v>
      </c>
      <c r="S19">
        <v>17</v>
      </c>
    </row>
    <row r="20" spans="2:19" x14ac:dyDescent="0.25">
      <c r="C20">
        <v>514</v>
      </c>
      <c r="D20" t="s">
        <v>460</v>
      </c>
      <c r="E20" s="4">
        <v>0</v>
      </c>
      <c r="F20" s="4">
        <v>0</v>
      </c>
      <c r="G20" s="4">
        <v>0</v>
      </c>
      <c r="H20" s="4">
        <v>0</v>
      </c>
      <c r="I20" s="4">
        <v>0</v>
      </c>
      <c r="J20" s="4">
        <v>0</v>
      </c>
      <c r="K20" s="4">
        <v>0</v>
      </c>
      <c r="L20" s="4">
        <v>0</v>
      </c>
      <c r="M20" s="4"/>
      <c r="N20" s="4">
        <v>0</v>
      </c>
      <c r="O20" s="4">
        <v>0</v>
      </c>
      <c r="P20" s="4"/>
      <c r="Q20" s="4"/>
      <c r="R20" s="4">
        <f t="shared" si="4"/>
        <v>0</v>
      </c>
      <c r="S20">
        <v>18</v>
      </c>
    </row>
    <row r="21" spans="2:19" x14ac:dyDescent="0.25">
      <c r="C21">
        <v>515</v>
      </c>
      <c r="D21" t="s">
        <v>461</v>
      </c>
      <c r="E21" s="4">
        <v>0</v>
      </c>
      <c r="F21" s="4">
        <v>0</v>
      </c>
      <c r="G21" s="4">
        <v>0</v>
      </c>
      <c r="H21" s="4">
        <v>0</v>
      </c>
      <c r="I21" s="4">
        <v>0</v>
      </c>
      <c r="J21" s="4">
        <v>0</v>
      </c>
      <c r="K21" s="4">
        <v>0</v>
      </c>
      <c r="L21" s="4">
        <v>0</v>
      </c>
      <c r="M21" s="4"/>
      <c r="N21" s="4">
        <v>0</v>
      </c>
      <c r="O21" s="4">
        <v>0</v>
      </c>
      <c r="P21" s="4"/>
      <c r="Q21" s="4"/>
      <c r="R21" s="4">
        <f t="shared" si="4"/>
        <v>0</v>
      </c>
      <c r="S21" s="1">
        <v>19</v>
      </c>
    </row>
    <row r="22" spans="2:19" x14ac:dyDescent="0.25">
      <c r="C22">
        <v>516</v>
      </c>
      <c r="D22" t="s">
        <v>462</v>
      </c>
      <c r="E22" s="4">
        <v>0</v>
      </c>
      <c r="F22" s="4">
        <v>0</v>
      </c>
      <c r="G22" s="4">
        <v>0</v>
      </c>
      <c r="H22" s="4">
        <v>0</v>
      </c>
      <c r="I22" s="4">
        <v>0</v>
      </c>
      <c r="J22" s="4">
        <v>0</v>
      </c>
      <c r="K22" s="4">
        <v>0</v>
      </c>
      <c r="L22" s="4">
        <v>0</v>
      </c>
      <c r="M22" s="4"/>
      <c r="N22" s="4">
        <v>0</v>
      </c>
      <c r="O22" s="4">
        <v>0</v>
      </c>
      <c r="P22" s="4"/>
      <c r="Q22" s="4"/>
      <c r="R22" s="4">
        <f t="shared" si="4"/>
        <v>0</v>
      </c>
      <c r="S22">
        <v>20</v>
      </c>
    </row>
    <row r="23" spans="2:19" x14ac:dyDescent="0.25">
      <c r="C23">
        <v>519</v>
      </c>
      <c r="D23" t="s">
        <v>463</v>
      </c>
      <c r="E23" s="4">
        <v>0</v>
      </c>
      <c r="F23" s="4">
        <v>0</v>
      </c>
      <c r="G23" s="4">
        <v>0</v>
      </c>
      <c r="H23" s="4">
        <v>0</v>
      </c>
      <c r="I23" s="4">
        <v>0</v>
      </c>
      <c r="J23" s="4">
        <v>0</v>
      </c>
      <c r="K23" s="4">
        <v>0</v>
      </c>
      <c r="L23" s="4">
        <v>0</v>
      </c>
      <c r="M23" s="4"/>
      <c r="N23" s="4">
        <v>0</v>
      </c>
      <c r="O23" s="4">
        <v>0</v>
      </c>
      <c r="P23" s="4"/>
      <c r="Q23" s="4"/>
      <c r="R23" s="4">
        <f t="shared" si="4"/>
        <v>0</v>
      </c>
      <c r="S23">
        <v>21</v>
      </c>
    </row>
    <row r="24" spans="2:19" x14ac:dyDescent="0.25">
      <c r="E24" s="4"/>
      <c r="F24" s="4"/>
      <c r="G24" s="4"/>
      <c r="H24" s="4"/>
      <c r="I24" s="4"/>
      <c r="J24" s="4"/>
      <c r="K24" s="4"/>
      <c r="L24" s="4"/>
      <c r="M24" s="4"/>
      <c r="N24" s="4"/>
      <c r="O24" s="4"/>
      <c r="P24" s="4"/>
      <c r="Q24" s="4"/>
      <c r="R24" s="4"/>
      <c r="S24" s="1">
        <v>22</v>
      </c>
    </row>
    <row r="25" spans="2:19" x14ac:dyDescent="0.25">
      <c r="B25" s="56">
        <v>52</v>
      </c>
      <c r="C25" s="56"/>
      <c r="D25" s="56" t="s">
        <v>464</v>
      </c>
      <c r="E25" s="57">
        <f>E26+E27+E28</f>
        <v>0</v>
      </c>
      <c r="F25" s="57">
        <f t="shared" ref="F25:R25" si="5">F26+F27+F28</f>
        <v>0</v>
      </c>
      <c r="G25" s="57">
        <f t="shared" si="5"/>
        <v>0</v>
      </c>
      <c r="H25" s="57">
        <f t="shared" si="5"/>
        <v>0</v>
      </c>
      <c r="I25" s="57">
        <f t="shared" si="5"/>
        <v>0</v>
      </c>
      <c r="J25" s="57">
        <f t="shared" si="5"/>
        <v>0</v>
      </c>
      <c r="K25" s="57">
        <f t="shared" si="5"/>
        <v>0</v>
      </c>
      <c r="L25" s="57">
        <f t="shared" si="5"/>
        <v>0</v>
      </c>
      <c r="M25" s="57">
        <f t="shared" si="5"/>
        <v>0</v>
      </c>
      <c r="N25" s="57">
        <f t="shared" si="5"/>
        <v>0</v>
      </c>
      <c r="O25" s="57">
        <f t="shared" si="5"/>
        <v>0</v>
      </c>
      <c r="P25" s="57">
        <f t="shared" si="5"/>
        <v>0</v>
      </c>
      <c r="Q25" s="57">
        <f t="shared" si="5"/>
        <v>0</v>
      </c>
      <c r="R25" s="57">
        <f t="shared" si="5"/>
        <v>0</v>
      </c>
      <c r="S25">
        <v>23</v>
      </c>
    </row>
    <row r="26" spans="2:19" x14ac:dyDescent="0.25">
      <c r="C26">
        <v>520</v>
      </c>
      <c r="D26" t="s">
        <v>366</v>
      </c>
      <c r="E26" s="4">
        <v>0</v>
      </c>
      <c r="F26" s="4">
        <v>0</v>
      </c>
      <c r="G26" s="4">
        <v>0</v>
      </c>
      <c r="H26" s="4">
        <v>0</v>
      </c>
      <c r="I26" s="4">
        <v>0</v>
      </c>
      <c r="J26" s="4">
        <v>0</v>
      </c>
      <c r="K26" s="4">
        <v>0</v>
      </c>
      <c r="L26" s="4">
        <v>0</v>
      </c>
      <c r="M26" s="4"/>
      <c r="N26" s="4">
        <v>0</v>
      </c>
      <c r="O26" s="4">
        <v>0</v>
      </c>
      <c r="P26" s="4"/>
      <c r="Q26" s="4"/>
      <c r="R26" s="4">
        <f>SUM(E26:Q26)</f>
        <v>0</v>
      </c>
      <c r="S26">
        <v>24</v>
      </c>
    </row>
    <row r="27" spans="2:19" x14ac:dyDescent="0.25">
      <c r="C27">
        <v>521</v>
      </c>
      <c r="D27" t="s">
        <v>367</v>
      </c>
      <c r="E27" s="4">
        <v>0</v>
      </c>
      <c r="F27" s="4">
        <v>0</v>
      </c>
      <c r="G27" s="4">
        <v>0</v>
      </c>
      <c r="H27" s="4">
        <v>0</v>
      </c>
      <c r="I27" s="4">
        <v>0</v>
      </c>
      <c r="J27" s="4">
        <v>0</v>
      </c>
      <c r="K27" s="4">
        <v>0</v>
      </c>
      <c r="L27" s="4">
        <v>0</v>
      </c>
      <c r="M27" s="4"/>
      <c r="N27" s="4">
        <v>0</v>
      </c>
      <c r="O27" s="4">
        <v>0</v>
      </c>
      <c r="P27" s="4"/>
      <c r="Q27" s="4"/>
      <c r="R27" s="4">
        <f>SUM(E27:Q27)</f>
        <v>0</v>
      </c>
      <c r="S27" s="1">
        <v>25</v>
      </c>
    </row>
    <row r="28" spans="2:19" x14ac:dyDescent="0.25">
      <c r="C28">
        <v>529</v>
      </c>
      <c r="D28" t="s">
        <v>465</v>
      </c>
      <c r="E28" s="4">
        <v>0</v>
      </c>
      <c r="F28" s="4">
        <v>0</v>
      </c>
      <c r="G28" s="4">
        <v>0</v>
      </c>
      <c r="H28" s="4">
        <v>0</v>
      </c>
      <c r="I28" s="4">
        <v>0</v>
      </c>
      <c r="J28" s="4">
        <v>0</v>
      </c>
      <c r="K28" s="4">
        <v>0</v>
      </c>
      <c r="L28" s="4">
        <v>0</v>
      </c>
      <c r="M28" s="4"/>
      <c r="N28" s="4">
        <v>0</v>
      </c>
      <c r="O28" s="4">
        <v>0</v>
      </c>
      <c r="P28" s="4"/>
      <c r="Q28" s="4"/>
      <c r="R28" s="4">
        <f>SUM(E28:Q28)</f>
        <v>0</v>
      </c>
      <c r="S28">
        <v>26</v>
      </c>
    </row>
    <row r="29" spans="2:19" x14ac:dyDescent="0.25">
      <c r="E29" s="4"/>
      <c r="F29" s="4"/>
      <c r="G29" s="4"/>
      <c r="H29" s="4"/>
      <c r="I29" s="4"/>
      <c r="J29" s="4"/>
      <c r="K29" s="4"/>
      <c r="L29" s="4"/>
      <c r="M29" s="4"/>
      <c r="N29" s="4"/>
      <c r="O29" s="4"/>
      <c r="P29" s="4"/>
      <c r="Q29" s="4"/>
      <c r="R29" s="4"/>
      <c r="S29">
        <v>27</v>
      </c>
    </row>
    <row r="30" spans="2:19" x14ac:dyDescent="0.25">
      <c r="B30" s="56">
        <v>54</v>
      </c>
      <c r="C30" s="56"/>
      <c r="D30" s="56" t="s">
        <v>250</v>
      </c>
      <c r="E30" s="57">
        <f>E31+E32+E33+E34+E35+E36+E37+E38+E39</f>
        <v>0</v>
      </c>
      <c r="F30" s="57">
        <f t="shared" ref="F30:R30" si="6">F31+F32+F33+F34+F35+F36+F37+F38+F39</f>
        <v>0</v>
      </c>
      <c r="G30" s="57">
        <f t="shared" si="6"/>
        <v>0</v>
      </c>
      <c r="H30" s="57">
        <f t="shared" si="6"/>
        <v>0</v>
      </c>
      <c r="I30" s="57">
        <f t="shared" si="6"/>
        <v>0</v>
      </c>
      <c r="J30" s="57">
        <f t="shared" si="6"/>
        <v>0</v>
      </c>
      <c r="K30" s="57">
        <f t="shared" si="6"/>
        <v>0</v>
      </c>
      <c r="L30" s="57">
        <f t="shared" si="6"/>
        <v>0</v>
      </c>
      <c r="M30" s="57">
        <f t="shared" si="6"/>
        <v>0</v>
      </c>
      <c r="N30" s="57">
        <f t="shared" si="6"/>
        <v>0</v>
      </c>
      <c r="O30" s="57">
        <f t="shared" si="6"/>
        <v>0</v>
      </c>
      <c r="P30" s="57">
        <f t="shared" si="6"/>
        <v>0</v>
      </c>
      <c r="Q30" s="57">
        <f t="shared" si="6"/>
        <v>0</v>
      </c>
      <c r="R30" s="57">
        <f t="shared" si="6"/>
        <v>0</v>
      </c>
      <c r="S30" s="1">
        <v>28</v>
      </c>
    </row>
    <row r="31" spans="2:19" x14ac:dyDescent="0.25">
      <c r="C31">
        <v>540</v>
      </c>
      <c r="D31" t="s">
        <v>466</v>
      </c>
      <c r="E31" s="4">
        <v>0</v>
      </c>
      <c r="F31" s="4">
        <v>0</v>
      </c>
      <c r="G31" s="4">
        <v>0</v>
      </c>
      <c r="H31" s="4">
        <v>0</v>
      </c>
      <c r="I31" s="4">
        <v>0</v>
      </c>
      <c r="J31" s="4">
        <v>0</v>
      </c>
      <c r="K31" s="4">
        <v>0</v>
      </c>
      <c r="L31" s="4">
        <v>0</v>
      </c>
      <c r="M31" s="4"/>
      <c r="N31" s="4">
        <v>0</v>
      </c>
      <c r="O31" s="4">
        <v>0</v>
      </c>
      <c r="P31" s="4"/>
      <c r="Q31" s="4"/>
      <c r="R31" s="4">
        <f t="shared" ref="R31:R39" si="7">SUM(E31:Q31)</f>
        <v>0</v>
      </c>
      <c r="S31">
        <v>29</v>
      </c>
    </row>
    <row r="32" spans="2:19" x14ac:dyDescent="0.25">
      <c r="C32">
        <v>541</v>
      </c>
      <c r="D32" t="s">
        <v>467</v>
      </c>
      <c r="E32" s="4">
        <v>0</v>
      </c>
      <c r="F32" s="4">
        <v>0</v>
      </c>
      <c r="G32" s="4">
        <v>0</v>
      </c>
      <c r="H32" s="4">
        <v>0</v>
      </c>
      <c r="I32" s="4">
        <v>0</v>
      </c>
      <c r="J32" s="4">
        <v>0</v>
      </c>
      <c r="K32" s="4">
        <v>0</v>
      </c>
      <c r="L32" s="4">
        <v>0</v>
      </c>
      <c r="M32" s="4"/>
      <c r="N32" s="4">
        <v>0</v>
      </c>
      <c r="O32" s="4">
        <v>0</v>
      </c>
      <c r="P32" s="4"/>
      <c r="Q32" s="4"/>
      <c r="R32" s="4">
        <f t="shared" si="7"/>
        <v>0</v>
      </c>
      <c r="S32">
        <v>30</v>
      </c>
    </row>
    <row r="33" spans="2:19" x14ac:dyDescent="0.25">
      <c r="C33">
        <v>542</v>
      </c>
      <c r="D33" t="s">
        <v>468</v>
      </c>
      <c r="E33" s="4">
        <v>0</v>
      </c>
      <c r="F33" s="4">
        <v>0</v>
      </c>
      <c r="G33" s="4">
        <v>0</v>
      </c>
      <c r="H33" s="4">
        <v>0</v>
      </c>
      <c r="I33" s="4">
        <v>0</v>
      </c>
      <c r="J33" s="4">
        <v>0</v>
      </c>
      <c r="K33" s="4">
        <v>0</v>
      </c>
      <c r="L33" s="4">
        <v>0</v>
      </c>
      <c r="M33" s="4"/>
      <c r="N33" s="4">
        <v>0</v>
      </c>
      <c r="O33" s="4">
        <v>0</v>
      </c>
      <c r="P33" s="4"/>
      <c r="Q33" s="4"/>
      <c r="R33" s="4">
        <f t="shared" si="7"/>
        <v>0</v>
      </c>
      <c r="S33" s="1">
        <v>31</v>
      </c>
    </row>
    <row r="34" spans="2:19" x14ac:dyDescent="0.25">
      <c r="C34">
        <v>543</v>
      </c>
      <c r="D34" t="s">
        <v>469</v>
      </c>
      <c r="E34" s="4">
        <v>0</v>
      </c>
      <c r="F34" s="4">
        <v>0</v>
      </c>
      <c r="G34" s="4">
        <v>0</v>
      </c>
      <c r="H34" s="4">
        <v>0</v>
      </c>
      <c r="I34" s="4">
        <v>0</v>
      </c>
      <c r="J34" s="4">
        <v>0</v>
      </c>
      <c r="K34" s="4">
        <v>0</v>
      </c>
      <c r="L34" s="4">
        <v>0</v>
      </c>
      <c r="M34" s="4"/>
      <c r="N34" s="4">
        <v>0</v>
      </c>
      <c r="O34" s="4">
        <v>0</v>
      </c>
      <c r="P34" s="4"/>
      <c r="Q34" s="4"/>
      <c r="R34" s="4">
        <f t="shared" si="7"/>
        <v>0</v>
      </c>
      <c r="S34">
        <v>32</v>
      </c>
    </row>
    <row r="35" spans="2:19" x14ac:dyDescent="0.25">
      <c r="C35">
        <v>544</v>
      </c>
      <c r="D35" t="s">
        <v>470</v>
      </c>
      <c r="E35" s="4">
        <v>0</v>
      </c>
      <c r="F35" s="4">
        <v>0</v>
      </c>
      <c r="G35" s="4">
        <v>0</v>
      </c>
      <c r="H35" s="4">
        <v>0</v>
      </c>
      <c r="I35" s="4">
        <v>0</v>
      </c>
      <c r="J35" s="4">
        <v>0</v>
      </c>
      <c r="K35" s="4">
        <v>0</v>
      </c>
      <c r="L35" s="4">
        <v>0</v>
      </c>
      <c r="M35" s="4"/>
      <c r="N35" s="4">
        <v>0</v>
      </c>
      <c r="O35" s="4">
        <v>0</v>
      </c>
      <c r="P35" s="4"/>
      <c r="Q35" s="4"/>
      <c r="R35" s="4">
        <f t="shared" si="7"/>
        <v>0</v>
      </c>
      <c r="S35">
        <v>33</v>
      </c>
    </row>
    <row r="36" spans="2:19" x14ac:dyDescent="0.25">
      <c r="C36">
        <v>545</v>
      </c>
      <c r="D36" t="s">
        <v>471</v>
      </c>
      <c r="E36" s="4">
        <v>0</v>
      </c>
      <c r="F36" s="4">
        <v>0</v>
      </c>
      <c r="G36" s="4">
        <v>0</v>
      </c>
      <c r="H36" s="4">
        <v>0</v>
      </c>
      <c r="I36" s="4">
        <v>0</v>
      </c>
      <c r="J36" s="4">
        <v>0</v>
      </c>
      <c r="K36" s="4">
        <v>0</v>
      </c>
      <c r="L36" s="4">
        <v>0</v>
      </c>
      <c r="M36" s="4"/>
      <c r="N36" s="4">
        <v>0</v>
      </c>
      <c r="O36" s="4">
        <v>0</v>
      </c>
      <c r="P36" s="4"/>
      <c r="Q36" s="4"/>
      <c r="R36" s="4">
        <f t="shared" si="7"/>
        <v>0</v>
      </c>
      <c r="S36" s="1">
        <v>34</v>
      </c>
    </row>
    <row r="37" spans="2:19" x14ac:dyDescent="0.25">
      <c r="C37">
        <v>546</v>
      </c>
      <c r="D37" t="s">
        <v>472</v>
      </c>
      <c r="E37" s="4">
        <v>0</v>
      </c>
      <c r="F37" s="4">
        <v>0</v>
      </c>
      <c r="G37" s="4">
        <v>0</v>
      </c>
      <c r="H37" s="4">
        <v>0</v>
      </c>
      <c r="I37" s="4">
        <v>0</v>
      </c>
      <c r="J37" s="4">
        <v>0</v>
      </c>
      <c r="K37" s="4">
        <v>0</v>
      </c>
      <c r="L37" s="4">
        <v>0</v>
      </c>
      <c r="M37" s="4"/>
      <c r="N37" s="4">
        <v>0</v>
      </c>
      <c r="O37" s="4">
        <v>0</v>
      </c>
      <c r="P37" s="4"/>
      <c r="Q37" s="4"/>
      <c r="R37" s="4">
        <f t="shared" si="7"/>
        <v>0</v>
      </c>
      <c r="S37">
        <v>35</v>
      </c>
    </row>
    <row r="38" spans="2:19" x14ac:dyDescent="0.25">
      <c r="C38">
        <v>547</v>
      </c>
      <c r="D38" t="s">
        <v>473</v>
      </c>
      <c r="E38" s="4">
        <v>0</v>
      </c>
      <c r="F38" s="4">
        <v>0</v>
      </c>
      <c r="G38" s="4">
        <v>0</v>
      </c>
      <c r="H38" s="4">
        <v>0</v>
      </c>
      <c r="I38" s="4">
        <v>0</v>
      </c>
      <c r="J38" s="4">
        <v>0</v>
      </c>
      <c r="K38" s="4">
        <v>0</v>
      </c>
      <c r="L38" s="4">
        <v>0</v>
      </c>
      <c r="M38" s="4"/>
      <c r="N38" s="4">
        <v>0</v>
      </c>
      <c r="O38" s="4">
        <v>0</v>
      </c>
      <c r="P38" s="4"/>
      <c r="Q38" s="4"/>
      <c r="R38" s="4">
        <f t="shared" si="7"/>
        <v>0</v>
      </c>
      <c r="S38">
        <v>36</v>
      </c>
    </row>
    <row r="39" spans="2:19" x14ac:dyDescent="0.25">
      <c r="C39">
        <v>548</v>
      </c>
      <c r="D39" t="s">
        <v>474</v>
      </c>
      <c r="E39" s="4">
        <v>0</v>
      </c>
      <c r="F39" s="4">
        <v>0</v>
      </c>
      <c r="G39" s="4">
        <v>0</v>
      </c>
      <c r="H39" s="4">
        <v>0</v>
      </c>
      <c r="I39" s="4">
        <v>0</v>
      </c>
      <c r="J39" s="4">
        <v>0</v>
      </c>
      <c r="K39" s="4">
        <v>0</v>
      </c>
      <c r="L39" s="4">
        <v>0</v>
      </c>
      <c r="M39" s="4"/>
      <c r="N39" s="4">
        <v>0</v>
      </c>
      <c r="O39" s="4">
        <v>0</v>
      </c>
      <c r="P39" s="4"/>
      <c r="Q39" s="4"/>
      <c r="R39" s="4">
        <f t="shared" si="7"/>
        <v>0</v>
      </c>
      <c r="S39" s="1">
        <v>37</v>
      </c>
    </row>
    <row r="40" spans="2:19" x14ac:dyDescent="0.25">
      <c r="E40" s="4"/>
      <c r="F40" s="4"/>
      <c r="G40" s="4"/>
      <c r="H40" s="4"/>
      <c r="I40" s="4"/>
      <c r="J40" s="4"/>
      <c r="K40" s="4"/>
      <c r="L40" s="4"/>
      <c r="M40" s="4"/>
      <c r="N40" s="4"/>
      <c r="O40" s="4"/>
      <c r="P40" s="4"/>
      <c r="Q40" s="4"/>
      <c r="R40" s="4"/>
      <c r="S40">
        <v>38</v>
      </c>
    </row>
    <row r="41" spans="2:19" x14ac:dyDescent="0.25">
      <c r="B41" s="56">
        <v>55</v>
      </c>
      <c r="C41" s="56"/>
      <c r="D41" s="56" t="s">
        <v>379</v>
      </c>
      <c r="E41" s="57">
        <f>E42+E43+E44+E45+E46+E47+E48+E49+E50</f>
        <v>0</v>
      </c>
      <c r="F41" s="57">
        <f t="shared" ref="F41:R41" si="8">F42+F43+F44+F45+F46+F47+F48+F49+F50</f>
        <v>0</v>
      </c>
      <c r="G41" s="57">
        <f t="shared" si="8"/>
        <v>0</v>
      </c>
      <c r="H41" s="57">
        <f t="shared" si="8"/>
        <v>0</v>
      </c>
      <c r="I41" s="57">
        <f t="shared" si="8"/>
        <v>0</v>
      </c>
      <c r="J41" s="57">
        <f t="shared" si="8"/>
        <v>0</v>
      </c>
      <c r="K41" s="57">
        <f t="shared" si="8"/>
        <v>0</v>
      </c>
      <c r="L41" s="57">
        <f t="shared" si="8"/>
        <v>0</v>
      </c>
      <c r="M41" s="57">
        <f t="shared" si="8"/>
        <v>0</v>
      </c>
      <c r="N41" s="57">
        <f t="shared" si="8"/>
        <v>0</v>
      </c>
      <c r="O41" s="57">
        <f t="shared" si="8"/>
        <v>0</v>
      </c>
      <c r="P41" s="57">
        <f t="shared" si="8"/>
        <v>0</v>
      </c>
      <c r="Q41" s="57">
        <f t="shared" si="8"/>
        <v>0</v>
      </c>
      <c r="R41" s="57">
        <f t="shared" si="8"/>
        <v>0</v>
      </c>
      <c r="S41">
        <v>39</v>
      </c>
    </row>
    <row r="42" spans="2:19" x14ac:dyDescent="0.25">
      <c r="C42">
        <v>550</v>
      </c>
      <c r="D42" t="s">
        <v>466</v>
      </c>
      <c r="E42" s="4">
        <v>0</v>
      </c>
      <c r="F42" s="4">
        <v>0</v>
      </c>
      <c r="G42" s="4">
        <v>0</v>
      </c>
      <c r="H42" s="4">
        <v>0</v>
      </c>
      <c r="I42" s="4">
        <v>0</v>
      </c>
      <c r="J42" s="4">
        <v>0</v>
      </c>
      <c r="K42" s="4">
        <v>0</v>
      </c>
      <c r="L42" s="4">
        <v>0</v>
      </c>
      <c r="M42" s="4"/>
      <c r="N42" s="4">
        <v>0</v>
      </c>
      <c r="O42" s="4">
        <v>0</v>
      </c>
      <c r="P42" s="4"/>
      <c r="Q42" s="4"/>
      <c r="R42" s="4">
        <f t="shared" ref="R42:R50" si="9">SUM(E42:Q42)</f>
        <v>0</v>
      </c>
      <c r="S42" s="1">
        <v>40</v>
      </c>
    </row>
    <row r="43" spans="2:19" x14ac:dyDescent="0.25">
      <c r="C43">
        <v>551</v>
      </c>
      <c r="D43" t="s">
        <v>467</v>
      </c>
      <c r="E43" s="4">
        <v>0</v>
      </c>
      <c r="F43" s="4">
        <v>0</v>
      </c>
      <c r="G43" s="4">
        <v>0</v>
      </c>
      <c r="H43" s="4">
        <v>0</v>
      </c>
      <c r="I43" s="4">
        <v>0</v>
      </c>
      <c r="J43" s="4">
        <v>0</v>
      </c>
      <c r="K43" s="4">
        <v>0</v>
      </c>
      <c r="L43" s="4">
        <v>0</v>
      </c>
      <c r="M43" s="4"/>
      <c r="N43" s="4">
        <v>0</v>
      </c>
      <c r="O43" s="4">
        <v>0</v>
      </c>
      <c r="P43" s="4"/>
      <c r="Q43" s="4"/>
      <c r="R43" s="4">
        <f t="shared" si="9"/>
        <v>0</v>
      </c>
      <c r="S43">
        <v>41</v>
      </c>
    </row>
    <row r="44" spans="2:19" x14ac:dyDescent="0.25">
      <c r="C44">
        <v>552</v>
      </c>
      <c r="D44" t="s">
        <v>468</v>
      </c>
      <c r="E44" s="4">
        <v>0</v>
      </c>
      <c r="F44" s="4">
        <v>0</v>
      </c>
      <c r="G44" s="4">
        <v>0</v>
      </c>
      <c r="H44" s="4">
        <v>0</v>
      </c>
      <c r="I44" s="4">
        <v>0</v>
      </c>
      <c r="J44" s="4">
        <v>0</v>
      </c>
      <c r="K44" s="4">
        <v>0</v>
      </c>
      <c r="L44" s="4">
        <v>0</v>
      </c>
      <c r="M44" s="4"/>
      <c r="N44" s="4">
        <v>0</v>
      </c>
      <c r="O44" s="4">
        <v>0</v>
      </c>
      <c r="P44" s="4"/>
      <c r="Q44" s="4"/>
      <c r="R44" s="4">
        <f t="shared" si="9"/>
        <v>0</v>
      </c>
      <c r="S44">
        <v>42</v>
      </c>
    </row>
    <row r="45" spans="2:19" x14ac:dyDescent="0.25">
      <c r="C45">
        <v>553</v>
      </c>
      <c r="D45" t="s">
        <v>469</v>
      </c>
      <c r="E45" s="4">
        <v>0</v>
      </c>
      <c r="F45" s="4">
        <v>0</v>
      </c>
      <c r="G45" s="4">
        <v>0</v>
      </c>
      <c r="H45" s="4">
        <v>0</v>
      </c>
      <c r="I45" s="4">
        <v>0</v>
      </c>
      <c r="J45" s="4">
        <v>0</v>
      </c>
      <c r="K45" s="4">
        <v>0</v>
      </c>
      <c r="L45" s="4">
        <v>0</v>
      </c>
      <c r="M45" s="4"/>
      <c r="N45" s="4">
        <v>0</v>
      </c>
      <c r="O45" s="4">
        <v>0</v>
      </c>
      <c r="P45" s="4"/>
      <c r="Q45" s="4"/>
      <c r="R45" s="4">
        <f t="shared" si="9"/>
        <v>0</v>
      </c>
      <c r="S45" s="1">
        <v>43</v>
      </c>
    </row>
    <row r="46" spans="2:19" x14ac:dyDescent="0.25">
      <c r="C46">
        <v>554</v>
      </c>
      <c r="D46" t="s">
        <v>470</v>
      </c>
      <c r="E46" s="4">
        <v>0</v>
      </c>
      <c r="F46" s="4">
        <v>0</v>
      </c>
      <c r="G46" s="4">
        <v>0</v>
      </c>
      <c r="H46" s="4">
        <v>0</v>
      </c>
      <c r="I46" s="4">
        <v>0</v>
      </c>
      <c r="J46" s="4">
        <v>0</v>
      </c>
      <c r="K46" s="4">
        <v>0</v>
      </c>
      <c r="L46" s="4">
        <v>0</v>
      </c>
      <c r="M46" s="4"/>
      <c r="N46" s="4">
        <v>0</v>
      </c>
      <c r="O46" s="4">
        <v>0</v>
      </c>
      <c r="P46" s="4"/>
      <c r="Q46" s="4"/>
      <c r="R46" s="4">
        <f t="shared" si="9"/>
        <v>0</v>
      </c>
      <c r="S46">
        <v>44</v>
      </c>
    </row>
    <row r="47" spans="2:19" x14ac:dyDescent="0.25">
      <c r="C47">
        <v>555</v>
      </c>
      <c r="D47" t="s">
        <v>471</v>
      </c>
      <c r="E47" s="4">
        <v>0</v>
      </c>
      <c r="F47" s="4">
        <v>0</v>
      </c>
      <c r="G47" s="4">
        <v>0</v>
      </c>
      <c r="H47" s="4">
        <v>0</v>
      </c>
      <c r="I47" s="4">
        <v>0</v>
      </c>
      <c r="J47" s="4">
        <v>0</v>
      </c>
      <c r="K47" s="4">
        <v>0</v>
      </c>
      <c r="L47" s="4">
        <v>0</v>
      </c>
      <c r="M47" s="4"/>
      <c r="N47" s="4">
        <v>0</v>
      </c>
      <c r="O47" s="4">
        <v>0</v>
      </c>
      <c r="P47" s="4"/>
      <c r="Q47" s="4"/>
      <c r="R47" s="4">
        <f t="shared" si="9"/>
        <v>0</v>
      </c>
      <c r="S47">
        <v>45</v>
      </c>
    </row>
    <row r="48" spans="2:19" x14ac:dyDescent="0.25">
      <c r="C48">
        <v>556</v>
      </c>
      <c r="D48" t="s">
        <v>472</v>
      </c>
      <c r="E48" s="4">
        <v>0</v>
      </c>
      <c r="F48" s="4">
        <v>0</v>
      </c>
      <c r="G48" s="4">
        <v>0</v>
      </c>
      <c r="H48" s="4">
        <v>0</v>
      </c>
      <c r="I48" s="4">
        <v>0</v>
      </c>
      <c r="J48" s="4">
        <v>0</v>
      </c>
      <c r="K48" s="4">
        <v>0</v>
      </c>
      <c r="L48" s="4">
        <v>0</v>
      </c>
      <c r="M48" s="4"/>
      <c r="N48" s="4">
        <v>0</v>
      </c>
      <c r="O48" s="4">
        <v>0</v>
      </c>
      <c r="P48" s="4"/>
      <c r="Q48" s="4"/>
      <c r="R48" s="4">
        <f t="shared" si="9"/>
        <v>0</v>
      </c>
      <c r="S48" s="1">
        <v>46</v>
      </c>
    </row>
    <row r="49" spans="2:19" x14ac:dyDescent="0.25">
      <c r="C49">
        <v>557</v>
      </c>
      <c r="D49" t="s">
        <v>473</v>
      </c>
      <c r="E49" s="4">
        <v>0</v>
      </c>
      <c r="F49" s="4">
        <v>0</v>
      </c>
      <c r="G49" s="4">
        <v>0</v>
      </c>
      <c r="H49" s="4">
        <v>0</v>
      </c>
      <c r="I49" s="4">
        <v>0</v>
      </c>
      <c r="J49" s="4">
        <v>0</v>
      </c>
      <c r="K49" s="4">
        <v>0</v>
      </c>
      <c r="L49" s="4">
        <v>0</v>
      </c>
      <c r="M49" s="4"/>
      <c r="N49" s="4">
        <v>0</v>
      </c>
      <c r="O49" s="4">
        <v>0</v>
      </c>
      <c r="P49" s="4"/>
      <c r="Q49" s="4"/>
      <c r="R49" s="4">
        <f t="shared" si="9"/>
        <v>0</v>
      </c>
      <c r="S49">
        <v>47</v>
      </c>
    </row>
    <row r="50" spans="2:19" x14ac:dyDescent="0.25">
      <c r="C50">
        <v>558</v>
      </c>
      <c r="D50" t="s">
        <v>474</v>
      </c>
      <c r="E50" s="4">
        <v>0</v>
      </c>
      <c r="F50" s="4">
        <v>0</v>
      </c>
      <c r="G50" s="4">
        <v>0</v>
      </c>
      <c r="H50" s="4">
        <v>0</v>
      </c>
      <c r="I50" s="4">
        <v>0</v>
      </c>
      <c r="J50" s="4">
        <v>0</v>
      </c>
      <c r="K50" s="4">
        <v>0</v>
      </c>
      <c r="L50" s="4">
        <v>0</v>
      </c>
      <c r="M50" s="4"/>
      <c r="N50" s="4">
        <v>0</v>
      </c>
      <c r="O50" s="4">
        <v>0</v>
      </c>
      <c r="P50" s="4"/>
      <c r="Q50" s="4"/>
      <c r="R50" s="4">
        <f t="shared" si="9"/>
        <v>0</v>
      </c>
      <c r="S50">
        <v>48</v>
      </c>
    </row>
    <row r="51" spans="2:19" x14ac:dyDescent="0.25">
      <c r="E51" s="4"/>
      <c r="F51" s="4"/>
      <c r="G51" s="4"/>
      <c r="H51" s="4"/>
      <c r="I51" s="4"/>
      <c r="J51" s="4"/>
      <c r="K51" s="4"/>
      <c r="L51" s="4"/>
      <c r="M51" s="4"/>
      <c r="N51" s="4"/>
      <c r="O51" s="4"/>
      <c r="P51" s="4"/>
      <c r="Q51" s="4"/>
      <c r="R51" s="4"/>
      <c r="S51" s="1">
        <v>49</v>
      </c>
    </row>
    <row r="52" spans="2:19" x14ac:dyDescent="0.25">
      <c r="B52" s="56">
        <v>56</v>
      </c>
      <c r="C52" s="56"/>
      <c r="D52" s="56" t="s">
        <v>475</v>
      </c>
      <c r="E52" s="57">
        <f>E53+E54+E55+E56+E57+E58+E59+E60+E61</f>
        <v>0</v>
      </c>
      <c r="F52" s="57">
        <f t="shared" ref="F52:R52" si="10">F53+F54+F55+F56+F57+F58+F59+F60+F61</f>
        <v>0</v>
      </c>
      <c r="G52" s="57">
        <f t="shared" si="10"/>
        <v>0</v>
      </c>
      <c r="H52" s="57">
        <f t="shared" si="10"/>
        <v>0</v>
      </c>
      <c r="I52" s="57">
        <f t="shared" si="10"/>
        <v>0</v>
      </c>
      <c r="J52" s="57">
        <f t="shared" si="10"/>
        <v>0</v>
      </c>
      <c r="K52" s="57">
        <f t="shared" si="10"/>
        <v>0</v>
      </c>
      <c r="L52" s="57">
        <f t="shared" si="10"/>
        <v>0</v>
      </c>
      <c r="M52" s="57">
        <f t="shared" si="10"/>
        <v>0</v>
      </c>
      <c r="N52" s="57">
        <f t="shared" si="10"/>
        <v>0</v>
      </c>
      <c r="O52" s="57">
        <f t="shared" si="10"/>
        <v>0</v>
      </c>
      <c r="P52" s="57">
        <f t="shared" si="10"/>
        <v>0</v>
      </c>
      <c r="Q52" s="57">
        <f t="shared" si="10"/>
        <v>0</v>
      </c>
      <c r="R52" s="57">
        <f t="shared" si="10"/>
        <v>0</v>
      </c>
      <c r="S52">
        <v>50</v>
      </c>
    </row>
    <row r="53" spans="2:19" x14ac:dyDescent="0.25">
      <c r="C53">
        <v>560</v>
      </c>
      <c r="D53" t="s">
        <v>466</v>
      </c>
      <c r="E53" s="4">
        <v>0</v>
      </c>
      <c r="F53" s="4">
        <v>0</v>
      </c>
      <c r="G53" s="4">
        <v>0</v>
      </c>
      <c r="H53" s="4">
        <v>0</v>
      </c>
      <c r="I53" s="4">
        <v>0</v>
      </c>
      <c r="J53" s="4">
        <v>0</v>
      </c>
      <c r="K53" s="4">
        <v>0</v>
      </c>
      <c r="L53" s="4">
        <v>0</v>
      </c>
      <c r="M53" s="4"/>
      <c r="N53" s="4">
        <v>0</v>
      </c>
      <c r="O53" s="4">
        <v>0</v>
      </c>
      <c r="P53" s="4"/>
      <c r="Q53" s="4"/>
      <c r="R53" s="4">
        <f t="shared" ref="R53:R61" si="11">SUM(E53:Q53)</f>
        <v>0</v>
      </c>
      <c r="S53">
        <v>51</v>
      </c>
    </row>
    <row r="54" spans="2:19" x14ac:dyDescent="0.25">
      <c r="C54">
        <v>561</v>
      </c>
      <c r="D54" t="s">
        <v>467</v>
      </c>
      <c r="E54" s="4">
        <v>0</v>
      </c>
      <c r="F54" s="4">
        <v>0</v>
      </c>
      <c r="G54" s="4">
        <v>0</v>
      </c>
      <c r="H54" s="4">
        <v>0</v>
      </c>
      <c r="I54" s="4">
        <v>0</v>
      </c>
      <c r="J54" s="4">
        <v>0</v>
      </c>
      <c r="K54" s="4">
        <v>0</v>
      </c>
      <c r="L54" s="4">
        <v>0</v>
      </c>
      <c r="M54" s="4"/>
      <c r="N54" s="4">
        <v>0</v>
      </c>
      <c r="O54" s="4">
        <v>0</v>
      </c>
      <c r="P54" s="4"/>
      <c r="Q54" s="4"/>
      <c r="R54" s="4">
        <f t="shared" si="11"/>
        <v>0</v>
      </c>
      <c r="S54" s="1">
        <v>52</v>
      </c>
    </row>
    <row r="55" spans="2:19" x14ac:dyDescent="0.25">
      <c r="C55">
        <v>562</v>
      </c>
      <c r="D55" t="s">
        <v>468</v>
      </c>
      <c r="E55" s="4">
        <v>0</v>
      </c>
      <c r="F55" s="4">
        <v>0</v>
      </c>
      <c r="G55" s="4">
        <v>0</v>
      </c>
      <c r="H55" s="4">
        <v>0</v>
      </c>
      <c r="I55" s="4">
        <v>0</v>
      </c>
      <c r="J55" s="4">
        <v>0</v>
      </c>
      <c r="K55" s="4">
        <v>0</v>
      </c>
      <c r="L55" s="4">
        <v>0</v>
      </c>
      <c r="M55" s="4"/>
      <c r="N55" s="4">
        <v>0</v>
      </c>
      <c r="O55" s="4">
        <v>0</v>
      </c>
      <c r="P55" s="4"/>
      <c r="Q55" s="4"/>
      <c r="R55" s="4">
        <f t="shared" si="11"/>
        <v>0</v>
      </c>
      <c r="S55">
        <v>53</v>
      </c>
    </row>
    <row r="56" spans="2:19" x14ac:dyDescent="0.25">
      <c r="C56">
        <v>563</v>
      </c>
      <c r="D56" t="s">
        <v>469</v>
      </c>
      <c r="E56" s="4">
        <v>0</v>
      </c>
      <c r="F56" s="4">
        <v>0</v>
      </c>
      <c r="G56" s="4">
        <v>0</v>
      </c>
      <c r="H56" s="4">
        <v>0</v>
      </c>
      <c r="I56" s="4">
        <v>0</v>
      </c>
      <c r="J56" s="4">
        <v>0</v>
      </c>
      <c r="K56" s="4">
        <v>0</v>
      </c>
      <c r="L56" s="4">
        <v>0</v>
      </c>
      <c r="M56" s="4"/>
      <c r="N56" s="4">
        <v>0</v>
      </c>
      <c r="O56" s="4">
        <v>0</v>
      </c>
      <c r="P56" s="4"/>
      <c r="Q56" s="4"/>
      <c r="R56" s="4">
        <f t="shared" si="11"/>
        <v>0</v>
      </c>
      <c r="S56">
        <v>54</v>
      </c>
    </row>
    <row r="57" spans="2:19" x14ac:dyDescent="0.25">
      <c r="C57">
        <v>564</v>
      </c>
      <c r="D57" t="s">
        <v>470</v>
      </c>
      <c r="E57" s="4">
        <v>0</v>
      </c>
      <c r="F57" s="4">
        <v>0</v>
      </c>
      <c r="G57" s="4">
        <v>0</v>
      </c>
      <c r="H57" s="4">
        <v>0</v>
      </c>
      <c r="I57" s="4">
        <v>0</v>
      </c>
      <c r="J57" s="4">
        <v>0</v>
      </c>
      <c r="K57" s="4">
        <v>0</v>
      </c>
      <c r="L57" s="4">
        <v>0</v>
      </c>
      <c r="M57" s="4"/>
      <c r="N57" s="4">
        <v>0</v>
      </c>
      <c r="O57" s="4">
        <v>0</v>
      </c>
      <c r="P57" s="4"/>
      <c r="Q57" s="4"/>
      <c r="R57" s="4">
        <f t="shared" si="11"/>
        <v>0</v>
      </c>
      <c r="S57" s="1">
        <v>55</v>
      </c>
    </row>
    <row r="58" spans="2:19" x14ac:dyDescent="0.25">
      <c r="C58">
        <v>565</v>
      </c>
      <c r="D58" t="s">
        <v>471</v>
      </c>
      <c r="E58" s="4">
        <v>0</v>
      </c>
      <c r="F58" s="4">
        <v>0</v>
      </c>
      <c r="G58" s="4">
        <v>0</v>
      </c>
      <c r="H58" s="4">
        <v>0</v>
      </c>
      <c r="I58" s="4">
        <v>0</v>
      </c>
      <c r="J58" s="4">
        <v>0</v>
      </c>
      <c r="K58" s="4">
        <v>0</v>
      </c>
      <c r="L58" s="4">
        <v>0</v>
      </c>
      <c r="M58" s="4"/>
      <c r="N58" s="4">
        <v>0</v>
      </c>
      <c r="O58" s="4">
        <v>0</v>
      </c>
      <c r="P58" s="4"/>
      <c r="Q58" s="4"/>
      <c r="R58" s="4">
        <f t="shared" si="11"/>
        <v>0</v>
      </c>
      <c r="S58">
        <v>56</v>
      </c>
    </row>
    <row r="59" spans="2:19" x14ac:dyDescent="0.25">
      <c r="C59">
        <v>566</v>
      </c>
      <c r="D59" t="s">
        <v>472</v>
      </c>
      <c r="E59" s="4">
        <v>0</v>
      </c>
      <c r="F59" s="4">
        <v>0</v>
      </c>
      <c r="G59" s="4">
        <v>0</v>
      </c>
      <c r="H59" s="4">
        <v>0</v>
      </c>
      <c r="I59" s="4">
        <v>0</v>
      </c>
      <c r="J59" s="4">
        <v>0</v>
      </c>
      <c r="K59" s="4">
        <v>0</v>
      </c>
      <c r="L59" s="4">
        <v>0</v>
      </c>
      <c r="M59" s="4"/>
      <c r="N59" s="4">
        <v>0</v>
      </c>
      <c r="O59" s="4">
        <v>0</v>
      </c>
      <c r="P59" s="4"/>
      <c r="Q59" s="4"/>
      <c r="R59" s="4">
        <f t="shared" si="11"/>
        <v>0</v>
      </c>
      <c r="S59">
        <v>57</v>
      </c>
    </row>
    <row r="60" spans="2:19" x14ac:dyDescent="0.25">
      <c r="C60">
        <v>567</v>
      </c>
      <c r="D60" t="s">
        <v>473</v>
      </c>
      <c r="E60" s="4">
        <v>0</v>
      </c>
      <c r="F60" s="4">
        <v>0</v>
      </c>
      <c r="G60" s="4">
        <v>0</v>
      </c>
      <c r="H60" s="4">
        <v>0</v>
      </c>
      <c r="I60" s="4">
        <v>0</v>
      </c>
      <c r="J60" s="4">
        <v>0</v>
      </c>
      <c r="K60" s="4">
        <v>0</v>
      </c>
      <c r="L60" s="4">
        <v>0</v>
      </c>
      <c r="M60" s="4"/>
      <c r="N60" s="4">
        <v>0</v>
      </c>
      <c r="O60" s="4">
        <v>0</v>
      </c>
      <c r="P60" s="4"/>
      <c r="Q60" s="4"/>
      <c r="R60" s="4">
        <f t="shared" si="11"/>
        <v>0</v>
      </c>
      <c r="S60" s="1">
        <v>58</v>
      </c>
    </row>
    <row r="61" spans="2:19" x14ac:dyDescent="0.25">
      <c r="C61">
        <v>568</v>
      </c>
      <c r="D61" t="s">
        <v>474</v>
      </c>
      <c r="E61" s="4">
        <v>0</v>
      </c>
      <c r="F61" s="4">
        <v>0</v>
      </c>
      <c r="G61" s="4">
        <v>0</v>
      </c>
      <c r="H61" s="4">
        <v>0</v>
      </c>
      <c r="I61" s="4">
        <v>0</v>
      </c>
      <c r="J61" s="4">
        <v>0</v>
      </c>
      <c r="K61" s="4">
        <v>0</v>
      </c>
      <c r="L61" s="4">
        <v>0</v>
      </c>
      <c r="M61" s="4"/>
      <c r="N61" s="4">
        <v>0</v>
      </c>
      <c r="O61" s="4">
        <v>0</v>
      </c>
      <c r="P61" s="4"/>
      <c r="Q61" s="4"/>
      <c r="R61" s="4">
        <f t="shared" si="11"/>
        <v>0</v>
      </c>
      <c r="S61">
        <v>59</v>
      </c>
    </row>
    <row r="62" spans="2:19" x14ac:dyDescent="0.25">
      <c r="E62" s="4"/>
      <c r="F62" s="4"/>
      <c r="G62" s="4"/>
      <c r="H62" s="4"/>
      <c r="I62" s="4"/>
      <c r="J62" s="4"/>
      <c r="K62" s="4"/>
      <c r="L62" s="4"/>
      <c r="M62" s="4"/>
      <c r="N62" s="4"/>
      <c r="O62" s="4"/>
      <c r="P62" s="4"/>
      <c r="Q62" s="4"/>
      <c r="R62" s="4"/>
      <c r="S62">
        <v>60</v>
      </c>
    </row>
    <row r="63" spans="2:19" x14ac:dyDescent="0.25">
      <c r="B63" s="56">
        <v>57</v>
      </c>
      <c r="C63" s="56"/>
      <c r="D63" s="56" t="s">
        <v>476</v>
      </c>
      <c r="E63" s="57">
        <f>E64+E65+E66+E67+E68+E69+E70+E71+E72</f>
        <v>0</v>
      </c>
      <c r="F63" s="57">
        <f t="shared" ref="F63:R63" si="12">F64+F65+F66+F67+F68+F69+F70+F71+F72</f>
        <v>0</v>
      </c>
      <c r="G63" s="57">
        <f t="shared" si="12"/>
        <v>0</v>
      </c>
      <c r="H63" s="57">
        <f t="shared" si="12"/>
        <v>0</v>
      </c>
      <c r="I63" s="57">
        <f t="shared" si="12"/>
        <v>0</v>
      </c>
      <c r="J63" s="57">
        <f t="shared" si="12"/>
        <v>0</v>
      </c>
      <c r="K63" s="57">
        <f t="shared" si="12"/>
        <v>0</v>
      </c>
      <c r="L63" s="57">
        <f t="shared" si="12"/>
        <v>0</v>
      </c>
      <c r="M63" s="57">
        <f t="shared" si="12"/>
        <v>0</v>
      </c>
      <c r="N63" s="57">
        <f t="shared" si="12"/>
        <v>0</v>
      </c>
      <c r="O63" s="57">
        <f t="shared" si="12"/>
        <v>0</v>
      </c>
      <c r="P63" s="57">
        <f t="shared" si="12"/>
        <v>0</v>
      </c>
      <c r="Q63" s="57">
        <f t="shared" si="12"/>
        <v>0</v>
      </c>
      <c r="R63" s="57">
        <f t="shared" si="12"/>
        <v>0</v>
      </c>
      <c r="S63" s="1">
        <v>61</v>
      </c>
    </row>
    <row r="64" spans="2:19" x14ac:dyDescent="0.25">
      <c r="C64">
        <v>570</v>
      </c>
      <c r="D64" t="s">
        <v>466</v>
      </c>
      <c r="E64" s="4">
        <v>0</v>
      </c>
      <c r="F64" s="4">
        <v>0</v>
      </c>
      <c r="G64" s="4">
        <v>0</v>
      </c>
      <c r="H64" s="4">
        <v>0</v>
      </c>
      <c r="I64" s="4">
        <v>0</v>
      </c>
      <c r="J64" s="4">
        <v>0</v>
      </c>
      <c r="K64" s="4">
        <v>0</v>
      </c>
      <c r="L64" s="4">
        <v>0</v>
      </c>
      <c r="M64" s="4"/>
      <c r="N64" s="4">
        <v>0</v>
      </c>
      <c r="O64" s="4">
        <v>0</v>
      </c>
      <c r="P64" s="4"/>
      <c r="Q64" s="4"/>
      <c r="R64" s="4">
        <f t="shared" ref="R64:R72" si="13">SUM(E64:Q64)</f>
        <v>0</v>
      </c>
      <c r="S64">
        <v>62</v>
      </c>
    </row>
    <row r="65" spans="2:19" x14ac:dyDescent="0.25">
      <c r="C65">
        <v>571</v>
      </c>
      <c r="D65" t="s">
        <v>467</v>
      </c>
      <c r="E65" s="4">
        <v>0</v>
      </c>
      <c r="F65" s="4">
        <v>0</v>
      </c>
      <c r="G65" s="4">
        <v>0</v>
      </c>
      <c r="H65" s="4">
        <v>0</v>
      </c>
      <c r="I65" s="4">
        <v>0</v>
      </c>
      <c r="J65" s="4">
        <v>0</v>
      </c>
      <c r="K65" s="4">
        <v>0</v>
      </c>
      <c r="L65" s="4">
        <v>0</v>
      </c>
      <c r="M65" s="4"/>
      <c r="N65" s="4">
        <v>0</v>
      </c>
      <c r="O65" s="4">
        <v>0</v>
      </c>
      <c r="P65" s="4"/>
      <c r="Q65" s="4"/>
      <c r="R65" s="4">
        <f t="shared" si="13"/>
        <v>0</v>
      </c>
      <c r="S65">
        <v>63</v>
      </c>
    </row>
    <row r="66" spans="2:19" x14ac:dyDescent="0.25">
      <c r="C66">
        <v>572</v>
      </c>
      <c r="D66" t="s">
        <v>468</v>
      </c>
      <c r="E66" s="4">
        <v>0</v>
      </c>
      <c r="F66" s="4">
        <v>0</v>
      </c>
      <c r="G66" s="4">
        <v>0</v>
      </c>
      <c r="H66" s="4">
        <v>0</v>
      </c>
      <c r="I66" s="4">
        <v>0</v>
      </c>
      <c r="J66" s="4">
        <v>0</v>
      </c>
      <c r="K66" s="4">
        <v>0</v>
      </c>
      <c r="L66" s="4">
        <v>0</v>
      </c>
      <c r="M66" s="4"/>
      <c r="N66" s="4">
        <v>0</v>
      </c>
      <c r="O66" s="4">
        <v>0</v>
      </c>
      <c r="P66" s="4"/>
      <c r="Q66" s="4"/>
      <c r="R66" s="4">
        <f t="shared" si="13"/>
        <v>0</v>
      </c>
      <c r="S66" s="1">
        <v>64</v>
      </c>
    </row>
    <row r="67" spans="2:19" x14ac:dyDescent="0.25">
      <c r="C67">
        <v>573</v>
      </c>
      <c r="D67" t="s">
        <v>469</v>
      </c>
      <c r="E67" s="4">
        <v>0</v>
      </c>
      <c r="F67" s="4">
        <v>0</v>
      </c>
      <c r="G67" s="4">
        <v>0</v>
      </c>
      <c r="H67" s="4">
        <v>0</v>
      </c>
      <c r="I67" s="4">
        <v>0</v>
      </c>
      <c r="J67" s="4">
        <v>0</v>
      </c>
      <c r="K67" s="4">
        <v>0</v>
      </c>
      <c r="L67" s="4">
        <v>0</v>
      </c>
      <c r="M67" s="4"/>
      <c r="N67" s="4">
        <v>0</v>
      </c>
      <c r="O67" s="4">
        <v>0</v>
      </c>
      <c r="P67" s="4"/>
      <c r="Q67" s="4"/>
      <c r="R67" s="4">
        <f t="shared" si="13"/>
        <v>0</v>
      </c>
      <c r="S67">
        <v>65</v>
      </c>
    </row>
    <row r="68" spans="2:19" x14ac:dyDescent="0.25">
      <c r="C68">
        <v>574</v>
      </c>
      <c r="D68" t="s">
        <v>470</v>
      </c>
      <c r="E68" s="4">
        <v>0</v>
      </c>
      <c r="F68" s="4">
        <v>0</v>
      </c>
      <c r="G68" s="4">
        <v>0</v>
      </c>
      <c r="H68" s="4">
        <v>0</v>
      </c>
      <c r="I68" s="4">
        <v>0</v>
      </c>
      <c r="J68" s="4">
        <v>0</v>
      </c>
      <c r="K68" s="4">
        <v>0</v>
      </c>
      <c r="L68" s="4">
        <v>0</v>
      </c>
      <c r="M68" s="4"/>
      <c r="N68" s="4">
        <v>0</v>
      </c>
      <c r="O68" s="4">
        <v>0</v>
      </c>
      <c r="P68" s="4"/>
      <c r="Q68" s="4"/>
      <c r="R68" s="4">
        <f t="shared" si="13"/>
        <v>0</v>
      </c>
      <c r="S68">
        <v>66</v>
      </c>
    </row>
    <row r="69" spans="2:19" x14ac:dyDescent="0.25">
      <c r="C69">
        <v>575</v>
      </c>
      <c r="D69" t="s">
        <v>471</v>
      </c>
      <c r="E69" s="4">
        <v>0</v>
      </c>
      <c r="F69" s="4">
        <v>0</v>
      </c>
      <c r="G69" s="4">
        <v>0</v>
      </c>
      <c r="H69" s="4">
        <v>0</v>
      </c>
      <c r="I69" s="4">
        <v>0</v>
      </c>
      <c r="J69" s="4">
        <v>0</v>
      </c>
      <c r="K69" s="4">
        <v>0</v>
      </c>
      <c r="L69" s="4">
        <v>0</v>
      </c>
      <c r="M69" s="4"/>
      <c r="N69" s="4">
        <v>0</v>
      </c>
      <c r="O69" s="4">
        <v>0</v>
      </c>
      <c r="P69" s="4"/>
      <c r="Q69" s="4"/>
      <c r="R69" s="4">
        <f t="shared" si="13"/>
        <v>0</v>
      </c>
      <c r="S69" s="1">
        <v>67</v>
      </c>
    </row>
    <row r="70" spans="2:19" x14ac:dyDescent="0.25">
      <c r="C70">
        <v>576</v>
      </c>
      <c r="D70" t="s">
        <v>472</v>
      </c>
      <c r="E70" s="4">
        <v>0</v>
      </c>
      <c r="F70" s="4">
        <v>0</v>
      </c>
      <c r="G70" s="4">
        <v>0</v>
      </c>
      <c r="H70" s="4">
        <v>0</v>
      </c>
      <c r="I70" s="4">
        <v>0</v>
      </c>
      <c r="J70" s="4">
        <v>0</v>
      </c>
      <c r="K70" s="4">
        <v>0</v>
      </c>
      <c r="L70" s="4">
        <v>0</v>
      </c>
      <c r="M70" s="4"/>
      <c r="N70" s="4">
        <v>0</v>
      </c>
      <c r="O70" s="4">
        <v>0</v>
      </c>
      <c r="P70" s="4"/>
      <c r="Q70" s="4"/>
      <c r="R70" s="4">
        <f t="shared" si="13"/>
        <v>0</v>
      </c>
      <c r="S70">
        <v>68</v>
      </c>
    </row>
    <row r="71" spans="2:19" x14ac:dyDescent="0.25">
      <c r="C71">
        <v>577</v>
      </c>
      <c r="D71" t="s">
        <v>473</v>
      </c>
      <c r="E71" s="4">
        <v>0</v>
      </c>
      <c r="F71" s="4">
        <v>0</v>
      </c>
      <c r="G71" s="4">
        <v>0</v>
      </c>
      <c r="H71" s="4">
        <v>0</v>
      </c>
      <c r="I71" s="4">
        <v>0</v>
      </c>
      <c r="J71" s="4">
        <v>0</v>
      </c>
      <c r="K71" s="4">
        <v>0</v>
      </c>
      <c r="L71" s="4">
        <v>0</v>
      </c>
      <c r="M71" s="4"/>
      <c r="N71" s="4">
        <v>0</v>
      </c>
      <c r="O71" s="4">
        <v>0</v>
      </c>
      <c r="P71" s="4"/>
      <c r="Q71" s="4"/>
      <c r="R71" s="4">
        <f t="shared" si="13"/>
        <v>0</v>
      </c>
      <c r="S71">
        <v>69</v>
      </c>
    </row>
    <row r="72" spans="2:19" x14ac:dyDescent="0.25">
      <c r="C72">
        <v>578</v>
      </c>
      <c r="D72" t="s">
        <v>474</v>
      </c>
      <c r="E72" s="4">
        <v>0</v>
      </c>
      <c r="F72" s="4">
        <v>0</v>
      </c>
      <c r="G72" s="4">
        <v>0</v>
      </c>
      <c r="H72" s="4">
        <v>0</v>
      </c>
      <c r="I72" s="4">
        <v>0</v>
      </c>
      <c r="J72" s="4">
        <v>0</v>
      </c>
      <c r="K72" s="4">
        <v>0</v>
      </c>
      <c r="L72" s="4">
        <v>0</v>
      </c>
      <c r="M72" s="4"/>
      <c r="N72" s="4">
        <v>0</v>
      </c>
      <c r="O72" s="4">
        <v>0</v>
      </c>
      <c r="P72" s="4"/>
      <c r="Q72" s="4"/>
      <c r="R72" s="4">
        <f t="shared" si="13"/>
        <v>0</v>
      </c>
      <c r="S72" s="1">
        <v>70</v>
      </c>
    </row>
    <row r="73" spans="2:19" x14ac:dyDescent="0.25">
      <c r="E73" s="4"/>
      <c r="F73" s="4"/>
      <c r="G73" s="4"/>
      <c r="H73" s="4"/>
      <c r="I73" s="4"/>
      <c r="J73" s="4"/>
      <c r="K73" s="4"/>
      <c r="L73" s="4"/>
      <c r="M73" s="4"/>
      <c r="N73" s="4"/>
      <c r="O73" s="4"/>
      <c r="P73" s="4"/>
      <c r="Q73" s="4"/>
      <c r="R73" s="4"/>
      <c r="S73">
        <v>71</v>
      </c>
    </row>
    <row r="74" spans="2:19" x14ac:dyDescent="0.25">
      <c r="B74" s="56">
        <v>58</v>
      </c>
      <c r="C74" s="56"/>
      <c r="D74" s="56" t="s">
        <v>477</v>
      </c>
      <c r="E74" s="57">
        <f>E75+E76+E77+E78+E79+E80</f>
        <v>0</v>
      </c>
      <c r="F74" s="57">
        <f t="shared" ref="F74:R74" si="14">F75+F76+F77+F78+F79+F80</f>
        <v>0</v>
      </c>
      <c r="G74" s="57">
        <f t="shared" si="14"/>
        <v>0</v>
      </c>
      <c r="H74" s="57">
        <f t="shared" si="14"/>
        <v>0</v>
      </c>
      <c r="I74" s="57">
        <f t="shared" si="14"/>
        <v>0</v>
      </c>
      <c r="J74" s="57">
        <f t="shared" si="14"/>
        <v>0</v>
      </c>
      <c r="K74" s="57">
        <f t="shared" si="14"/>
        <v>0</v>
      </c>
      <c r="L74" s="57">
        <f t="shared" si="14"/>
        <v>0</v>
      </c>
      <c r="M74" s="57">
        <f t="shared" si="14"/>
        <v>0</v>
      </c>
      <c r="N74" s="57">
        <f t="shared" si="14"/>
        <v>0</v>
      </c>
      <c r="O74" s="57">
        <f t="shared" si="14"/>
        <v>0</v>
      </c>
      <c r="P74" s="57">
        <f t="shared" si="14"/>
        <v>0</v>
      </c>
      <c r="Q74" s="57">
        <f t="shared" si="14"/>
        <v>0</v>
      </c>
      <c r="R74" s="57">
        <f t="shared" si="14"/>
        <v>0</v>
      </c>
      <c r="S74">
        <v>72</v>
      </c>
    </row>
    <row r="75" spans="2:19" x14ac:dyDescent="0.25">
      <c r="C75">
        <v>580</v>
      </c>
      <c r="D75" t="s">
        <v>454</v>
      </c>
      <c r="E75" s="4">
        <v>0</v>
      </c>
      <c r="F75" s="4">
        <v>0</v>
      </c>
      <c r="G75" s="4">
        <v>0</v>
      </c>
      <c r="H75" s="4">
        <v>0</v>
      </c>
      <c r="I75" s="4">
        <v>0</v>
      </c>
      <c r="J75" s="4">
        <v>0</v>
      </c>
      <c r="K75" s="4">
        <v>0</v>
      </c>
      <c r="L75" s="4">
        <v>0</v>
      </c>
      <c r="M75" s="4"/>
      <c r="N75" s="4">
        <v>0</v>
      </c>
      <c r="O75" s="4">
        <v>0</v>
      </c>
      <c r="P75" s="4"/>
      <c r="Q75" s="4"/>
      <c r="R75" s="4">
        <f t="shared" ref="R75:R80" si="15">SUM(E75:Q75)</f>
        <v>0</v>
      </c>
      <c r="S75" s="1">
        <v>73</v>
      </c>
    </row>
    <row r="76" spans="2:19" x14ac:dyDescent="0.25">
      <c r="C76">
        <v>582</v>
      </c>
      <c r="D76" t="s">
        <v>464</v>
      </c>
      <c r="E76" s="4">
        <v>0</v>
      </c>
      <c r="F76" s="4">
        <v>0</v>
      </c>
      <c r="G76" s="4">
        <v>0</v>
      </c>
      <c r="H76" s="4">
        <v>0</v>
      </c>
      <c r="I76" s="4">
        <v>0</v>
      </c>
      <c r="J76" s="4">
        <v>0</v>
      </c>
      <c r="K76" s="4">
        <v>0</v>
      </c>
      <c r="L76" s="4">
        <v>0</v>
      </c>
      <c r="M76" s="4"/>
      <c r="N76" s="4">
        <v>0</v>
      </c>
      <c r="O76" s="4">
        <v>0</v>
      </c>
      <c r="P76" s="4"/>
      <c r="Q76" s="4"/>
      <c r="R76" s="4">
        <f t="shared" si="15"/>
        <v>0</v>
      </c>
      <c r="S76">
        <v>74</v>
      </c>
    </row>
    <row r="77" spans="2:19" x14ac:dyDescent="0.25">
      <c r="C77">
        <v>584</v>
      </c>
      <c r="D77" t="s">
        <v>250</v>
      </c>
      <c r="E77" s="4">
        <v>0</v>
      </c>
      <c r="F77" s="4">
        <v>0</v>
      </c>
      <c r="G77" s="4">
        <v>0</v>
      </c>
      <c r="H77" s="4">
        <v>0</v>
      </c>
      <c r="I77" s="4">
        <v>0</v>
      </c>
      <c r="J77" s="4">
        <v>0</v>
      </c>
      <c r="K77" s="4">
        <v>0</v>
      </c>
      <c r="L77" s="4">
        <v>0</v>
      </c>
      <c r="M77" s="4"/>
      <c r="N77" s="4">
        <v>0</v>
      </c>
      <c r="O77" s="4">
        <v>0</v>
      </c>
      <c r="P77" s="4"/>
      <c r="Q77" s="4"/>
      <c r="R77" s="4">
        <f t="shared" si="15"/>
        <v>0</v>
      </c>
      <c r="S77">
        <v>75</v>
      </c>
    </row>
    <row r="78" spans="2:19" x14ac:dyDescent="0.25">
      <c r="C78">
        <v>585</v>
      </c>
      <c r="D78" t="s">
        <v>379</v>
      </c>
      <c r="E78" s="4">
        <v>0</v>
      </c>
      <c r="F78" s="4">
        <v>0</v>
      </c>
      <c r="G78" s="4">
        <v>0</v>
      </c>
      <c r="H78" s="4">
        <v>0</v>
      </c>
      <c r="I78" s="4">
        <v>0</v>
      </c>
      <c r="J78" s="4">
        <v>0</v>
      </c>
      <c r="K78" s="4">
        <v>0</v>
      </c>
      <c r="L78" s="4">
        <v>0</v>
      </c>
      <c r="M78" s="4"/>
      <c r="N78" s="4">
        <v>0</v>
      </c>
      <c r="O78" s="4">
        <v>0</v>
      </c>
      <c r="P78" s="4"/>
      <c r="Q78" s="4"/>
      <c r="R78" s="4">
        <f t="shared" si="15"/>
        <v>0</v>
      </c>
      <c r="S78" s="1">
        <v>76</v>
      </c>
    </row>
    <row r="79" spans="2:19" x14ac:dyDescent="0.25">
      <c r="C79">
        <v>586</v>
      </c>
      <c r="D79" t="s">
        <v>478</v>
      </c>
      <c r="E79" s="4">
        <v>0</v>
      </c>
      <c r="F79" s="4">
        <v>0</v>
      </c>
      <c r="G79" s="4">
        <v>0</v>
      </c>
      <c r="H79" s="4">
        <v>0</v>
      </c>
      <c r="I79" s="4">
        <v>0</v>
      </c>
      <c r="J79" s="4">
        <v>0</v>
      </c>
      <c r="K79" s="4">
        <v>0</v>
      </c>
      <c r="L79" s="4">
        <v>0</v>
      </c>
      <c r="M79" s="4"/>
      <c r="N79" s="4">
        <v>0</v>
      </c>
      <c r="O79" s="4">
        <v>0</v>
      </c>
      <c r="P79" s="4"/>
      <c r="Q79" s="4"/>
      <c r="R79" s="4">
        <f t="shared" si="15"/>
        <v>0</v>
      </c>
      <c r="S79">
        <v>77</v>
      </c>
    </row>
    <row r="80" spans="2:19" x14ac:dyDescent="0.25">
      <c r="C80">
        <v>589</v>
      </c>
      <c r="D80" t="s">
        <v>479</v>
      </c>
      <c r="E80" s="4">
        <v>0</v>
      </c>
      <c r="F80" s="4">
        <v>0</v>
      </c>
      <c r="G80" s="4">
        <v>0</v>
      </c>
      <c r="H80" s="4">
        <v>0</v>
      </c>
      <c r="I80" s="4">
        <v>0</v>
      </c>
      <c r="J80" s="4">
        <v>0</v>
      </c>
      <c r="K80" s="4">
        <v>0</v>
      </c>
      <c r="L80" s="4">
        <v>0</v>
      </c>
      <c r="M80" s="4"/>
      <c r="N80" s="4">
        <v>0</v>
      </c>
      <c r="O80" s="4">
        <v>0</v>
      </c>
      <c r="P80" s="4"/>
      <c r="Q80" s="4"/>
      <c r="R80" s="4">
        <f t="shared" si="15"/>
        <v>0</v>
      </c>
      <c r="S80">
        <v>78</v>
      </c>
    </row>
    <row r="81" spans="1:19" x14ac:dyDescent="0.25">
      <c r="E81" s="4"/>
      <c r="F81" s="4"/>
      <c r="G81" s="4"/>
      <c r="H81" s="4"/>
      <c r="I81" s="4"/>
      <c r="J81" s="4"/>
      <c r="K81" s="4"/>
      <c r="L81" s="4"/>
      <c r="M81" s="4"/>
      <c r="N81" s="4"/>
      <c r="O81" s="4"/>
      <c r="P81" s="4"/>
      <c r="Q81" s="4"/>
      <c r="R81" s="4"/>
      <c r="S81" s="1">
        <v>79</v>
      </c>
    </row>
    <row r="82" spans="1:19" x14ac:dyDescent="0.25">
      <c r="B82" s="56">
        <v>59</v>
      </c>
      <c r="C82" s="56"/>
      <c r="D82" s="56" t="s">
        <v>480</v>
      </c>
      <c r="E82" s="57">
        <f>E83</f>
        <v>0</v>
      </c>
      <c r="F82" s="57">
        <f t="shared" ref="F82:R82" si="16">F83</f>
        <v>0</v>
      </c>
      <c r="G82" s="57">
        <f t="shared" si="16"/>
        <v>25270</v>
      </c>
      <c r="H82" s="57">
        <f t="shared" si="16"/>
        <v>0</v>
      </c>
      <c r="I82" s="57">
        <f t="shared" si="16"/>
        <v>2490.15</v>
      </c>
      <c r="J82" s="57">
        <f t="shared" si="16"/>
        <v>94682.25</v>
      </c>
      <c r="K82" s="57">
        <f t="shared" si="16"/>
        <v>0</v>
      </c>
      <c r="L82" s="57">
        <f t="shared" si="16"/>
        <v>0</v>
      </c>
      <c r="M82" s="57">
        <f t="shared" si="16"/>
        <v>0</v>
      </c>
      <c r="N82" s="57">
        <f t="shared" si="16"/>
        <v>0</v>
      </c>
      <c r="O82" s="57">
        <f t="shared" si="16"/>
        <v>0</v>
      </c>
      <c r="P82" s="57">
        <f t="shared" si="16"/>
        <v>0</v>
      </c>
      <c r="Q82" s="57">
        <f t="shared" si="16"/>
        <v>0</v>
      </c>
      <c r="R82" s="57">
        <f t="shared" si="16"/>
        <v>122442.4</v>
      </c>
      <c r="S82">
        <v>80</v>
      </c>
    </row>
    <row r="83" spans="1:19" x14ac:dyDescent="0.25">
      <c r="C83">
        <v>590</v>
      </c>
      <c r="D83" t="s">
        <v>480</v>
      </c>
      <c r="E83" s="4">
        <v>0</v>
      </c>
      <c r="F83" s="4">
        <v>0</v>
      </c>
      <c r="G83" s="4">
        <v>25270</v>
      </c>
      <c r="H83" s="4">
        <v>0</v>
      </c>
      <c r="I83" s="4">
        <v>2490.15</v>
      </c>
      <c r="J83" s="4">
        <v>94682.25</v>
      </c>
      <c r="K83" s="4">
        <v>0</v>
      </c>
      <c r="L83" s="4">
        <v>0</v>
      </c>
      <c r="M83" s="4"/>
      <c r="N83" s="4">
        <v>0</v>
      </c>
      <c r="O83" s="4">
        <v>0</v>
      </c>
      <c r="P83" s="4"/>
      <c r="Q83" s="4"/>
      <c r="R83" s="4">
        <f>SUM(E83:Q83)</f>
        <v>122442.4</v>
      </c>
      <c r="S83">
        <v>81</v>
      </c>
    </row>
    <row r="84" spans="1:19" x14ac:dyDescent="0.25">
      <c r="E84" s="4"/>
      <c r="F84" s="4"/>
      <c r="G84" s="4"/>
      <c r="H84" s="4"/>
      <c r="I84" s="4"/>
      <c r="J84" s="4"/>
      <c r="K84" s="4"/>
      <c r="L84" s="4"/>
      <c r="M84" s="4"/>
      <c r="N84" s="4"/>
      <c r="O84" s="4"/>
      <c r="P84" s="4"/>
      <c r="Q84" s="4"/>
      <c r="R84" s="4"/>
      <c r="S84" s="1">
        <v>82</v>
      </c>
    </row>
    <row r="85" spans="1:19" x14ac:dyDescent="0.25">
      <c r="E85" s="4"/>
      <c r="F85" s="4"/>
      <c r="G85" s="4"/>
      <c r="H85" s="4"/>
      <c r="I85" s="4"/>
      <c r="J85" s="4"/>
      <c r="K85" s="4"/>
      <c r="L85" s="4"/>
      <c r="M85" s="4"/>
      <c r="N85" s="4"/>
      <c r="O85" s="4"/>
      <c r="P85" s="4"/>
      <c r="Q85" s="4"/>
      <c r="R85" s="4"/>
      <c r="S85">
        <v>83</v>
      </c>
    </row>
    <row r="86" spans="1:19" x14ac:dyDescent="0.25">
      <c r="E86" s="4"/>
      <c r="F86" s="4"/>
      <c r="G86" s="4"/>
      <c r="H86" s="4"/>
      <c r="I86" s="4"/>
      <c r="J86" s="4"/>
      <c r="K86" s="4"/>
      <c r="L86" s="4"/>
      <c r="M86" s="4"/>
      <c r="N86" s="4"/>
      <c r="O86" s="4"/>
      <c r="P86" s="4"/>
      <c r="Q86" s="4"/>
      <c r="R86" s="4"/>
      <c r="S86">
        <v>84</v>
      </c>
    </row>
    <row r="87" spans="1:19" ht="21" x14ac:dyDescent="0.35">
      <c r="A87" s="86">
        <v>6</v>
      </c>
      <c r="B87" s="86"/>
      <c r="C87" s="86"/>
      <c r="D87" s="86" t="s">
        <v>481</v>
      </c>
      <c r="E87" s="77">
        <f>E88+E98+E108+E113+E124+E135+E146+E157+E168</f>
        <v>0</v>
      </c>
      <c r="F87" s="77">
        <f t="shared" ref="F87:R87" si="17">F88+F98+F108+F113+F124+F135+F146+F157+F168</f>
        <v>0</v>
      </c>
      <c r="G87" s="77">
        <f t="shared" si="17"/>
        <v>25270</v>
      </c>
      <c r="H87" s="77">
        <f t="shared" si="17"/>
        <v>0</v>
      </c>
      <c r="I87" s="77">
        <f t="shared" si="17"/>
        <v>2490.15</v>
      </c>
      <c r="J87" s="77">
        <f t="shared" si="17"/>
        <v>94682.25</v>
      </c>
      <c r="K87" s="77">
        <f t="shared" si="17"/>
        <v>0</v>
      </c>
      <c r="L87" s="77">
        <f t="shared" si="17"/>
        <v>0</v>
      </c>
      <c r="M87" s="77">
        <f t="shared" si="17"/>
        <v>0</v>
      </c>
      <c r="N87" s="77">
        <f t="shared" si="17"/>
        <v>0</v>
      </c>
      <c r="O87" s="77">
        <f t="shared" si="17"/>
        <v>0</v>
      </c>
      <c r="P87" s="77">
        <f t="shared" si="17"/>
        <v>0</v>
      </c>
      <c r="Q87" s="77">
        <f t="shared" si="17"/>
        <v>0</v>
      </c>
      <c r="R87" s="77">
        <f t="shared" si="17"/>
        <v>122442.4</v>
      </c>
      <c r="S87" s="1">
        <v>85</v>
      </c>
    </row>
    <row r="88" spans="1:19" x14ac:dyDescent="0.25">
      <c r="A88" s="7"/>
      <c r="B88" s="87">
        <v>60</v>
      </c>
      <c r="C88" s="87"/>
      <c r="D88" s="87" t="s">
        <v>482</v>
      </c>
      <c r="E88" s="85">
        <f>E89+E90+E91+E92+E93+E94+E95+E96</f>
        <v>0</v>
      </c>
      <c r="F88" s="85">
        <f t="shared" ref="F88:R88" si="18">F89+F90+F91+F92+F93+F94+F95+F96</f>
        <v>0</v>
      </c>
      <c r="G88" s="85">
        <f t="shared" si="18"/>
        <v>0</v>
      </c>
      <c r="H88" s="85">
        <f t="shared" si="18"/>
        <v>0</v>
      </c>
      <c r="I88" s="85">
        <f t="shared" si="18"/>
        <v>0</v>
      </c>
      <c r="J88" s="85">
        <f t="shared" si="18"/>
        <v>0</v>
      </c>
      <c r="K88" s="85">
        <f t="shared" si="18"/>
        <v>0</v>
      </c>
      <c r="L88" s="85">
        <f t="shared" si="18"/>
        <v>0</v>
      </c>
      <c r="M88" s="85">
        <f t="shared" si="18"/>
        <v>0</v>
      </c>
      <c r="N88" s="85">
        <f t="shared" si="18"/>
        <v>0</v>
      </c>
      <c r="O88" s="85">
        <f t="shared" si="18"/>
        <v>0</v>
      </c>
      <c r="P88" s="85">
        <f t="shared" si="18"/>
        <v>0</v>
      </c>
      <c r="Q88" s="85">
        <f t="shared" si="18"/>
        <v>0</v>
      </c>
      <c r="R88" s="85">
        <f t="shared" si="18"/>
        <v>0</v>
      </c>
      <c r="S88">
        <v>86</v>
      </c>
    </row>
    <row r="89" spans="1:19" x14ac:dyDescent="0.25">
      <c r="C89">
        <v>600</v>
      </c>
      <c r="D89" t="s">
        <v>456</v>
      </c>
      <c r="E89" s="4">
        <v>0</v>
      </c>
      <c r="F89" s="4">
        <v>0</v>
      </c>
      <c r="G89" s="4">
        <v>0</v>
      </c>
      <c r="H89" s="4">
        <v>0</v>
      </c>
      <c r="I89" s="4">
        <v>0</v>
      </c>
      <c r="J89" s="4">
        <v>0</v>
      </c>
      <c r="K89" s="4">
        <v>0</v>
      </c>
      <c r="L89" s="4">
        <v>0</v>
      </c>
      <c r="M89" s="4"/>
      <c r="N89" s="4">
        <v>0</v>
      </c>
      <c r="O89" s="4">
        <v>0</v>
      </c>
      <c r="P89" s="4"/>
      <c r="Q89" s="4"/>
      <c r="R89" s="4">
        <f t="shared" ref="R89:R96" si="19">SUM(E89:Q89)</f>
        <v>0</v>
      </c>
      <c r="S89">
        <v>87</v>
      </c>
    </row>
    <row r="90" spans="1:19" x14ac:dyDescent="0.25">
      <c r="C90">
        <v>601</v>
      </c>
      <c r="D90" t="s">
        <v>457</v>
      </c>
      <c r="E90" s="4">
        <v>0</v>
      </c>
      <c r="F90" s="4">
        <v>0</v>
      </c>
      <c r="G90" s="4">
        <v>0</v>
      </c>
      <c r="H90" s="4">
        <v>0</v>
      </c>
      <c r="I90" s="4">
        <v>0</v>
      </c>
      <c r="J90" s="4">
        <v>0</v>
      </c>
      <c r="K90" s="4">
        <v>0</v>
      </c>
      <c r="L90" s="4">
        <v>0</v>
      </c>
      <c r="M90" s="4"/>
      <c r="N90" s="4">
        <v>0</v>
      </c>
      <c r="O90" s="4">
        <v>0</v>
      </c>
      <c r="P90" s="4"/>
      <c r="Q90" s="4"/>
      <c r="R90" s="4">
        <f t="shared" si="19"/>
        <v>0</v>
      </c>
      <c r="S90" s="1">
        <v>88</v>
      </c>
    </row>
    <row r="91" spans="1:19" x14ac:dyDescent="0.25">
      <c r="C91">
        <v>602</v>
      </c>
      <c r="D91" t="s">
        <v>458</v>
      </c>
      <c r="E91" s="4">
        <v>0</v>
      </c>
      <c r="F91" s="4">
        <v>0</v>
      </c>
      <c r="G91" s="4">
        <v>0</v>
      </c>
      <c r="H91" s="4">
        <v>0</v>
      </c>
      <c r="I91" s="4">
        <v>0</v>
      </c>
      <c r="J91" s="4">
        <v>0</v>
      </c>
      <c r="K91" s="4">
        <v>0</v>
      </c>
      <c r="L91" s="4">
        <v>0</v>
      </c>
      <c r="M91" s="4"/>
      <c r="N91" s="4">
        <v>0</v>
      </c>
      <c r="O91" s="4">
        <v>0</v>
      </c>
      <c r="P91" s="4"/>
      <c r="Q91" s="4"/>
      <c r="R91" s="4">
        <f t="shared" si="19"/>
        <v>0</v>
      </c>
      <c r="S91">
        <v>89</v>
      </c>
    </row>
    <row r="92" spans="1:19" x14ac:dyDescent="0.25">
      <c r="C92">
        <v>603</v>
      </c>
      <c r="D92" t="s">
        <v>459</v>
      </c>
      <c r="E92" s="4">
        <v>0</v>
      </c>
      <c r="F92" s="4">
        <v>0</v>
      </c>
      <c r="G92" s="4">
        <v>0</v>
      </c>
      <c r="H92" s="4">
        <v>0</v>
      </c>
      <c r="I92" s="4">
        <v>0</v>
      </c>
      <c r="J92" s="4">
        <v>0</v>
      </c>
      <c r="K92" s="4">
        <v>0</v>
      </c>
      <c r="L92" s="4">
        <v>0</v>
      </c>
      <c r="M92" s="4"/>
      <c r="N92" s="4">
        <v>0</v>
      </c>
      <c r="O92" s="4">
        <v>0</v>
      </c>
      <c r="P92" s="4"/>
      <c r="Q92" s="4"/>
      <c r="R92" s="4">
        <f t="shared" si="19"/>
        <v>0</v>
      </c>
      <c r="S92">
        <v>90</v>
      </c>
    </row>
    <row r="93" spans="1:19" x14ac:dyDescent="0.25">
      <c r="C93">
        <v>604</v>
      </c>
      <c r="D93" t="s">
        <v>460</v>
      </c>
      <c r="E93" s="4">
        <v>0</v>
      </c>
      <c r="F93" s="4">
        <v>0</v>
      </c>
      <c r="G93" s="4">
        <v>0</v>
      </c>
      <c r="H93" s="4">
        <v>0</v>
      </c>
      <c r="I93" s="4">
        <v>0</v>
      </c>
      <c r="J93" s="4">
        <v>0</v>
      </c>
      <c r="K93" s="4">
        <v>0</v>
      </c>
      <c r="L93" s="4">
        <v>0</v>
      </c>
      <c r="M93" s="4"/>
      <c r="N93" s="4">
        <v>0</v>
      </c>
      <c r="O93" s="4">
        <v>0</v>
      </c>
      <c r="P93" s="4"/>
      <c r="Q93" s="4"/>
      <c r="R93" s="4">
        <f t="shared" si="19"/>
        <v>0</v>
      </c>
      <c r="S93" s="1">
        <v>91</v>
      </c>
    </row>
    <row r="94" spans="1:19" x14ac:dyDescent="0.25">
      <c r="C94">
        <v>605</v>
      </c>
      <c r="D94" t="s">
        <v>461</v>
      </c>
      <c r="E94" s="4">
        <v>0</v>
      </c>
      <c r="F94" s="4">
        <v>0</v>
      </c>
      <c r="G94" s="4">
        <v>0</v>
      </c>
      <c r="H94" s="4">
        <v>0</v>
      </c>
      <c r="I94" s="4">
        <v>0</v>
      </c>
      <c r="J94" s="4">
        <v>0</v>
      </c>
      <c r="K94" s="4">
        <v>0</v>
      </c>
      <c r="L94" s="4">
        <v>0</v>
      </c>
      <c r="M94" s="4"/>
      <c r="N94" s="4">
        <v>0</v>
      </c>
      <c r="O94" s="4">
        <v>0</v>
      </c>
      <c r="P94" s="4"/>
      <c r="Q94" s="4"/>
      <c r="R94" s="4">
        <f t="shared" si="19"/>
        <v>0</v>
      </c>
      <c r="S94">
        <v>92</v>
      </c>
    </row>
    <row r="95" spans="1:19" x14ac:dyDescent="0.25">
      <c r="C95">
        <v>606</v>
      </c>
      <c r="D95" t="s">
        <v>462</v>
      </c>
      <c r="E95" s="4">
        <v>0</v>
      </c>
      <c r="F95" s="4">
        <v>0</v>
      </c>
      <c r="G95" s="4">
        <v>0</v>
      </c>
      <c r="H95" s="4">
        <v>0</v>
      </c>
      <c r="I95" s="4">
        <v>0</v>
      </c>
      <c r="J95" s="4">
        <v>0</v>
      </c>
      <c r="K95" s="4">
        <v>0</v>
      </c>
      <c r="L95" s="4">
        <v>0</v>
      </c>
      <c r="M95" s="4"/>
      <c r="N95" s="4">
        <v>0</v>
      </c>
      <c r="O95" s="4">
        <v>0</v>
      </c>
      <c r="P95" s="4"/>
      <c r="Q95" s="4"/>
      <c r="R95" s="4">
        <f t="shared" si="19"/>
        <v>0</v>
      </c>
      <c r="S95">
        <v>93</v>
      </c>
    </row>
    <row r="96" spans="1:19" x14ac:dyDescent="0.25">
      <c r="C96">
        <v>609</v>
      </c>
      <c r="D96" t="s">
        <v>463</v>
      </c>
      <c r="E96" s="4">
        <v>0</v>
      </c>
      <c r="F96" s="4">
        <v>0</v>
      </c>
      <c r="G96" s="4">
        <v>0</v>
      </c>
      <c r="H96" s="4">
        <v>0</v>
      </c>
      <c r="I96" s="4">
        <v>0</v>
      </c>
      <c r="J96" s="4">
        <v>0</v>
      </c>
      <c r="K96" s="4">
        <v>0</v>
      </c>
      <c r="L96" s="4">
        <v>0</v>
      </c>
      <c r="M96" s="4"/>
      <c r="N96" s="4">
        <v>0</v>
      </c>
      <c r="O96" s="4">
        <v>0</v>
      </c>
      <c r="P96" s="4"/>
      <c r="Q96" s="4"/>
      <c r="R96" s="4">
        <f t="shared" si="19"/>
        <v>0</v>
      </c>
      <c r="S96" s="1">
        <v>94</v>
      </c>
    </row>
    <row r="97" spans="2:19" x14ac:dyDescent="0.25">
      <c r="E97" s="4"/>
      <c r="F97" s="4"/>
      <c r="G97" s="4"/>
      <c r="H97" s="4"/>
      <c r="I97" s="4"/>
      <c r="J97" s="4"/>
      <c r="K97" s="4"/>
      <c r="L97" s="4"/>
      <c r="M97" s="4"/>
      <c r="N97" s="4"/>
      <c r="O97" s="4"/>
      <c r="P97" s="4"/>
      <c r="Q97" s="4"/>
      <c r="R97" s="4"/>
      <c r="S97">
        <v>95</v>
      </c>
    </row>
    <row r="98" spans="2:19" x14ac:dyDescent="0.25">
      <c r="B98" s="87">
        <v>61</v>
      </c>
      <c r="C98" s="87"/>
      <c r="D98" s="87" t="s">
        <v>483</v>
      </c>
      <c r="E98" s="85">
        <f>E99+E100+E101+E102+E103+E104+E105+E106</f>
        <v>0</v>
      </c>
      <c r="F98" s="85">
        <f t="shared" ref="F98:R98" si="20">F99+F100+F101+F102+F103+F104+F105+F106</f>
        <v>0</v>
      </c>
      <c r="G98" s="85">
        <f t="shared" si="20"/>
        <v>0</v>
      </c>
      <c r="H98" s="85">
        <f t="shared" si="20"/>
        <v>0</v>
      </c>
      <c r="I98" s="85">
        <f t="shared" si="20"/>
        <v>0</v>
      </c>
      <c r="J98" s="85">
        <f t="shared" si="20"/>
        <v>0</v>
      </c>
      <c r="K98" s="85">
        <f t="shared" si="20"/>
        <v>0</v>
      </c>
      <c r="L98" s="85">
        <f t="shared" si="20"/>
        <v>0</v>
      </c>
      <c r="M98" s="85">
        <f t="shared" si="20"/>
        <v>0</v>
      </c>
      <c r="N98" s="85">
        <f t="shared" si="20"/>
        <v>0</v>
      </c>
      <c r="O98" s="85">
        <f t="shared" si="20"/>
        <v>0</v>
      </c>
      <c r="P98" s="85">
        <f t="shared" si="20"/>
        <v>0</v>
      </c>
      <c r="Q98" s="85">
        <f t="shared" si="20"/>
        <v>0</v>
      </c>
      <c r="R98" s="85">
        <f t="shared" si="20"/>
        <v>0</v>
      </c>
      <c r="S98">
        <v>96</v>
      </c>
    </row>
    <row r="99" spans="2:19" x14ac:dyDescent="0.25">
      <c r="C99">
        <v>610</v>
      </c>
      <c r="D99" t="s">
        <v>456</v>
      </c>
      <c r="E99" s="4">
        <v>0</v>
      </c>
      <c r="F99" s="4">
        <v>0</v>
      </c>
      <c r="G99" s="4">
        <v>0</v>
      </c>
      <c r="H99" s="4">
        <v>0</v>
      </c>
      <c r="I99" s="4">
        <v>0</v>
      </c>
      <c r="J99" s="4">
        <v>0</v>
      </c>
      <c r="K99" s="4">
        <v>0</v>
      </c>
      <c r="L99" s="4">
        <v>0</v>
      </c>
      <c r="M99" s="4"/>
      <c r="N99" s="4">
        <v>0</v>
      </c>
      <c r="O99" s="4">
        <v>0</v>
      </c>
      <c r="P99" s="4"/>
      <c r="Q99" s="4"/>
      <c r="R99" s="4">
        <f t="shared" ref="R99:R106" si="21">SUM(E99:Q99)</f>
        <v>0</v>
      </c>
      <c r="S99" s="1">
        <v>97</v>
      </c>
    </row>
    <row r="100" spans="2:19" x14ac:dyDescent="0.25">
      <c r="C100">
        <v>611</v>
      </c>
      <c r="D100" t="s">
        <v>457</v>
      </c>
      <c r="E100" s="4">
        <v>0</v>
      </c>
      <c r="F100" s="4">
        <v>0</v>
      </c>
      <c r="G100" s="4">
        <v>0</v>
      </c>
      <c r="H100" s="4">
        <v>0</v>
      </c>
      <c r="I100" s="4">
        <v>0</v>
      </c>
      <c r="J100" s="4">
        <v>0</v>
      </c>
      <c r="K100" s="4">
        <v>0</v>
      </c>
      <c r="L100" s="4">
        <v>0</v>
      </c>
      <c r="M100" s="4"/>
      <c r="N100" s="4">
        <v>0</v>
      </c>
      <c r="O100" s="4">
        <v>0</v>
      </c>
      <c r="P100" s="4"/>
      <c r="Q100" s="4"/>
      <c r="R100" s="4">
        <f t="shared" si="21"/>
        <v>0</v>
      </c>
      <c r="S100">
        <v>98</v>
      </c>
    </row>
    <row r="101" spans="2:19" x14ac:dyDescent="0.25">
      <c r="C101">
        <v>612</v>
      </c>
      <c r="D101" t="s">
        <v>458</v>
      </c>
      <c r="E101" s="4">
        <v>0</v>
      </c>
      <c r="F101" s="4">
        <v>0</v>
      </c>
      <c r="G101" s="4">
        <v>0</v>
      </c>
      <c r="H101" s="4">
        <v>0</v>
      </c>
      <c r="I101" s="4">
        <v>0</v>
      </c>
      <c r="J101" s="4">
        <v>0</v>
      </c>
      <c r="K101" s="4">
        <v>0</v>
      </c>
      <c r="L101" s="4">
        <v>0</v>
      </c>
      <c r="M101" s="4"/>
      <c r="N101" s="4">
        <v>0</v>
      </c>
      <c r="O101" s="4">
        <v>0</v>
      </c>
      <c r="P101" s="4"/>
      <c r="Q101" s="4"/>
      <c r="R101" s="4">
        <f t="shared" si="21"/>
        <v>0</v>
      </c>
      <c r="S101">
        <v>99</v>
      </c>
    </row>
    <row r="102" spans="2:19" x14ac:dyDescent="0.25">
      <c r="C102">
        <v>613</v>
      </c>
      <c r="D102" t="s">
        <v>459</v>
      </c>
      <c r="E102" s="4">
        <v>0</v>
      </c>
      <c r="F102" s="4">
        <v>0</v>
      </c>
      <c r="G102" s="4">
        <v>0</v>
      </c>
      <c r="H102" s="4">
        <v>0</v>
      </c>
      <c r="I102" s="4">
        <v>0</v>
      </c>
      <c r="J102" s="4">
        <v>0</v>
      </c>
      <c r="K102" s="4">
        <v>0</v>
      </c>
      <c r="L102" s="4">
        <v>0</v>
      </c>
      <c r="M102" s="4"/>
      <c r="N102" s="4">
        <v>0</v>
      </c>
      <c r="O102" s="4">
        <v>0</v>
      </c>
      <c r="P102" s="4"/>
      <c r="Q102" s="4"/>
      <c r="R102" s="4">
        <f t="shared" si="21"/>
        <v>0</v>
      </c>
      <c r="S102" s="1">
        <v>100</v>
      </c>
    </row>
    <row r="103" spans="2:19" x14ac:dyDescent="0.25">
      <c r="C103">
        <v>614</v>
      </c>
      <c r="D103" t="s">
        <v>460</v>
      </c>
      <c r="E103" s="4">
        <v>0</v>
      </c>
      <c r="F103" s="4">
        <v>0</v>
      </c>
      <c r="G103" s="4">
        <v>0</v>
      </c>
      <c r="H103" s="4">
        <v>0</v>
      </c>
      <c r="I103" s="4">
        <v>0</v>
      </c>
      <c r="J103" s="4">
        <v>0</v>
      </c>
      <c r="K103" s="4">
        <v>0</v>
      </c>
      <c r="L103" s="4">
        <v>0</v>
      </c>
      <c r="M103" s="4"/>
      <c r="N103" s="4">
        <v>0</v>
      </c>
      <c r="O103" s="4">
        <v>0</v>
      </c>
      <c r="P103" s="4"/>
      <c r="Q103" s="4"/>
      <c r="R103" s="4">
        <f t="shared" si="21"/>
        <v>0</v>
      </c>
      <c r="S103">
        <v>101</v>
      </c>
    </row>
    <row r="104" spans="2:19" x14ac:dyDescent="0.25">
      <c r="C104">
        <v>615</v>
      </c>
      <c r="D104" t="s">
        <v>461</v>
      </c>
      <c r="E104" s="4">
        <v>0</v>
      </c>
      <c r="F104" s="4">
        <v>0</v>
      </c>
      <c r="G104" s="4">
        <v>0</v>
      </c>
      <c r="H104" s="4">
        <v>0</v>
      </c>
      <c r="I104" s="4">
        <v>0</v>
      </c>
      <c r="J104" s="4">
        <v>0</v>
      </c>
      <c r="K104" s="4">
        <v>0</v>
      </c>
      <c r="L104" s="4">
        <v>0</v>
      </c>
      <c r="M104" s="4"/>
      <c r="N104" s="4">
        <v>0</v>
      </c>
      <c r="O104" s="4">
        <v>0</v>
      </c>
      <c r="P104" s="4"/>
      <c r="Q104" s="4"/>
      <c r="R104" s="4">
        <f t="shared" si="21"/>
        <v>0</v>
      </c>
      <c r="S104">
        <v>102</v>
      </c>
    </row>
    <row r="105" spans="2:19" x14ac:dyDescent="0.25">
      <c r="C105">
        <v>616</v>
      </c>
      <c r="D105" t="s">
        <v>462</v>
      </c>
      <c r="E105" s="4">
        <v>0</v>
      </c>
      <c r="F105" s="4">
        <v>0</v>
      </c>
      <c r="G105" s="4">
        <v>0</v>
      </c>
      <c r="H105" s="4">
        <v>0</v>
      </c>
      <c r="I105" s="4">
        <v>0</v>
      </c>
      <c r="J105" s="4">
        <v>0</v>
      </c>
      <c r="K105" s="4">
        <v>0</v>
      </c>
      <c r="L105" s="4">
        <v>0</v>
      </c>
      <c r="M105" s="4"/>
      <c r="N105" s="4">
        <v>0</v>
      </c>
      <c r="O105" s="4">
        <v>0</v>
      </c>
      <c r="P105" s="4"/>
      <c r="Q105" s="4"/>
      <c r="R105" s="4">
        <f t="shared" si="21"/>
        <v>0</v>
      </c>
      <c r="S105" s="1">
        <v>103</v>
      </c>
    </row>
    <row r="106" spans="2:19" x14ac:dyDescent="0.25">
      <c r="C106">
        <v>619</v>
      </c>
      <c r="D106" t="s">
        <v>463</v>
      </c>
      <c r="E106" s="4">
        <v>0</v>
      </c>
      <c r="F106" s="4">
        <v>0</v>
      </c>
      <c r="G106" s="4">
        <v>0</v>
      </c>
      <c r="H106" s="4">
        <v>0</v>
      </c>
      <c r="I106" s="4">
        <v>0</v>
      </c>
      <c r="J106" s="4">
        <v>0</v>
      </c>
      <c r="K106" s="4">
        <v>0</v>
      </c>
      <c r="L106" s="4">
        <v>0</v>
      </c>
      <c r="M106" s="4"/>
      <c r="N106" s="4">
        <v>0</v>
      </c>
      <c r="O106" s="4">
        <v>0</v>
      </c>
      <c r="P106" s="4"/>
      <c r="Q106" s="4"/>
      <c r="R106" s="4">
        <f t="shared" si="21"/>
        <v>0</v>
      </c>
      <c r="S106">
        <v>104</v>
      </c>
    </row>
    <row r="107" spans="2:19" x14ac:dyDescent="0.25">
      <c r="E107" s="4"/>
      <c r="F107" s="4"/>
      <c r="G107" s="4"/>
      <c r="H107" s="4"/>
      <c r="I107" s="4"/>
      <c r="J107" s="4"/>
      <c r="K107" s="4"/>
      <c r="L107" s="4"/>
      <c r="M107" s="4"/>
      <c r="N107" s="4"/>
      <c r="O107" s="4"/>
      <c r="P107" s="4"/>
      <c r="Q107" s="4"/>
      <c r="R107" s="4"/>
      <c r="S107">
        <v>105</v>
      </c>
    </row>
    <row r="108" spans="2:19" x14ac:dyDescent="0.25">
      <c r="B108" s="87">
        <v>62</v>
      </c>
      <c r="C108" s="87"/>
      <c r="D108" s="87" t="s">
        <v>484</v>
      </c>
      <c r="E108" s="85">
        <f>E109+E110+E111</f>
        <v>0</v>
      </c>
      <c r="F108" s="85">
        <f t="shared" ref="F108:R108" si="22">F109+F110+F111</f>
        <v>0</v>
      </c>
      <c r="G108" s="85">
        <f t="shared" si="22"/>
        <v>0</v>
      </c>
      <c r="H108" s="85">
        <f t="shared" si="22"/>
        <v>0</v>
      </c>
      <c r="I108" s="85">
        <f t="shared" si="22"/>
        <v>0</v>
      </c>
      <c r="J108" s="85">
        <f t="shared" si="22"/>
        <v>0</v>
      </c>
      <c r="K108" s="85">
        <f t="shared" si="22"/>
        <v>0</v>
      </c>
      <c r="L108" s="85">
        <f t="shared" si="22"/>
        <v>0</v>
      </c>
      <c r="M108" s="85">
        <f t="shared" si="22"/>
        <v>0</v>
      </c>
      <c r="N108" s="85">
        <f t="shared" si="22"/>
        <v>0</v>
      </c>
      <c r="O108" s="85">
        <f t="shared" si="22"/>
        <v>0</v>
      </c>
      <c r="P108" s="85">
        <f t="shared" si="22"/>
        <v>0</v>
      </c>
      <c r="Q108" s="85">
        <f t="shared" si="22"/>
        <v>0</v>
      </c>
      <c r="R108" s="85">
        <f t="shared" si="22"/>
        <v>0</v>
      </c>
      <c r="S108" s="1">
        <v>106</v>
      </c>
    </row>
    <row r="109" spans="2:19" x14ac:dyDescent="0.25">
      <c r="C109">
        <v>620</v>
      </c>
      <c r="D109" t="s">
        <v>366</v>
      </c>
      <c r="E109" s="4">
        <v>0</v>
      </c>
      <c r="F109" s="4">
        <v>0</v>
      </c>
      <c r="G109" s="4">
        <v>0</v>
      </c>
      <c r="H109" s="4">
        <v>0</v>
      </c>
      <c r="I109" s="4">
        <v>0</v>
      </c>
      <c r="J109" s="4">
        <v>0</v>
      </c>
      <c r="K109" s="4">
        <v>0</v>
      </c>
      <c r="L109" s="4">
        <v>0</v>
      </c>
      <c r="M109" s="4"/>
      <c r="N109" s="4">
        <v>0</v>
      </c>
      <c r="O109" s="4">
        <v>0</v>
      </c>
      <c r="P109" s="4"/>
      <c r="Q109" s="4"/>
      <c r="R109" s="4">
        <f>SUM(E109:Q109)</f>
        <v>0</v>
      </c>
      <c r="S109">
        <v>107</v>
      </c>
    </row>
    <row r="110" spans="2:19" x14ac:dyDescent="0.25">
      <c r="C110">
        <v>621</v>
      </c>
      <c r="D110" t="s">
        <v>367</v>
      </c>
      <c r="E110" s="4">
        <v>0</v>
      </c>
      <c r="F110" s="4">
        <v>0</v>
      </c>
      <c r="G110" s="4">
        <v>0</v>
      </c>
      <c r="H110" s="4">
        <v>0</v>
      </c>
      <c r="I110" s="4">
        <v>0</v>
      </c>
      <c r="J110" s="4">
        <v>0</v>
      </c>
      <c r="K110" s="4">
        <v>0</v>
      </c>
      <c r="L110" s="4">
        <v>0</v>
      </c>
      <c r="M110" s="4"/>
      <c r="N110" s="4">
        <v>0</v>
      </c>
      <c r="O110" s="4">
        <v>0</v>
      </c>
      <c r="P110" s="4"/>
      <c r="Q110" s="4"/>
      <c r="R110" s="4">
        <f>SUM(E110:Q110)</f>
        <v>0</v>
      </c>
      <c r="S110">
        <v>108</v>
      </c>
    </row>
    <row r="111" spans="2:19" x14ac:dyDescent="0.25">
      <c r="C111">
        <v>629</v>
      </c>
      <c r="D111" t="s">
        <v>465</v>
      </c>
      <c r="E111" s="4">
        <v>0</v>
      </c>
      <c r="F111" s="4">
        <v>0</v>
      </c>
      <c r="G111" s="4">
        <v>0</v>
      </c>
      <c r="H111" s="4">
        <v>0</v>
      </c>
      <c r="I111" s="4">
        <v>0</v>
      </c>
      <c r="J111" s="4">
        <v>0</v>
      </c>
      <c r="K111" s="4">
        <v>0</v>
      </c>
      <c r="L111" s="4">
        <v>0</v>
      </c>
      <c r="M111" s="4"/>
      <c r="N111" s="4">
        <v>0</v>
      </c>
      <c r="O111" s="4">
        <v>0</v>
      </c>
      <c r="P111" s="4"/>
      <c r="Q111" s="4"/>
      <c r="R111" s="4">
        <f>SUM(E111:Q111)</f>
        <v>0</v>
      </c>
      <c r="S111" s="1">
        <v>109</v>
      </c>
    </row>
    <row r="112" spans="2:19" x14ac:dyDescent="0.25">
      <c r="E112" s="4"/>
      <c r="F112" s="4"/>
      <c r="G112" s="4"/>
      <c r="H112" s="4"/>
      <c r="I112" s="4"/>
      <c r="J112" s="4"/>
      <c r="K112" s="4"/>
      <c r="L112" s="4"/>
      <c r="M112" s="4"/>
      <c r="N112" s="4"/>
      <c r="O112" s="4"/>
      <c r="P112" s="4"/>
      <c r="Q112" s="4"/>
      <c r="R112" s="4"/>
      <c r="S112">
        <v>110</v>
      </c>
    </row>
    <row r="113" spans="2:19" x14ac:dyDescent="0.25">
      <c r="B113" s="87">
        <v>63</v>
      </c>
      <c r="C113" s="87"/>
      <c r="D113" s="87" t="s">
        <v>743</v>
      </c>
      <c r="E113" s="85">
        <f>E114+E115+E116+E117+E118+E119+E120+E121+E122</f>
        <v>0</v>
      </c>
      <c r="F113" s="85">
        <f t="shared" ref="F113:R113" si="23">F114+F115+F116+F117+F118+F119+F120+F121+F122</f>
        <v>0</v>
      </c>
      <c r="G113" s="85">
        <f t="shared" si="23"/>
        <v>25270</v>
      </c>
      <c r="H113" s="85">
        <f t="shared" si="23"/>
        <v>0</v>
      </c>
      <c r="I113" s="85">
        <f t="shared" si="23"/>
        <v>2490.15</v>
      </c>
      <c r="J113" s="85">
        <f t="shared" si="23"/>
        <v>94682.25</v>
      </c>
      <c r="K113" s="85">
        <f t="shared" si="23"/>
        <v>0</v>
      </c>
      <c r="L113" s="85">
        <f t="shared" si="23"/>
        <v>0</v>
      </c>
      <c r="M113" s="85">
        <f>M114+M115+M116+M117+M118+M119+M120+M121+M122</f>
        <v>0</v>
      </c>
      <c r="N113" s="85">
        <f t="shared" si="23"/>
        <v>0</v>
      </c>
      <c r="O113" s="85">
        <f t="shared" si="23"/>
        <v>0</v>
      </c>
      <c r="P113" s="85">
        <f t="shared" si="23"/>
        <v>0</v>
      </c>
      <c r="Q113" s="85">
        <f t="shared" si="23"/>
        <v>0</v>
      </c>
      <c r="R113" s="85">
        <f t="shared" si="23"/>
        <v>122442.4</v>
      </c>
      <c r="S113">
        <v>111</v>
      </c>
    </row>
    <row r="114" spans="2:19" x14ac:dyDescent="0.25">
      <c r="C114">
        <v>630</v>
      </c>
      <c r="D114" t="s">
        <v>466</v>
      </c>
      <c r="E114" s="4">
        <v>0</v>
      </c>
      <c r="F114" s="4">
        <v>0</v>
      </c>
      <c r="G114" s="4">
        <v>0</v>
      </c>
      <c r="H114" s="4">
        <v>0</v>
      </c>
      <c r="I114" s="4">
        <v>0</v>
      </c>
      <c r="J114" s="4">
        <v>0</v>
      </c>
      <c r="K114" s="4">
        <v>0</v>
      </c>
      <c r="L114" s="4">
        <v>0</v>
      </c>
      <c r="M114" s="4"/>
      <c r="N114" s="4">
        <v>0</v>
      </c>
      <c r="O114" s="4">
        <v>0</v>
      </c>
      <c r="P114" s="4"/>
      <c r="Q114" s="4"/>
      <c r="R114" s="4">
        <f t="shared" ref="R114:R122" si="24">SUM(E114:Q114)</f>
        <v>0</v>
      </c>
      <c r="S114" s="1">
        <v>112</v>
      </c>
    </row>
    <row r="115" spans="2:19" x14ac:dyDescent="0.25">
      <c r="C115">
        <v>631</v>
      </c>
      <c r="D115" t="s">
        <v>467</v>
      </c>
      <c r="E115" s="4">
        <v>0</v>
      </c>
      <c r="F115" s="4">
        <v>0</v>
      </c>
      <c r="G115" s="4">
        <v>25270</v>
      </c>
      <c r="H115" s="4">
        <v>0</v>
      </c>
      <c r="I115" s="4">
        <v>0</v>
      </c>
      <c r="J115" s="4">
        <v>94682.25</v>
      </c>
      <c r="K115" s="4">
        <v>0</v>
      </c>
      <c r="L115" s="4">
        <v>0</v>
      </c>
      <c r="M115" s="4"/>
      <c r="N115" s="4">
        <v>0</v>
      </c>
      <c r="O115" s="4">
        <v>0</v>
      </c>
      <c r="P115" s="4"/>
      <c r="Q115" s="4"/>
      <c r="R115" s="4">
        <f t="shared" si="24"/>
        <v>119952.25</v>
      </c>
      <c r="S115">
        <v>113</v>
      </c>
    </row>
    <row r="116" spans="2:19" x14ac:dyDescent="0.25">
      <c r="C116">
        <v>632</v>
      </c>
      <c r="D116" t="s">
        <v>468</v>
      </c>
      <c r="E116" s="4">
        <v>0</v>
      </c>
      <c r="F116" s="4">
        <v>0</v>
      </c>
      <c r="G116" s="4">
        <v>0</v>
      </c>
      <c r="H116" s="4">
        <v>0</v>
      </c>
      <c r="I116" s="4">
        <v>0</v>
      </c>
      <c r="J116" s="4">
        <v>0</v>
      </c>
      <c r="K116" s="4">
        <v>0</v>
      </c>
      <c r="L116" s="4">
        <v>0</v>
      </c>
      <c r="M116" s="4"/>
      <c r="N116" s="4">
        <v>0</v>
      </c>
      <c r="O116" s="4">
        <v>0</v>
      </c>
      <c r="P116" s="4"/>
      <c r="Q116" s="4"/>
      <c r="R116" s="4">
        <f t="shared" si="24"/>
        <v>0</v>
      </c>
      <c r="S116">
        <v>114</v>
      </c>
    </row>
    <row r="117" spans="2:19" x14ac:dyDescent="0.25">
      <c r="C117">
        <v>633</v>
      </c>
      <c r="D117" t="s">
        <v>469</v>
      </c>
      <c r="E117" s="4">
        <v>0</v>
      </c>
      <c r="F117" s="4">
        <v>0</v>
      </c>
      <c r="G117" s="4">
        <v>0</v>
      </c>
      <c r="H117" s="4">
        <v>0</v>
      </c>
      <c r="I117" s="4">
        <v>0</v>
      </c>
      <c r="J117" s="4">
        <v>0</v>
      </c>
      <c r="K117" s="4">
        <v>0</v>
      </c>
      <c r="L117" s="4">
        <v>0</v>
      </c>
      <c r="M117" s="4"/>
      <c r="N117" s="4">
        <v>0</v>
      </c>
      <c r="O117" s="4">
        <v>0</v>
      </c>
      <c r="P117" s="4"/>
      <c r="Q117" s="4"/>
      <c r="R117" s="4">
        <f t="shared" si="24"/>
        <v>0</v>
      </c>
      <c r="S117" s="1">
        <v>115</v>
      </c>
    </row>
    <row r="118" spans="2:19" x14ac:dyDescent="0.25">
      <c r="C118">
        <v>634</v>
      </c>
      <c r="D118" t="s">
        <v>470</v>
      </c>
      <c r="E118" s="4">
        <v>0</v>
      </c>
      <c r="F118" s="4">
        <v>0</v>
      </c>
      <c r="G118" s="4">
        <v>0</v>
      </c>
      <c r="H118" s="4">
        <v>0</v>
      </c>
      <c r="I118" s="4">
        <v>0</v>
      </c>
      <c r="J118" s="4">
        <v>0</v>
      </c>
      <c r="K118" s="4">
        <v>0</v>
      </c>
      <c r="L118" s="4">
        <v>0</v>
      </c>
      <c r="M118" s="4"/>
      <c r="N118" s="4">
        <v>0</v>
      </c>
      <c r="O118" s="4">
        <v>0</v>
      </c>
      <c r="P118" s="4"/>
      <c r="Q118" s="4"/>
      <c r="R118" s="4">
        <f t="shared" si="24"/>
        <v>0</v>
      </c>
      <c r="S118">
        <v>116</v>
      </c>
    </row>
    <row r="119" spans="2:19" x14ac:dyDescent="0.25">
      <c r="C119">
        <v>635</v>
      </c>
      <c r="D119" t="s">
        <v>471</v>
      </c>
      <c r="E119" s="4">
        <v>0</v>
      </c>
      <c r="F119" s="4">
        <v>0</v>
      </c>
      <c r="G119" s="4">
        <v>0</v>
      </c>
      <c r="H119" s="4">
        <v>0</v>
      </c>
      <c r="I119" s="4">
        <v>2490.15</v>
      </c>
      <c r="J119" s="4">
        <v>0</v>
      </c>
      <c r="K119" s="4">
        <v>0</v>
      </c>
      <c r="L119" s="4">
        <v>0</v>
      </c>
      <c r="M119" s="4"/>
      <c r="N119" s="4">
        <v>0</v>
      </c>
      <c r="O119" s="4">
        <v>0</v>
      </c>
      <c r="P119" s="4"/>
      <c r="Q119" s="4"/>
      <c r="R119" s="4">
        <f t="shared" si="24"/>
        <v>2490.15</v>
      </c>
      <c r="S119">
        <v>117</v>
      </c>
    </row>
    <row r="120" spans="2:19" x14ac:dyDescent="0.25">
      <c r="C120">
        <v>636</v>
      </c>
      <c r="D120" t="s">
        <v>472</v>
      </c>
      <c r="E120" s="4">
        <v>0</v>
      </c>
      <c r="F120" s="4">
        <v>0</v>
      </c>
      <c r="G120" s="4">
        <v>0</v>
      </c>
      <c r="H120" s="4">
        <v>0</v>
      </c>
      <c r="I120" s="4">
        <v>0</v>
      </c>
      <c r="J120" s="4">
        <v>0</v>
      </c>
      <c r="K120" s="4">
        <v>0</v>
      </c>
      <c r="L120" s="4">
        <v>0</v>
      </c>
      <c r="M120" s="4"/>
      <c r="N120" s="4">
        <v>0</v>
      </c>
      <c r="O120" s="4">
        <v>0</v>
      </c>
      <c r="P120" s="4"/>
      <c r="Q120" s="4"/>
      <c r="R120" s="4">
        <f t="shared" si="24"/>
        <v>0</v>
      </c>
      <c r="S120" s="1">
        <v>118</v>
      </c>
    </row>
    <row r="121" spans="2:19" x14ac:dyDescent="0.25">
      <c r="C121">
        <v>637</v>
      </c>
      <c r="D121" t="s">
        <v>473</v>
      </c>
      <c r="E121" s="4">
        <v>0</v>
      </c>
      <c r="F121" s="4">
        <v>0</v>
      </c>
      <c r="G121" s="4">
        <v>0</v>
      </c>
      <c r="H121" s="4">
        <v>0</v>
      </c>
      <c r="I121" s="4">
        <v>0</v>
      </c>
      <c r="J121" s="4">
        <v>0</v>
      </c>
      <c r="K121" s="4">
        <v>0</v>
      </c>
      <c r="L121" s="4">
        <v>0</v>
      </c>
      <c r="M121" s="4"/>
      <c r="N121" s="4">
        <v>0</v>
      </c>
      <c r="O121" s="4">
        <v>0</v>
      </c>
      <c r="P121" s="4"/>
      <c r="Q121" s="4"/>
      <c r="R121" s="4">
        <f t="shared" si="24"/>
        <v>0</v>
      </c>
      <c r="S121">
        <v>119</v>
      </c>
    </row>
    <row r="122" spans="2:19" x14ac:dyDescent="0.25">
      <c r="C122">
        <v>638</v>
      </c>
      <c r="D122" t="s">
        <v>474</v>
      </c>
      <c r="E122" s="4">
        <v>0</v>
      </c>
      <c r="F122" s="4">
        <v>0</v>
      </c>
      <c r="G122" s="4">
        <v>0</v>
      </c>
      <c r="H122" s="4">
        <v>0</v>
      </c>
      <c r="I122" s="4">
        <v>0</v>
      </c>
      <c r="J122" s="4">
        <v>0</v>
      </c>
      <c r="K122" s="4">
        <v>0</v>
      </c>
      <c r="L122" s="4">
        <v>0</v>
      </c>
      <c r="M122" s="4"/>
      <c r="N122" s="4">
        <v>0</v>
      </c>
      <c r="O122" s="4">
        <v>0</v>
      </c>
      <c r="P122" s="4"/>
      <c r="Q122" s="4"/>
      <c r="R122" s="4">
        <f t="shared" si="24"/>
        <v>0</v>
      </c>
      <c r="S122">
        <v>120</v>
      </c>
    </row>
    <row r="123" spans="2:19" x14ac:dyDescent="0.25">
      <c r="E123" s="4"/>
      <c r="F123" s="4"/>
      <c r="G123" s="4"/>
      <c r="H123" s="4"/>
      <c r="I123" s="4"/>
      <c r="J123" s="4"/>
      <c r="K123" s="4"/>
      <c r="L123" s="4"/>
      <c r="M123" s="4"/>
      <c r="N123" s="4"/>
      <c r="O123" s="4"/>
      <c r="P123" s="4"/>
      <c r="Q123" s="4"/>
      <c r="R123" s="4"/>
      <c r="S123" s="1">
        <v>121</v>
      </c>
    </row>
    <row r="124" spans="2:19" x14ac:dyDescent="0.25">
      <c r="B124" s="87">
        <v>64</v>
      </c>
      <c r="C124" s="87"/>
      <c r="D124" s="87" t="s">
        <v>486</v>
      </c>
      <c r="E124" s="85">
        <f>E125+E126+E127+E128+E129+E130+E131+E132+E133</f>
        <v>0</v>
      </c>
      <c r="F124" s="85">
        <f t="shared" ref="F124:R124" si="25">F125+F126+F127+F128+F129+F130+F131+F132+F133</f>
        <v>0</v>
      </c>
      <c r="G124" s="85">
        <f t="shared" si="25"/>
        <v>0</v>
      </c>
      <c r="H124" s="85">
        <f t="shared" si="25"/>
        <v>0</v>
      </c>
      <c r="I124" s="85">
        <f t="shared" si="25"/>
        <v>0</v>
      </c>
      <c r="J124" s="85">
        <f t="shared" si="25"/>
        <v>0</v>
      </c>
      <c r="K124" s="85">
        <f t="shared" si="25"/>
        <v>0</v>
      </c>
      <c r="L124" s="85">
        <f t="shared" si="25"/>
        <v>0</v>
      </c>
      <c r="M124" s="85">
        <f t="shared" si="25"/>
        <v>0</v>
      </c>
      <c r="N124" s="85">
        <f t="shared" si="25"/>
        <v>0</v>
      </c>
      <c r="O124" s="85">
        <f t="shared" si="25"/>
        <v>0</v>
      </c>
      <c r="P124" s="85">
        <f t="shared" si="25"/>
        <v>0</v>
      </c>
      <c r="Q124" s="85">
        <f t="shared" si="25"/>
        <v>0</v>
      </c>
      <c r="R124" s="85">
        <f t="shared" si="25"/>
        <v>0</v>
      </c>
      <c r="S124">
        <v>122</v>
      </c>
    </row>
    <row r="125" spans="2:19" x14ac:dyDescent="0.25">
      <c r="C125">
        <v>640</v>
      </c>
      <c r="D125" t="s">
        <v>466</v>
      </c>
      <c r="E125" s="4">
        <v>0</v>
      </c>
      <c r="F125" s="4">
        <v>0</v>
      </c>
      <c r="G125" s="4">
        <v>0</v>
      </c>
      <c r="H125" s="4">
        <v>0</v>
      </c>
      <c r="I125" s="4">
        <v>0</v>
      </c>
      <c r="J125" s="4">
        <v>0</v>
      </c>
      <c r="K125" s="4">
        <v>0</v>
      </c>
      <c r="L125" s="4">
        <v>0</v>
      </c>
      <c r="M125" s="4"/>
      <c r="N125" s="4">
        <v>0</v>
      </c>
      <c r="O125" s="4">
        <v>0</v>
      </c>
      <c r="P125" s="4"/>
      <c r="Q125" s="4"/>
      <c r="R125" s="4">
        <f t="shared" ref="R125:R133" si="26">SUM(E125:Q125)</f>
        <v>0</v>
      </c>
      <c r="S125">
        <v>123</v>
      </c>
    </row>
    <row r="126" spans="2:19" x14ac:dyDescent="0.25">
      <c r="C126">
        <v>641</v>
      </c>
      <c r="D126" t="s">
        <v>467</v>
      </c>
      <c r="E126" s="4">
        <v>0</v>
      </c>
      <c r="F126" s="4">
        <v>0</v>
      </c>
      <c r="G126" s="4">
        <v>0</v>
      </c>
      <c r="H126" s="4">
        <v>0</v>
      </c>
      <c r="I126" s="4">
        <v>0</v>
      </c>
      <c r="J126" s="4">
        <v>0</v>
      </c>
      <c r="K126" s="4">
        <v>0</v>
      </c>
      <c r="L126" s="4">
        <v>0</v>
      </c>
      <c r="M126" s="4"/>
      <c r="N126" s="4">
        <v>0</v>
      </c>
      <c r="O126" s="4">
        <v>0</v>
      </c>
      <c r="P126" s="4"/>
      <c r="Q126" s="4"/>
      <c r="R126" s="4">
        <f t="shared" si="26"/>
        <v>0</v>
      </c>
      <c r="S126" s="1">
        <v>124</v>
      </c>
    </row>
    <row r="127" spans="2:19" x14ac:dyDescent="0.25">
      <c r="C127">
        <v>642</v>
      </c>
      <c r="D127" t="s">
        <v>468</v>
      </c>
      <c r="E127" s="4">
        <v>0</v>
      </c>
      <c r="F127" s="4">
        <v>0</v>
      </c>
      <c r="G127" s="4">
        <v>0</v>
      </c>
      <c r="H127" s="4">
        <v>0</v>
      </c>
      <c r="I127" s="4">
        <v>0</v>
      </c>
      <c r="J127" s="4">
        <v>0</v>
      </c>
      <c r="K127" s="4">
        <v>0</v>
      </c>
      <c r="L127" s="4">
        <v>0</v>
      </c>
      <c r="M127" s="4"/>
      <c r="N127" s="4">
        <v>0</v>
      </c>
      <c r="O127" s="4">
        <v>0</v>
      </c>
      <c r="P127" s="4"/>
      <c r="Q127" s="4"/>
      <c r="R127" s="4">
        <f t="shared" si="26"/>
        <v>0</v>
      </c>
      <c r="S127">
        <v>125</v>
      </c>
    </row>
    <row r="128" spans="2:19" x14ac:dyDescent="0.25">
      <c r="C128">
        <v>643</v>
      </c>
      <c r="D128" t="s">
        <v>469</v>
      </c>
      <c r="E128" s="4">
        <v>0</v>
      </c>
      <c r="F128" s="4">
        <v>0</v>
      </c>
      <c r="G128" s="4">
        <v>0</v>
      </c>
      <c r="H128" s="4">
        <v>0</v>
      </c>
      <c r="I128" s="4">
        <v>0</v>
      </c>
      <c r="J128" s="4">
        <v>0</v>
      </c>
      <c r="K128" s="4">
        <v>0</v>
      </c>
      <c r="L128" s="4">
        <v>0</v>
      </c>
      <c r="M128" s="4"/>
      <c r="N128" s="4">
        <v>0</v>
      </c>
      <c r="O128" s="4">
        <v>0</v>
      </c>
      <c r="P128" s="4"/>
      <c r="Q128" s="4"/>
      <c r="R128" s="4">
        <f t="shared" si="26"/>
        <v>0</v>
      </c>
      <c r="S128">
        <v>126</v>
      </c>
    </row>
    <row r="129" spans="2:19" x14ac:dyDescent="0.25">
      <c r="C129">
        <v>644</v>
      </c>
      <c r="D129" t="s">
        <v>470</v>
      </c>
      <c r="E129" s="4">
        <v>0</v>
      </c>
      <c r="F129" s="4">
        <v>0</v>
      </c>
      <c r="G129" s="4">
        <v>0</v>
      </c>
      <c r="H129" s="4">
        <v>0</v>
      </c>
      <c r="I129" s="4">
        <v>0</v>
      </c>
      <c r="J129" s="4">
        <v>0</v>
      </c>
      <c r="K129" s="4">
        <v>0</v>
      </c>
      <c r="L129" s="4">
        <v>0</v>
      </c>
      <c r="M129" s="4"/>
      <c r="N129" s="4">
        <v>0</v>
      </c>
      <c r="O129" s="4">
        <v>0</v>
      </c>
      <c r="P129" s="4"/>
      <c r="Q129" s="4"/>
      <c r="R129" s="4">
        <f t="shared" si="26"/>
        <v>0</v>
      </c>
      <c r="S129" s="1">
        <v>127</v>
      </c>
    </row>
    <row r="130" spans="2:19" x14ac:dyDescent="0.25">
      <c r="C130">
        <v>645</v>
      </c>
      <c r="D130" t="s">
        <v>471</v>
      </c>
      <c r="E130" s="4">
        <v>0</v>
      </c>
      <c r="F130" s="4">
        <v>0</v>
      </c>
      <c r="G130" s="4">
        <v>0</v>
      </c>
      <c r="H130" s="4">
        <v>0</v>
      </c>
      <c r="I130" s="4">
        <v>0</v>
      </c>
      <c r="J130" s="4">
        <v>0</v>
      </c>
      <c r="K130" s="4">
        <v>0</v>
      </c>
      <c r="L130" s="4">
        <v>0</v>
      </c>
      <c r="M130" s="4"/>
      <c r="N130" s="4">
        <v>0</v>
      </c>
      <c r="O130" s="4">
        <v>0</v>
      </c>
      <c r="P130" s="4"/>
      <c r="Q130" s="4"/>
      <c r="R130" s="4">
        <f t="shared" si="26"/>
        <v>0</v>
      </c>
      <c r="S130">
        <v>128</v>
      </c>
    </row>
    <row r="131" spans="2:19" x14ac:dyDescent="0.25">
      <c r="C131">
        <v>646</v>
      </c>
      <c r="D131" t="s">
        <v>472</v>
      </c>
      <c r="E131" s="4">
        <v>0</v>
      </c>
      <c r="F131" s="4">
        <v>0</v>
      </c>
      <c r="G131" s="4">
        <v>0</v>
      </c>
      <c r="H131" s="4">
        <v>0</v>
      </c>
      <c r="I131" s="4">
        <v>0</v>
      </c>
      <c r="J131" s="4">
        <v>0</v>
      </c>
      <c r="K131" s="4">
        <v>0</v>
      </c>
      <c r="L131" s="4">
        <v>0</v>
      </c>
      <c r="M131" s="4"/>
      <c r="N131" s="4">
        <v>0</v>
      </c>
      <c r="O131" s="4">
        <v>0</v>
      </c>
      <c r="P131" s="4"/>
      <c r="Q131" s="4"/>
      <c r="R131" s="4">
        <f t="shared" si="26"/>
        <v>0</v>
      </c>
      <c r="S131">
        <v>129</v>
      </c>
    </row>
    <row r="132" spans="2:19" x14ac:dyDescent="0.25">
      <c r="C132">
        <v>647</v>
      </c>
      <c r="D132" t="s">
        <v>473</v>
      </c>
      <c r="E132" s="4">
        <v>0</v>
      </c>
      <c r="F132" s="4">
        <v>0</v>
      </c>
      <c r="G132" s="4">
        <v>0</v>
      </c>
      <c r="H132" s="4">
        <v>0</v>
      </c>
      <c r="I132" s="4">
        <v>0</v>
      </c>
      <c r="J132" s="4">
        <v>0</v>
      </c>
      <c r="K132" s="4">
        <v>0</v>
      </c>
      <c r="L132" s="4">
        <v>0</v>
      </c>
      <c r="M132" s="4"/>
      <c r="N132" s="4">
        <v>0</v>
      </c>
      <c r="O132" s="4">
        <v>0</v>
      </c>
      <c r="P132" s="4"/>
      <c r="Q132" s="4"/>
      <c r="R132" s="4">
        <f t="shared" si="26"/>
        <v>0</v>
      </c>
      <c r="S132" s="1">
        <v>130</v>
      </c>
    </row>
    <row r="133" spans="2:19" x14ac:dyDescent="0.25">
      <c r="C133">
        <v>648</v>
      </c>
      <c r="D133" t="s">
        <v>474</v>
      </c>
      <c r="E133" s="4">
        <v>0</v>
      </c>
      <c r="F133" s="4">
        <v>0</v>
      </c>
      <c r="G133" s="4">
        <v>0</v>
      </c>
      <c r="H133" s="4">
        <v>0</v>
      </c>
      <c r="I133" s="4">
        <v>0</v>
      </c>
      <c r="J133" s="4">
        <v>0</v>
      </c>
      <c r="K133" s="4">
        <v>0</v>
      </c>
      <c r="L133" s="4">
        <v>0</v>
      </c>
      <c r="M133" s="4"/>
      <c r="N133" s="4">
        <v>0</v>
      </c>
      <c r="O133" s="4">
        <v>0</v>
      </c>
      <c r="P133" s="4"/>
      <c r="Q133" s="4"/>
      <c r="R133" s="4">
        <f t="shared" si="26"/>
        <v>0</v>
      </c>
      <c r="S133">
        <v>131</v>
      </c>
    </row>
    <row r="134" spans="2:19" x14ac:dyDescent="0.25">
      <c r="E134" s="4"/>
      <c r="F134" s="4"/>
      <c r="G134" s="4"/>
      <c r="H134" s="4"/>
      <c r="I134" s="4"/>
      <c r="J134" s="4"/>
      <c r="K134" s="4"/>
      <c r="L134" s="4"/>
      <c r="M134" s="4"/>
      <c r="N134" s="4"/>
      <c r="O134" s="4"/>
      <c r="P134" s="4"/>
      <c r="Q134" s="4"/>
      <c r="R134" s="4"/>
      <c r="S134">
        <v>132</v>
      </c>
    </row>
    <row r="135" spans="2:19" x14ac:dyDescent="0.25">
      <c r="B135" s="87">
        <v>65</v>
      </c>
      <c r="C135" s="87"/>
      <c r="D135" s="87" t="s">
        <v>487</v>
      </c>
      <c r="E135" s="85">
        <f>E136+E137+E138+E139+E140+E141+E142+E143+E144</f>
        <v>0</v>
      </c>
      <c r="F135" s="85">
        <f t="shared" ref="F135:R135" si="27">F136+F137+F138+F139+F140+F141+F142+F143+F144</f>
        <v>0</v>
      </c>
      <c r="G135" s="85">
        <f t="shared" si="27"/>
        <v>0</v>
      </c>
      <c r="H135" s="85">
        <f t="shared" si="27"/>
        <v>0</v>
      </c>
      <c r="I135" s="85">
        <f t="shared" si="27"/>
        <v>0</v>
      </c>
      <c r="J135" s="85">
        <f t="shared" si="27"/>
        <v>0</v>
      </c>
      <c r="K135" s="85">
        <f t="shared" si="27"/>
        <v>0</v>
      </c>
      <c r="L135" s="85">
        <f t="shared" si="27"/>
        <v>0</v>
      </c>
      <c r="M135" s="85">
        <f t="shared" si="27"/>
        <v>0</v>
      </c>
      <c r="N135" s="85">
        <f t="shared" si="27"/>
        <v>0</v>
      </c>
      <c r="O135" s="85">
        <f t="shared" si="27"/>
        <v>0</v>
      </c>
      <c r="P135" s="85">
        <f t="shared" si="27"/>
        <v>0</v>
      </c>
      <c r="Q135" s="85">
        <f t="shared" si="27"/>
        <v>0</v>
      </c>
      <c r="R135" s="85">
        <f t="shared" si="27"/>
        <v>0</v>
      </c>
      <c r="S135" s="1">
        <v>133</v>
      </c>
    </row>
    <row r="136" spans="2:19" x14ac:dyDescent="0.25">
      <c r="C136">
        <v>650</v>
      </c>
      <c r="D136" t="s">
        <v>466</v>
      </c>
      <c r="E136" s="4">
        <v>0</v>
      </c>
      <c r="F136" s="4">
        <v>0</v>
      </c>
      <c r="G136" s="4">
        <v>0</v>
      </c>
      <c r="H136" s="4">
        <v>0</v>
      </c>
      <c r="I136" s="4">
        <v>0</v>
      </c>
      <c r="J136" s="4">
        <v>0</v>
      </c>
      <c r="K136" s="4">
        <v>0</v>
      </c>
      <c r="L136" s="4">
        <v>0</v>
      </c>
      <c r="M136" s="4"/>
      <c r="N136" s="4">
        <v>0</v>
      </c>
      <c r="O136" s="4">
        <v>0</v>
      </c>
      <c r="P136" s="4"/>
      <c r="Q136" s="4"/>
      <c r="R136" s="4">
        <f t="shared" ref="R136:R144" si="28">SUM(E136:Q136)</f>
        <v>0</v>
      </c>
      <c r="S136">
        <v>134</v>
      </c>
    </row>
    <row r="137" spans="2:19" x14ac:dyDescent="0.25">
      <c r="C137">
        <v>651</v>
      </c>
      <c r="D137" t="s">
        <v>467</v>
      </c>
      <c r="E137" s="4">
        <v>0</v>
      </c>
      <c r="F137" s="4">
        <v>0</v>
      </c>
      <c r="G137" s="4">
        <v>0</v>
      </c>
      <c r="H137" s="4">
        <v>0</v>
      </c>
      <c r="I137" s="4">
        <v>0</v>
      </c>
      <c r="J137" s="4">
        <v>0</v>
      </c>
      <c r="K137" s="4">
        <v>0</v>
      </c>
      <c r="L137" s="4">
        <v>0</v>
      </c>
      <c r="M137" s="4"/>
      <c r="N137" s="4">
        <v>0</v>
      </c>
      <c r="O137" s="4">
        <v>0</v>
      </c>
      <c r="P137" s="4"/>
      <c r="Q137" s="4"/>
      <c r="R137" s="4">
        <f t="shared" si="28"/>
        <v>0</v>
      </c>
      <c r="S137">
        <v>135</v>
      </c>
    </row>
    <row r="138" spans="2:19" x14ac:dyDescent="0.25">
      <c r="C138">
        <v>652</v>
      </c>
      <c r="D138" t="s">
        <v>468</v>
      </c>
      <c r="E138" s="4">
        <v>0</v>
      </c>
      <c r="F138" s="4">
        <v>0</v>
      </c>
      <c r="G138" s="4">
        <v>0</v>
      </c>
      <c r="H138" s="4">
        <v>0</v>
      </c>
      <c r="I138" s="4">
        <v>0</v>
      </c>
      <c r="J138" s="4">
        <v>0</v>
      </c>
      <c r="K138" s="4">
        <v>0</v>
      </c>
      <c r="L138" s="4">
        <v>0</v>
      </c>
      <c r="M138" s="4"/>
      <c r="N138" s="4">
        <v>0</v>
      </c>
      <c r="O138" s="4">
        <v>0</v>
      </c>
      <c r="P138" s="4"/>
      <c r="Q138" s="4"/>
      <c r="R138" s="4">
        <f t="shared" si="28"/>
        <v>0</v>
      </c>
      <c r="S138" s="1">
        <v>136</v>
      </c>
    </row>
    <row r="139" spans="2:19" x14ac:dyDescent="0.25">
      <c r="C139">
        <v>653</v>
      </c>
      <c r="D139" t="s">
        <v>469</v>
      </c>
      <c r="E139" s="4">
        <v>0</v>
      </c>
      <c r="F139" s="4">
        <v>0</v>
      </c>
      <c r="G139" s="4">
        <v>0</v>
      </c>
      <c r="H139" s="4">
        <v>0</v>
      </c>
      <c r="I139" s="4">
        <v>0</v>
      </c>
      <c r="J139" s="4">
        <v>0</v>
      </c>
      <c r="K139" s="4">
        <v>0</v>
      </c>
      <c r="L139" s="4">
        <v>0</v>
      </c>
      <c r="M139" s="4"/>
      <c r="N139" s="4">
        <v>0</v>
      </c>
      <c r="O139" s="4">
        <v>0</v>
      </c>
      <c r="P139" s="4"/>
      <c r="Q139" s="4"/>
      <c r="R139" s="4">
        <f t="shared" si="28"/>
        <v>0</v>
      </c>
      <c r="S139">
        <v>137</v>
      </c>
    </row>
    <row r="140" spans="2:19" x14ac:dyDescent="0.25">
      <c r="C140">
        <v>654</v>
      </c>
      <c r="D140" t="s">
        <v>470</v>
      </c>
      <c r="E140" s="4">
        <v>0</v>
      </c>
      <c r="F140" s="4">
        <v>0</v>
      </c>
      <c r="G140" s="4">
        <v>0</v>
      </c>
      <c r="H140" s="4">
        <v>0</v>
      </c>
      <c r="I140" s="4">
        <v>0</v>
      </c>
      <c r="J140" s="4">
        <v>0</v>
      </c>
      <c r="K140" s="4">
        <v>0</v>
      </c>
      <c r="L140" s="4">
        <v>0</v>
      </c>
      <c r="M140" s="4"/>
      <c r="N140" s="4">
        <v>0</v>
      </c>
      <c r="O140" s="4">
        <v>0</v>
      </c>
      <c r="P140" s="4"/>
      <c r="Q140" s="4"/>
      <c r="R140" s="4">
        <f t="shared" si="28"/>
        <v>0</v>
      </c>
      <c r="S140">
        <v>138</v>
      </c>
    </row>
    <row r="141" spans="2:19" x14ac:dyDescent="0.25">
      <c r="C141">
        <v>655</v>
      </c>
      <c r="D141" t="s">
        <v>471</v>
      </c>
      <c r="E141" s="4">
        <v>0</v>
      </c>
      <c r="F141" s="4">
        <v>0</v>
      </c>
      <c r="G141" s="4">
        <v>0</v>
      </c>
      <c r="H141" s="4">
        <v>0</v>
      </c>
      <c r="I141" s="4">
        <v>0</v>
      </c>
      <c r="J141" s="4">
        <v>0</v>
      </c>
      <c r="K141" s="4">
        <v>0</v>
      </c>
      <c r="L141" s="4">
        <v>0</v>
      </c>
      <c r="M141" s="4"/>
      <c r="N141" s="4">
        <v>0</v>
      </c>
      <c r="O141" s="4">
        <v>0</v>
      </c>
      <c r="P141" s="4"/>
      <c r="Q141" s="4"/>
      <c r="R141" s="4">
        <f t="shared" si="28"/>
        <v>0</v>
      </c>
      <c r="S141" s="1">
        <v>139</v>
      </c>
    </row>
    <row r="142" spans="2:19" x14ac:dyDescent="0.25">
      <c r="C142">
        <v>656</v>
      </c>
      <c r="D142" t="s">
        <v>472</v>
      </c>
      <c r="E142" s="4">
        <v>0</v>
      </c>
      <c r="F142" s="4">
        <v>0</v>
      </c>
      <c r="G142" s="4">
        <v>0</v>
      </c>
      <c r="H142" s="4">
        <v>0</v>
      </c>
      <c r="I142" s="4">
        <v>0</v>
      </c>
      <c r="J142" s="4">
        <v>0</v>
      </c>
      <c r="K142" s="4">
        <v>0</v>
      </c>
      <c r="L142" s="4">
        <v>0</v>
      </c>
      <c r="M142" s="4"/>
      <c r="N142" s="4">
        <v>0</v>
      </c>
      <c r="O142" s="4">
        <v>0</v>
      </c>
      <c r="P142" s="4"/>
      <c r="Q142" s="4"/>
      <c r="R142" s="4">
        <f t="shared" si="28"/>
        <v>0</v>
      </c>
      <c r="S142">
        <v>140</v>
      </c>
    </row>
    <row r="143" spans="2:19" x14ac:dyDescent="0.25">
      <c r="C143">
        <v>657</v>
      </c>
      <c r="D143" t="s">
        <v>473</v>
      </c>
      <c r="E143" s="4">
        <v>0</v>
      </c>
      <c r="F143" s="4">
        <v>0</v>
      </c>
      <c r="G143" s="4">
        <v>0</v>
      </c>
      <c r="H143" s="4">
        <v>0</v>
      </c>
      <c r="I143" s="4">
        <v>0</v>
      </c>
      <c r="J143" s="4">
        <v>0</v>
      </c>
      <c r="K143" s="4">
        <v>0</v>
      </c>
      <c r="L143" s="4">
        <v>0</v>
      </c>
      <c r="M143" s="4"/>
      <c r="N143" s="4">
        <v>0</v>
      </c>
      <c r="O143" s="4">
        <v>0</v>
      </c>
      <c r="P143" s="4"/>
      <c r="Q143" s="4"/>
      <c r="R143" s="4">
        <f t="shared" si="28"/>
        <v>0</v>
      </c>
      <c r="S143">
        <v>141</v>
      </c>
    </row>
    <row r="144" spans="2:19" x14ac:dyDescent="0.25">
      <c r="C144">
        <v>658</v>
      </c>
      <c r="D144" t="s">
        <v>474</v>
      </c>
      <c r="E144" s="4">
        <v>0</v>
      </c>
      <c r="F144" s="4">
        <v>0</v>
      </c>
      <c r="G144" s="4">
        <v>0</v>
      </c>
      <c r="H144" s="4">
        <v>0</v>
      </c>
      <c r="I144" s="4">
        <v>0</v>
      </c>
      <c r="J144" s="4">
        <v>0</v>
      </c>
      <c r="K144" s="4">
        <v>0</v>
      </c>
      <c r="L144" s="4">
        <v>0</v>
      </c>
      <c r="M144" s="4"/>
      <c r="N144" s="4">
        <v>0</v>
      </c>
      <c r="O144" s="4">
        <v>0</v>
      </c>
      <c r="P144" s="4"/>
      <c r="Q144" s="4"/>
      <c r="R144" s="4">
        <f t="shared" si="28"/>
        <v>0</v>
      </c>
      <c r="S144" s="1">
        <v>142</v>
      </c>
    </row>
    <row r="145" spans="2:19" x14ac:dyDescent="0.25">
      <c r="E145" s="4"/>
      <c r="F145" s="4"/>
      <c r="G145" s="4"/>
      <c r="H145" s="4"/>
      <c r="I145" s="4"/>
      <c r="J145" s="4"/>
      <c r="K145" s="4"/>
      <c r="L145" s="4"/>
      <c r="M145" s="4"/>
      <c r="N145" s="4"/>
      <c r="O145" s="4"/>
      <c r="P145" s="4"/>
      <c r="Q145" s="4"/>
      <c r="R145" s="4"/>
      <c r="S145">
        <v>143</v>
      </c>
    </row>
    <row r="146" spans="2:19" x14ac:dyDescent="0.25">
      <c r="B146" s="87">
        <v>66</v>
      </c>
      <c r="C146" s="87"/>
      <c r="D146" s="87" t="s">
        <v>488</v>
      </c>
      <c r="E146" s="85">
        <f>E147+E148+E149+E150+E151+E152+E153+E154+E155</f>
        <v>0</v>
      </c>
      <c r="F146" s="85">
        <f t="shared" ref="F146:R146" si="29">F147+F148+F149+F150+F151+F152+F153+F154+F155</f>
        <v>0</v>
      </c>
      <c r="G146" s="85">
        <f t="shared" si="29"/>
        <v>0</v>
      </c>
      <c r="H146" s="85">
        <f t="shared" si="29"/>
        <v>0</v>
      </c>
      <c r="I146" s="85">
        <f t="shared" si="29"/>
        <v>0</v>
      </c>
      <c r="J146" s="85">
        <f t="shared" si="29"/>
        <v>0</v>
      </c>
      <c r="K146" s="85">
        <f t="shared" si="29"/>
        <v>0</v>
      </c>
      <c r="L146" s="85">
        <f t="shared" si="29"/>
        <v>0</v>
      </c>
      <c r="M146" s="85">
        <f t="shared" si="29"/>
        <v>0</v>
      </c>
      <c r="N146" s="85">
        <f t="shared" si="29"/>
        <v>0</v>
      </c>
      <c r="O146" s="85">
        <f t="shared" si="29"/>
        <v>0</v>
      </c>
      <c r="P146" s="85">
        <f t="shared" si="29"/>
        <v>0</v>
      </c>
      <c r="Q146" s="85">
        <f t="shared" si="29"/>
        <v>0</v>
      </c>
      <c r="R146" s="85">
        <f t="shared" si="29"/>
        <v>0</v>
      </c>
      <c r="S146">
        <v>144</v>
      </c>
    </row>
    <row r="147" spans="2:19" x14ac:dyDescent="0.25">
      <c r="C147">
        <v>660</v>
      </c>
      <c r="D147" t="s">
        <v>466</v>
      </c>
      <c r="E147" s="4">
        <v>0</v>
      </c>
      <c r="F147" s="4">
        <v>0</v>
      </c>
      <c r="G147" s="4">
        <v>0</v>
      </c>
      <c r="H147" s="4">
        <v>0</v>
      </c>
      <c r="I147" s="4">
        <v>0</v>
      </c>
      <c r="J147" s="4">
        <v>0</v>
      </c>
      <c r="K147" s="4">
        <v>0</v>
      </c>
      <c r="L147" s="4">
        <v>0</v>
      </c>
      <c r="M147" s="4"/>
      <c r="N147" s="4">
        <v>0</v>
      </c>
      <c r="O147" s="4">
        <v>0</v>
      </c>
      <c r="P147" s="4"/>
      <c r="Q147" s="4"/>
      <c r="R147" s="4">
        <f t="shared" ref="R147:R155" si="30">SUM(E147:Q147)</f>
        <v>0</v>
      </c>
      <c r="S147" s="1">
        <v>145</v>
      </c>
    </row>
    <row r="148" spans="2:19" x14ac:dyDescent="0.25">
      <c r="C148">
        <v>661</v>
      </c>
      <c r="D148" t="s">
        <v>467</v>
      </c>
      <c r="E148" s="4">
        <v>0</v>
      </c>
      <c r="F148" s="4">
        <v>0</v>
      </c>
      <c r="G148" s="4">
        <v>0</v>
      </c>
      <c r="H148" s="4">
        <v>0</v>
      </c>
      <c r="I148" s="4">
        <v>0</v>
      </c>
      <c r="J148" s="4">
        <v>0</v>
      </c>
      <c r="K148" s="4">
        <v>0</v>
      </c>
      <c r="L148" s="4">
        <v>0</v>
      </c>
      <c r="M148" s="4"/>
      <c r="N148" s="4">
        <v>0</v>
      </c>
      <c r="O148" s="4">
        <v>0</v>
      </c>
      <c r="P148" s="4"/>
      <c r="Q148" s="4"/>
      <c r="R148" s="4">
        <f t="shared" si="30"/>
        <v>0</v>
      </c>
      <c r="S148">
        <v>146</v>
      </c>
    </row>
    <row r="149" spans="2:19" x14ac:dyDescent="0.25">
      <c r="C149">
        <v>662</v>
      </c>
      <c r="D149" t="s">
        <v>468</v>
      </c>
      <c r="E149" s="4">
        <v>0</v>
      </c>
      <c r="F149" s="4">
        <v>0</v>
      </c>
      <c r="G149" s="4">
        <v>0</v>
      </c>
      <c r="H149" s="4">
        <v>0</v>
      </c>
      <c r="I149" s="4">
        <v>0</v>
      </c>
      <c r="J149" s="4">
        <v>0</v>
      </c>
      <c r="K149" s="4">
        <v>0</v>
      </c>
      <c r="L149" s="4">
        <v>0</v>
      </c>
      <c r="M149" s="4"/>
      <c r="N149" s="4">
        <v>0</v>
      </c>
      <c r="O149" s="4">
        <v>0</v>
      </c>
      <c r="P149" s="4"/>
      <c r="Q149" s="4"/>
      <c r="R149" s="4">
        <f t="shared" si="30"/>
        <v>0</v>
      </c>
      <c r="S149">
        <v>147</v>
      </c>
    </row>
    <row r="150" spans="2:19" x14ac:dyDescent="0.25">
      <c r="C150">
        <v>663</v>
      </c>
      <c r="D150" t="s">
        <v>469</v>
      </c>
      <c r="E150" s="4">
        <v>0</v>
      </c>
      <c r="F150" s="4">
        <v>0</v>
      </c>
      <c r="G150" s="4">
        <v>0</v>
      </c>
      <c r="H150" s="4">
        <v>0</v>
      </c>
      <c r="I150" s="4">
        <v>0</v>
      </c>
      <c r="J150" s="4">
        <v>0</v>
      </c>
      <c r="K150" s="4">
        <v>0</v>
      </c>
      <c r="L150" s="4">
        <v>0</v>
      </c>
      <c r="M150" s="4"/>
      <c r="N150" s="4">
        <v>0</v>
      </c>
      <c r="O150" s="4">
        <v>0</v>
      </c>
      <c r="P150" s="4"/>
      <c r="Q150" s="4"/>
      <c r="R150" s="4">
        <f t="shared" si="30"/>
        <v>0</v>
      </c>
      <c r="S150" s="1">
        <v>148</v>
      </c>
    </row>
    <row r="151" spans="2:19" x14ac:dyDescent="0.25">
      <c r="C151">
        <v>664</v>
      </c>
      <c r="D151" t="s">
        <v>470</v>
      </c>
      <c r="E151" s="4">
        <v>0</v>
      </c>
      <c r="F151" s="4">
        <v>0</v>
      </c>
      <c r="G151" s="4">
        <v>0</v>
      </c>
      <c r="H151" s="4">
        <v>0</v>
      </c>
      <c r="I151" s="4">
        <v>0</v>
      </c>
      <c r="J151" s="4">
        <v>0</v>
      </c>
      <c r="K151" s="4">
        <v>0</v>
      </c>
      <c r="L151" s="4">
        <v>0</v>
      </c>
      <c r="M151" s="4"/>
      <c r="N151" s="4">
        <v>0</v>
      </c>
      <c r="O151" s="4">
        <v>0</v>
      </c>
      <c r="P151" s="4"/>
      <c r="Q151" s="4"/>
      <c r="R151" s="4">
        <f t="shared" si="30"/>
        <v>0</v>
      </c>
      <c r="S151">
        <v>149</v>
      </c>
    </row>
    <row r="152" spans="2:19" x14ac:dyDescent="0.25">
      <c r="C152">
        <v>665</v>
      </c>
      <c r="D152" t="s">
        <v>471</v>
      </c>
      <c r="E152" s="4">
        <v>0</v>
      </c>
      <c r="F152" s="4">
        <v>0</v>
      </c>
      <c r="G152" s="4">
        <v>0</v>
      </c>
      <c r="H152" s="4">
        <v>0</v>
      </c>
      <c r="I152" s="4">
        <v>0</v>
      </c>
      <c r="J152" s="4">
        <v>0</v>
      </c>
      <c r="K152" s="4">
        <v>0</v>
      </c>
      <c r="L152" s="4">
        <v>0</v>
      </c>
      <c r="M152" s="4"/>
      <c r="N152" s="4">
        <v>0</v>
      </c>
      <c r="O152" s="4">
        <v>0</v>
      </c>
      <c r="P152" s="4"/>
      <c r="Q152" s="4"/>
      <c r="R152" s="4">
        <f t="shared" si="30"/>
        <v>0</v>
      </c>
      <c r="S152">
        <v>150</v>
      </c>
    </row>
    <row r="153" spans="2:19" x14ac:dyDescent="0.25">
      <c r="C153">
        <v>666</v>
      </c>
      <c r="D153" t="s">
        <v>472</v>
      </c>
      <c r="E153" s="4">
        <v>0</v>
      </c>
      <c r="F153" s="4">
        <v>0</v>
      </c>
      <c r="G153" s="4">
        <v>0</v>
      </c>
      <c r="H153" s="4">
        <v>0</v>
      </c>
      <c r="I153" s="4">
        <v>0</v>
      </c>
      <c r="J153" s="4">
        <v>0</v>
      </c>
      <c r="K153" s="4">
        <v>0</v>
      </c>
      <c r="L153" s="4">
        <v>0</v>
      </c>
      <c r="M153" s="4"/>
      <c r="N153" s="4">
        <v>0</v>
      </c>
      <c r="O153" s="4">
        <v>0</v>
      </c>
      <c r="P153" s="4"/>
      <c r="Q153" s="4"/>
      <c r="R153" s="4">
        <f t="shared" si="30"/>
        <v>0</v>
      </c>
      <c r="S153" s="1">
        <v>151</v>
      </c>
    </row>
    <row r="154" spans="2:19" x14ac:dyDescent="0.25">
      <c r="C154">
        <v>667</v>
      </c>
      <c r="D154" t="s">
        <v>473</v>
      </c>
      <c r="E154" s="4">
        <v>0</v>
      </c>
      <c r="F154" s="4">
        <v>0</v>
      </c>
      <c r="G154" s="4">
        <v>0</v>
      </c>
      <c r="H154" s="4">
        <v>0</v>
      </c>
      <c r="I154" s="4">
        <v>0</v>
      </c>
      <c r="J154" s="4">
        <v>0</v>
      </c>
      <c r="K154" s="4">
        <v>0</v>
      </c>
      <c r="L154" s="4">
        <v>0</v>
      </c>
      <c r="M154" s="4"/>
      <c r="N154" s="4">
        <v>0</v>
      </c>
      <c r="O154" s="4">
        <v>0</v>
      </c>
      <c r="P154" s="4"/>
      <c r="Q154" s="4"/>
      <c r="R154" s="4">
        <f t="shared" si="30"/>
        <v>0</v>
      </c>
      <c r="S154">
        <v>152</v>
      </c>
    </row>
    <row r="155" spans="2:19" x14ac:dyDescent="0.25">
      <c r="C155">
        <v>668</v>
      </c>
      <c r="D155" t="s">
        <v>474</v>
      </c>
      <c r="E155" s="4">
        <v>0</v>
      </c>
      <c r="F155" s="4">
        <v>0</v>
      </c>
      <c r="G155" s="4">
        <v>0</v>
      </c>
      <c r="H155" s="4">
        <v>0</v>
      </c>
      <c r="I155" s="4">
        <v>0</v>
      </c>
      <c r="J155" s="4">
        <v>0</v>
      </c>
      <c r="K155" s="4">
        <v>0</v>
      </c>
      <c r="L155" s="4">
        <v>0</v>
      </c>
      <c r="M155" s="4"/>
      <c r="N155" s="4">
        <v>0</v>
      </c>
      <c r="O155" s="4">
        <v>0</v>
      </c>
      <c r="P155" s="4"/>
      <c r="Q155" s="4"/>
      <c r="R155" s="4">
        <f t="shared" si="30"/>
        <v>0</v>
      </c>
      <c r="S155">
        <v>153</v>
      </c>
    </row>
    <row r="156" spans="2:19" x14ac:dyDescent="0.25">
      <c r="E156" s="4"/>
      <c r="F156" s="4"/>
      <c r="G156" s="4"/>
      <c r="H156" s="4"/>
      <c r="I156" s="4"/>
      <c r="J156" s="4"/>
      <c r="K156" s="4"/>
      <c r="L156" s="4"/>
      <c r="M156" s="4"/>
      <c r="N156" s="4"/>
      <c r="O156" s="4"/>
      <c r="P156" s="4"/>
      <c r="Q156" s="4"/>
      <c r="R156" s="4"/>
      <c r="S156" s="1">
        <v>154</v>
      </c>
    </row>
    <row r="157" spans="2:19" x14ac:dyDescent="0.25">
      <c r="B157" s="87">
        <v>67</v>
      </c>
      <c r="C157" s="87"/>
      <c r="D157" s="87" t="s">
        <v>476</v>
      </c>
      <c r="E157" s="85">
        <f>E158+E159+E160+E161+E162+E163+E164+E165+E166</f>
        <v>0</v>
      </c>
      <c r="F157" s="85">
        <f t="shared" ref="F157:R157" si="31">F158+F159+F160+F161+F162+F163+F164+F165+F166</f>
        <v>0</v>
      </c>
      <c r="G157" s="85">
        <f t="shared" si="31"/>
        <v>0</v>
      </c>
      <c r="H157" s="85">
        <f t="shared" si="31"/>
        <v>0</v>
      </c>
      <c r="I157" s="85">
        <f t="shared" si="31"/>
        <v>0</v>
      </c>
      <c r="J157" s="85">
        <f t="shared" si="31"/>
        <v>0</v>
      </c>
      <c r="K157" s="85">
        <f t="shared" si="31"/>
        <v>0</v>
      </c>
      <c r="L157" s="85">
        <f t="shared" si="31"/>
        <v>0</v>
      </c>
      <c r="M157" s="85">
        <f t="shared" si="31"/>
        <v>0</v>
      </c>
      <c r="N157" s="85">
        <f t="shared" si="31"/>
        <v>0</v>
      </c>
      <c r="O157" s="85">
        <f t="shared" si="31"/>
        <v>0</v>
      </c>
      <c r="P157" s="85">
        <f t="shared" si="31"/>
        <v>0</v>
      </c>
      <c r="Q157" s="85">
        <f t="shared" si="31"/>
        <v>0</v>
      </c>
      <c r="R157" s="85">
        <f t="shared" si="31"/>
        <v>0</v>
      </c>
      <c r="S157">
        <v>155</v>
      </c>
    </row>
    <row r="158" spans="2:19" x14ac:dyDescent="0.25">
      <c r="C158">
        <v>670</v>
      </c>
      <c r="D158" t="s">
        <v>466</v>
      </c>
      <c r="E158" s="4">
        <v>0</v>
      </c>
      <c r="F158" s="4">
        <v>0</v>
      </c>
      <c r="G158" s="4">
        <v>0</v>
      </c>
      <c r="H158" s="4">
        <v>0</v>
      </c>
      <c r="I158" s="4">
        <v>0</v>
      </c>
      <c r="J158" s="4">
        <v>0</v>
      </c>
      <c r="K158" s="4">
        <v>0</v>
      </c>
      <c r="L158" s="4">
        <v>0</v>
      </c>
      <c r="M158" s="4"/>
      <c r="N158" s="4">
        <v>0</v>
      </c>
      <c r="O158" s="4">
        <v>0</v>
      </c>
      <c r="P158" s="4"/>
      <c r="Q158" s="4"/>
      <c r="R158" s="4">
        <f t="shared" ref="R158:R166" si="32">SUM(E158:Q158)</f>
        <v>0</v>
      </c>
      <c r="S158">
        <v>156</v>
      </c>
    </row>
    <row r="159" spans="2:19" x14ac:dyDescent="0.25">
      <c r="C159">
        <v>671</v>
      </c>
      <c r="D159" t="s">
        <v>467</v>
      </c>
      <c r="E159" s="4">
        <v>0</v>
      </c>
      <c r="F159" s="4">
        <v>0</v>
      </c>
      <c r="G159" s="4">
        <v>0</v>
      </c>
      <c r="H159" s="4">
        <v>0</v>
      </c>
      <c r="I159" s="4">
        <v>0</v>
      </c>
      <c r="J159" s="4">
        <v>0</v>
      </c>
      <c r="K159" s="4">
        <v>0</v>
      </c>
      <c r="L159" s="4">
        <v>0</v>
      </c>
      <c r="M159" s="4"/>
      <c r="N159" s="4">
        <v>0</v>
      </c>
      <c r="O159" s="4">
        <v>0</v>
      </c>
      <c r="P159" s="4"/>
      <c r="Q159" s="4"/>
      <c r="R159" s="4">
        <f t="shared" si="32"/>
        <v>0</v>
      </c>
      <c r="S159" s="1">
        <v>157</v>
      </c>
    </row>
    <row r="160" spans="2:19" x14ac:dyDescent="0.25">
      <c r="C160">
        <v>672</v>
      </c>
      <c r="D160" t="s">
        <v>468</v>
      </c>
      <c r="E160" s="4">
        <v>0</v>
      </c>
      <c r="F160" s="4">
        <v>0</v>
      </c>
      <c r="G160" s="4">
        <v>0</v>
      </c>
      <c r="H160" s="4">
        <v>0</v>
      </c>
      <c r="I160" s="4">
        <v>0</v>
      </c>
      <c r="J160" s="4">
        <v>0</v>
      </c>
      <c r="K160" s="4">
        <v>0</v>
      </c>
      <c r="L160" s="4">
        <v>0</v>
      </c>
      <c r="M160" s="4"/>
      <c r="N160" s="4">
        <v>0</v>
      </c>
      <c r="O160" s="4">
        <v>0</v>
      </c>
      <c r="P160" s="4"/>
      <c r="Q160" s="4"/>
      <c r="R160" s="4">
        <f t="shared" si="32"/>
        <v>0</v>
      </c>
      <c r="S160">
        <v>158</v>
      </c>
    </row>
    <row r="161" spans="2:19" x14ac:dyDescent="0.25">
      <c r="C161">
        <v>673</v>
      </c>
      <c r="D161" t="s">
        <v>469</v>
      </c>
      <c r="E161" s="4">
        <v>0</v>
      </c>
      <c r="F161" s="4">
        <v>0</v>
      </c>
      <c r="G161" s="4">
        <v>0</v>
      </c>
      <c r="H161" s="4">
        <v>0</v>
      </c>
      <c r="I161" s="4">
        <v>0</v>
      </c>
      <c r="J161" s="4">
        <v>0</v>
      </c>
      <c r="K161" s="4">
        <v>0</v>
      </c>
      <c r="L161" s="4">
        <v>0</v>
      </c>
      <c r="M161" s="4"/>
      <c r="N161" s="4">
        <v>0</v>
      </c>
      <c r="O161" s="4">
        <v>0</v>
      </c>
      <c r="P161" s="4"/>
      <c r="Q161" s="4"/>
      <c r="R161" s="4">
        <f t="shared" si="32"/>
        <v>0</v>
      </c>
      <c r="S161">
        <v>159</v>
      </c>
    </row>
    <row r="162" spans="2:19" x14ac:dyDescent="0.25">
      <c r="C162">
        <v>674</v>
      </c>
      <c r="D162" t="s">
        <v>470</v>
      </c>
      <c r="E162" s="4">
        <v>0</v>
      </c>
      <c r="F162" s="4">
        <v>0</v>
      </c>
      <c r="G162" s="4">
        <v>0</v>
      </c>
      <c r="H162" s="4">
        <v>0</v>
      </c>
      <c r="I162" s="4">
        <v>0</v>
      </c>
      <c r="J162" s="4">
        <v>0</v>
      </c>
      <c r="K162" s="4">
        <v>0</v>
      </c>
      <c r="L162" s="4">
        <v>0</v>
      </c>
      <c r="M162" s="4"/>
      <c r="N162" s="4">
        <v>0</v>
      </c>
      <c r="O162" s="4">
        <v>0</v>
      </c>
      <c r="P162" s="4"/>
      <c r="Q162" s="4"/>
      <c r="R162" s="4">
        <f t="shared" si="32"/>
        <v>0</v>
      </c>
      <c r="S162" s="1">
        <v>160</v>
      </c>
    </row>
    <row r="163" spans="2:19" x14ac:dyDescent="0.25">
      <c r="C163">
        <v>675</v>
      </c>
      <c r="D163" t="s">
        <v>471</v>
      </c>
      <c r="E163" s="4">
        <v>0</v>
      </c>
      <c r="F163" s="4">
        <v>0</v>
      </c>
      <c r="G163" s="4">
        <v>0</v>
      </c>
      <c r="H163" s="4">
        <v>0</v>
      </c>
      <c r="I163" s="4">
        <v>0</v>
      </c>
      <c r="J163" s="4">
        <v>0</v>
      </c>
      <c r="K163" s="4">
        <v>0</v>
      </c>
      <c r="L163" s="4">
        <v>0</v>
      </c>
      <c r="M163" s="4"/>
      <c r="N163" s="4">
        <v>0</v>
      </c>
      <c r="O163" s="4">
        <v>0</v>
      </c>
      <c r="P163" s="4"/>
      <c r="Q163" s="4"/>
      <c r="R163" s="4">
        <f t="shared" si="32"/>
        <v>0</v>
      </c>
      <c r="S163">
        <v>161</v>
      </c>
    </row>
    <row r="164" spans="2:19" x14ac:dyDescent="0.25">
      <c r="C164">
        <v>676</v>
      </c>
      <c r="D164" t="s">
        <v>472</v>
      </c>
      <c r="E164" s="4">
        <v>0</v>
      </c>
      <c r="F164" s="4">
        <v>0</v>
      </c>
      <c r="G164" s="4">
        <v>0</v>
      </c>
      <c r="H164" s="4">
        <v>0</v>
      </c>
      <c r="I164" s="4">
        <v>0</v>
      </c>
      <c r="J164" s="4">
        <v>0</v>
      </c>
      <c r="K164" s="4">
        <v>0</v>
      </c>
      <c r="L164" s="4">
        <v>0</v>
      </c>
      <c r="M164" s="4"/>
      <c r="N164" s="4">
        <v>0</v>
      </c>
      <c r="O164" s="4">
        <v>0</v>
      </c>
      <c r="P164" s="4"/>
      <c r="Q164" s="4"/>
      <c r="R164" s="4">
        <f t="shared" si="32"/>
        <v>0</v>
      </c>
      <c r="S164">
        <v>162</v>
      </c>
    </row>
    <row r="165" spans="2:19" x14ac:dyDescent="0.25">
      <c r="C165">
        <v>677</v>
      </c>
      <c r="D165" t="s">
        <v>473</v>
      </c>
      <c r="E165" s="4">
        <v>0</v>
      </c>
      <c r="F165" s="4">
        <v>0</v>
      </c>
      <c r="G165" s="4">
        <v>0</v>
      </c>
      <c r="H165" s="4">
        <v>0</v>
      </c>
      <c r="I165" s="4">
        <v>0</v>
      </c>
      <c r="J165" s="4">
        <v>0</v>
      </c>
      <c r="K165" s="4">
        <v>0</v>
      </c>
      <c r="L165" s="4">
        <v>0</v>
      </c>
      <c r="M165" s="4"/>
      <c r="N165" s="4">
        <v>0</v>
      </c>
      <c r="O165" s="4">
        <v>0</v>
      </c>
      <c r="P165" s="4"/>
      <c r="Q165" s="4"/>
      <c r="R165" s="4">
        <f t="shared" si="32"/>
        <v>0</v>
      </c>
      <c r="S165" s="1">
        <v>163</v>
      </c>
    </row>
    <row r="166" spans="2:19" x14ac:dyDescent="0.25">
      <c r="C166">
        <v>678</v>
      </c>
      <c r="D166" t="s">
        <v>474</v>
      </c>
      <c r="E166" s="4">
        <v>0</v>
      </c>
      <c r="F166" s="4">
        <v>0</v>
      </c>
      <c r="G166" s="4">
        <v>0</v>
      </c>
      <c r="H166" s="4">
        <v>0</v>
      </c>
      <c r="I166" s="4">
        <v>0</v>
      </c>
      <c r="J166" s="4">
        <v>0</v>
      </c>
      <c r="K166" s="4">
        <v>0</v>
      </c>
      <c r="L166" s="4">
        <v>0</v>
      </c>
      <c r="M166" s="4"/>
      <c r="N166" s="4">
        <v>0</v>
      </c>
      <c r="O166" s="4">
        <v>0</v>
      </c>
      <c r="P166" s="4"/>
      <c r="Q166" s="4"/>
      <c r="R166" s="4">
        <f t="shared" si="32"/>
        <v>0</v>
      </c>
      <c r="S166">
        <v>164</v>
      </c>
    </row>
    <row r="167" spans="2:19" x14ac:dyDescent="0.25">
      <c r="E167" s="4"/>
      <c r="F167" s="4"/>
      <c r="G167" s="4"/>
      <c r="H167" s="4"/>
      <c r="I167" s="4"/>
      <c r="J167" s="4"/>
      <c r="K167" s="4"/>
      <c r="L167" s="4"/>
      <c r="M167" s="4"/>
      <c r="N167" s="4"/>
      <c r="O167" s="4"/>
      <c r="P167" s="4"/>
      <c r="Q167" s="4"/>
      <c r="R167" s="4"/>
      <c r="S167">
        <v>165</v>
      </c>
    </row>
    <row r="168" spans="2:19" x14ac:dyDescent="0.25">
      <c r="B168" s="87">
        <v>68</v>
      </c>
      <c r="C168" s="87"/>
      <c r="D168" s="87" t="s">
        <v>489</v>
      </c>
      <c r="E168" s="85">
        <f>E169+E170+E171+E172+E173+E174+E175</f>
        <v>0</v>
      </c>
      <c r="F168" s="85">
        <f t="shared" ref="F168:R168" si="33">F169+F170+F171+F172+F173+F174+F175</f>
        <v>0</v>
      </c>
      <c r="G168" s="85">
        <f t="shared" si="33"/>
        <v>0</v>
      </c>
      <c r="H168" s="85">
        <f t="shared" si="33"/>
        <v>0</v>
      </c>
      <c r="I168" s="85">
        <f t="shared" si="33"/>
        <v>0</v>
      </c>
      <c r="J168" s="85">
        <f t="shared" si="33"/>
        <v>0</v>
      </c>
      <c r="K168" s="85">
        <f t="shared" si="33"/>
        <v>0</v>
      </c>
      <c r="L168" s="85">
        <f t="shared" si="33"/>
        <v>0</v>
      </c>
      <c r="M168" s="85">
        <f t="shared" si="33"/>
        <v>0</v>
      </c>
      <c r="N168" s="85">
        <f t="shared" si="33"/>
        <v>0</v>
      </c>
      <c r="O168" s="85">
        <f t="shared" si="33"/>
        <v>0</v>
      </c>
      <c r="P168" s="85">
        <f t="shared" si="33"/>
        <v>0</v>
      </c>
      <c r="Q168" s="85">
        <f t="shared" si="33"/>
        <v>0</v>
      </c>
      <c r="R168" s="85">
        <f t="shared" si="33"/>
        <v>0</v>
      </c>
      <c r="S168" s="1">
        <v>166</v>
      </c>
    </row>
    <row r="169" spans="2:19" x14ac:dyDescent="0.25">
      <c r="C169">
        <v>680</v>
      </c>
      <c r="D169" t="s">
        <v>454</v>
      </c>
      <c r="E169" s="4">
        <v>0</v>
      </c>
      <c r="F169" s="4">
        <v>0</v>
      </c>
      <c r="G169" s="4">
        <v>0</v>
      </c>
      <c r="H169" s="4">
        <v>0</v>
      </c>
      <c r="I169" s="4">
        <v>0</v>
      </c>
      <c r="J169" s="4">
        <v>0</v>
      </c>
      <c r="K169" s="4">
        <v>0</v>
      </c>
      <c r="L169" s="4">
        <v>0</v>
      </c>
      <c r="M169" s="4"/>
      <c r="N169" s="4">
        <v>0</v>
      </c>
      <c r="O169" s="4">
        <v>0</v>
      </c>
      <c r="P169" s="4"/>
      <c r="Q169" s="4"/>
      <c r="R169" s="4">
        <f t="shared" ref="R169:R175" si="34">SUM(E169:Q169)</f>
        <v>0</v>
      </c>
      <c r="S169">
        <v>167</v>
      </c>
    </row>
    <row r="170" spans="2:19" x14ac:dyDescent="0.25">
      <c r="C170">
        <v>682</v>
      </c>
      <c r="D170" t="s">
        <v>464</v>
      </c>
      <c r="E170" s="4">
        <v>0</v>
      </c>
      <c r="F170" s="4">
        <v>0</v>
      </c>
      <c r="G170" s="4">
        <v>0</v>
      </c>
      <c r="H170" s="4">
        <v>0</v>
      </c>
      <c r="I170" s="4">
        <v>0</v>
      </c>
      <c r="J170" s="4">
        <v>0</v>
      </c>
      <c r="K170" s="4">
        <v>0</v>
      </c>
      <c r="L170" s="4">
        <v>0</v>
      </c>
      <c r="M170" s="4"/>
      <c r="N170" s="4">
        <v>0</v>
      </c>
      <c r="O170" s="4">
        <v>0</v>
      </c>
      <c r="P170" s="4"/>
      <c r="Q170" s="4"/>
      <c r="R170" s="4">
        <f t="shared" si="34"/>
        <v>0</v>
      </c>
      <c r="S170">
        <v>168</v>
      </c>
    </row>
    <row r="171" spans="2:19" x14ac:dyDescent="0.25">
      <c r="C171">
        <v>683</v>
      </c>
      <c r="D171" t="s">
        <v>490</v>
      </c>
      <c r="E171" s="4">
        <v>0</v>
      </c>
      <c r="F171" s="4">
        <v>0</v>
      </c>
      <c r="G171" s="4">
        <v>0</v>
      </c>
      <c r="H171" s="4">
        <v>0</v>
      </c>
      <c r="I171" s="4">
        <v>0</v>
      </c>
      <c r="J171" s="4">
        <v>0</v>
      </c>
      <c r="K171" s="4">
        <v>0</v>
      </c>
      <c r="L171" s="4">
        <v>0</v>
      </c>
      <c r="M171" s="4"/>
      <c r="N171" s="4">
        <v>0</v>
      </c>
      <c r="O171" s="4">
        <v>0</v>
      </c>
      <c r="P171" s="4"/>
      <c r="Q171" s="4"/>
      <c r="R171" s="4">
        <f t="shared" si="34"/>
        <v>0</v>
      </c>
      <c r="S171" s="1">
        <v>169</v>
      </c>
    </row>
    <row r="172" spans="2:19" x14ac:dyDescent="0.25">
      <c r="C172">
        <v>684</v>
      </c>
      <c r="D172" t="s">
        <v>250</v>
      </c>
      <c r="E172" s="4">
        <v>0</v>
      </c>
      <c r="F172" s="4">
        <v>0</v>
      </c>
      <c r="G172" s="4">
        <v>0</v>
      </c>
      <c r="H172" s="4">
        <v>0</v>
      </c>
      <c r="I172" s="4">
        <v>0</v>
      </c>
      <c r="J172" s="4">
        <v>0</v>
      </c>
      <c r="K172" s="4">
        <v>0</v>
      </c>
      <c r="L172" s="4">
        <v>0</v>
      </c>
      <c r="M172" s="4"/>
      <c r="N172" s="4">
        <v>0</v>
      </c>
      <c r="O172" s="4">
        <v>0</v>
      </c>
      <c r="P172" s="4"/>
      <c r="Q172" s="4"/>
      <c r="R172" s="4">
        <f t="shared" si="34"/>
        <v>0</v>
      </c>
      <c r="S172">
        <v>170</v>
      </c>
    </row>
    <row r="173" spans="2:19" x14ac:dyDescent="0.25">
      <c r="C173">
        <v>685</v>
      </c>
      <c r="D173" t="s">
        <v>379</v>
      </c>
      <c r="E173" s="4">
        <v>0</v>
      </c>
      <c r="F173" s="4">
        <v>0</v>
      </c>
      <c r="G173" s="4">
        <v>0</v>
      </c>
      <c r="H173" s="4">
        <v>0</v>
      </c>
      <c r="I173" s="4">
        <v>0</v>
      </c>
      <c r="J173" s="4">
        <v>0</v>
      </c>
      <c r="K173" s="4">
        <v>0</v>
      </c>
      <c r="L173" s="4">
        <v>0</v>
      </c>
      <c r="M173" s="4"/>
      <c r="N173" s="4">
        <v>0</v>
      </c>
      <c r="O173" s="4">
        <v>0</v>
      </c>
      <c r="P173" s="4"/>
      <c r="Q173" s="4"/>
      <c r="R173" s="4">
        <f t="shared" si="34"/>
        <v>0</v>
      </c>
      <c r="S173">
        <v>171</v>
      </c>
    </row>
    <row r="174" spans="2:19" x14ac:dyDescent="0.25">
      <c r="C174">
        <v>686</v>
      </c>
      <c r="D174" t="s">
        <v>491</v>
      </c>
      <c r="E174" s="4">
        <v>0</v>
      </c>
      <c r="F174" s="4">
        <v>0</v>
      </c>
      <c r="G174" s="4">
        <v>0</v>
      </c>
      <c r="H174" s="4">
        <v>0</v>
      </c>
      <c r="I174" s="4">
        <v>0</v>
      </c>
      <c r="J174" s="4">
        <v>0</v>
      </c>
      <c r="K174" s="4">
        <v>0</v>
      </c>
      <c r="L174" s="4">
        <v>0</v>
      </c>
      <c r="M174" s="4"/>
      <c r="N174" s="4">
        <v>0</v>
      </c>
      <c r="O174" s="4">
        <v>0</v>
      </c>
      <c r="P174" s="4"/>
      <c r="Q174" s="4"/>
      <c r="R174" s="4">
        <f t="shared" si="34"/>
        <v>0</v>
      </c>
      <c r="S174" s="1">
        <v>172</v>
      </c>
    </row>
    <row r="175" spans="2:19" x14ac:dyDescent="0.25">
      <c r="C175">
        <v>689</v>
      </c>
      <c r="D175" t="s">
        <v>492</v>
      </c>
      <c r="E175" s="4">
        <v>0</v>
      </c>
      <c r="F175" s="4">
        <v>0</v>
      </c>
      <c r="G175" s="4">
        <v>0</v>
      </c>
      <c r="H175" s="4">
        <v>0</v>
      </c>
      <c r="I175" s="4">
        <v>0</v>
      </c>
      <c r="J175" s="4">
        <v>0</v>
      </c>
      <c r="K175" s="4">
        <v>0</v>
      </c>
      <c r="L175" s="4">
        <v>0</v>
      </c>
      <c r="M175" s="4"/>
      <c r="N175" s="4">
        <v>0</v>
      </c>
      <c r="O175" s="4">
        <v>0</v>
      </c>
      <c r="P175" s="4"/>
      <c r="Q175" s="4"/>
      <c r="R175" s="4">
        <f t="shared" si="34"/>
        <v>0</v>
      </c>
      <c r="S175">
        <v>173</v>
      </c>
    </row>
    <row r="176" spans="2:19" x14ac:dyDescent="0.25">
      <c r="E176" s="4"/>
      <c r="F176" s="4"/>
      <c r="G176" s="4"/>
      <c r="H176" s="4"/>
      <c r="I176" s="4"/>
      <c r="J176" s="4"/>
      <c r="K176" s="4"/>
      <c r="L176" s="4"/>
      <c r="M176" s="4"/>
      <c r="N176" s="4"/>
      <c r="O176" s="4"/>
      <c r="P176" s="4"/>
      <c r="Q176" s="4"/>
      <c r="R176" s="4"/>
      <c r="S176">
        <v>174</v>
      </c>
    </row>
    <row r="177" spans="2:19" x14ac:dyDescent="0.25">
      <c r="B177" s="87">
        <v>69</v>
      </c>
      <c r="C177" s="87"/>
      <c r="D177" s="87" t="s">
        <v>493</v>
      </c>
      <c r="E177" s="85">
        <f>E178</f>
        <v>48107.85</v>
      </c>
      <c r="F177" s="85">
        <f t="shared" ref="F177:R177" si="35">F178</f>
        <v>0</v>
      </c>
      <c r="G177" s="85">
        <f t="shared" si="35"/>
        <v>6087.4</v>
      </c>
      <c r="H177" s="85">
        <f t="shared" si="35"/>
        <v>0</v>
      </c>
      <c r="I177" s="85">
        <f t="shared" si="35"/>
        <v>2490.15</v>
      </c>
      <c r="J177" s="85">
        <f t="shared" si="35"/>
        <v>0</v>
      </c>
      <c r="K177" s="85">
        <f t="shared" si="35"/>
        <v>0</v>
      </c>
      <c r="L177" s="85">
        <f t="shared" si="35"/>
        <v>0</v>
      </c>
      <c r="M177" s="85">
        <f t="shared" si="35"/>
        <v>0</v>
      </c>
      <c r="N177" s="85">
        <f t="shared" si="35"/>
        <v>0</v>
      </c>
      <c r="O177" s="85">
        <f t="shared" si="35"/>
        <v>0</v>
      </c>
      <c r="P177" s="85">
        <f t="shared" si="35"/>
        <v>0</v>
      </c>
      <c r="Q177" s="85">
        <f t="shared" si="35"/>
        <v>0</v>
      </c>
      <c r="R177" s="85">
        <f t="shared" si="35"/>
        <v>56685.4</v>
      </c>
      <c r="S177" s="1">
        <v>175</v>
      </c>
    </row>
    <row r="178" spans="2:19" x14ac:dyDescent="0.25">
      <c r="C178">
        <v>690</v>
      </c>
      <c r="D178" t="s">
        <v>493</v>
      </c>
      <c r="E178" s="4">
        <v>48107.85</v>
      </c>
      <c r="F178" s="4">
        <v>0</v>
      </c>
      <c r="G178" s="4">
        <v>6087.4</v>
      </c>
      <c r="H178" s="4">
        <v>0</v>
      </c>
      <c r="I178" s="4">
        <v>2490.15</v>
      </c>
      <c r="J178" s="4">
        <v>0</v>
      </c>
      <c r="K178" s="4">
        <v>0</v>
      </c>
      <c r="L178" s="4">
        <v>0</v>
      </c>
      <c r="M178" s="4"/>
      <c r="N178" s="4">
        <v>0</v>
      </c>
      <c r="O178" s="4">
        <v>0</v>
      </c>
      <c r="P178" s="4"/>
      <c r="Q178" s="4"/>
      <c r="R178" s="4">
        <f>SUM(E178:Q178)</f>
        <v>56685.4</v>
      </c>
      <c r="S178">
        <v>176</v>
      </c>
    </row>
    <row r="179" spans="2:19" x14ac:dyDescent="0.25">
      <c r="E179" s="4"/>
      <c r="F179" s="4"/>
      <c r="G179" s="4"/>
      <c r="H179" s="4"/>
      <c r="I179" s="4"/>
      <c r="J179" s="4"/>
      <c r="K179" s="4"/>
      <c r="L179" s="4"/>
      <c r="M179" s="4"/>
      <c r="N179" s="4"/>
      <c r="O179" s="4"/>
      <c r="P179" s="4"/>
      <c r="Q179" s="4"/>
      <c r="R179" s="4"/>
      <c r="S179">
        <v>177</v>
      </c>
    </row>
    <row r="180" spans="2:19" x14ac:dyDescent="0.25">
      <c r="E180" s="4"/>
      <c r="F180" s="4"/>
      <c r="G180" s="4"/>
      <c r="H180" s="4"/>
      <c r="I180" s="4"/>
      <c r="J180" s="4"/>
      <c r="K180" s="4"/>
      <c r="L180" s="4"/>
      <c r="M180" s="4"/>
      <c r="N180" s="4"/>
      <c r="O180" s="4"/>
      <c r="P180" s="4"/>
      <c r="Q180" s="4"/>
      <c r="R180" s="4"/>
      <c r="S180" s="1">
        <v>178</v>
      </c>
    </row>
    <row r="181" spans="2:19" x14ac:dyDescent="0.25">
      <c r="E181" s="4"/>
      <c r="F181" s="4"/>
      <c r="G181" s="4"/>
      <c r="H181" s="4"/>
      <c r="I181" s="4"/>
      <c r="J181" s="4"/>
      <c r="K181" s="4"/>
      <c r="L181" s="4"/>
      <c r="M181" s="4"/>
      <c r="N181" s="4"/>
      <c r="O181" s="4"/>
      <c r="P181" s="4"/>
      <c r="Q181" s="4"/>
      <c r="R181" s="4"/>
      <c r="S181">
        <v>179</v>
      </c>
    </row>
    <row r="182" spans="2:19" x14ac:dyDescent="0.25">
      <c r="D182" s="88" t="s">
        <v>221</v>
      </c>
      <c r="E182" s="91">
        <f>E4-E87</f>
        <v>48107.85</v>
      </c>
      <c r="F182" s="91">
        <f t="shared" ref="F182:R182" si="36">F4-F87</f>
        <v>0</v>
      </c>
      <c r="G182" s="91">
        <f t="shared" si="36"/>
        <v>-19182.599999999999</v>
      </c>
      <c r="H182" s="91">
        <f t="shared" si="36"/>
        <v>0</v>
      </c>
      <c r="I182" s="91">
        <f t="shared" si="36"/>
        <v>0</v>
      </c>
      <c r="J182" s="91">
        <f t="shared" si="36"/>
        <v>-94682.25</v>
      </c>
      <c r="K182" s="91">
        <f t="shared" si="36"/>
        <v>0</v>
      </c>
      <c r="L182" s="91">
        <f t="shared" si="36"/>
        <v>0</v>
      </c>
      <c r="M182" s="91">
        <f t="shared" si="36"/>
        <v>0</v>
      </c>
      <c r="N182" s="91">
        <f t="shared" si="36"/>
        <v>0</v>
      </c>
      <c r="O182" s="91">
        <f t="shared" si="36"/>
        <v>0</v>
      </c>
      <c r="P182" s="91">
        <f t="shared" si="36"/>
        <v>0</v>
      </c>
      <c r="Q182" s="91">
        <f t="shared" si="36"/>
        <v>0</v>
      </c>
      <c r="R182" s="91">
        <f t="shared" si="36"/>
        <v>-65757</v>
      </c>
      <c r="S182">
        <v>180</v>
      </c>
    </row>
    <row r="184" spans="2:19" x14ac:dyDescent="0.25">
      <c r="L184" s="4"/>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00B0F0"/>
  </sheetPr>
  <dimension ref="A1:E185"/>
  <sheetViews>
    <sheetView workbookViewId="0">
      <selection activeCell="D4" sqref="D4"/>
    </sheetView>
  </sheetViews>
  <sheetFormatPr baseColWidth="10" defaultColWidth="11.42578125" defaultRowHeight="15" x14ac:dyDescent="0.25"/>
  <cols>
    <col min="1" max="2" width="5.7109375" customWidth="1"/>
    <col min="3" max="3" width="9" customWidth="1"/>
    <col min="4" max="4" width="63.5703125" customWidth="1"/>
    <col min="5" max="5" width="22.7109375" customWidth="1"/>
  </cols>
  <sheetData>
    <row r="1" spans="1:5" ht="26.25" x14ac:dyDescent="0.4">
      <c r="A1" s="32" t="s">
        <v>859</v>
      </c>
      <c r="B1" s="7"/>
      <c r="C1" s="7"/>
      <c r="D1" s="7"/>
    </row>
    <row r="3" spans="1:5" ht="15.75" thickBot="1" x14ac:dyDescent="0.3"/>
    <row r="4" spans="1:5" ht="15.75" thickBot="1" x14ac:dyDescent="0.3">
      <c r="A4" t="s">
        <v>749</v>
      </c>
      <c r="D4" s="142" t="s">
        <v>28</v>
      </c>
    </row>
    <row r="7" spans="1:5" ht="21" x14ac:dyDescent="0.35">
      <c r="A7" s="84">
        <v>5</v>
      </c>
      <c r="B7" s="84"/>
      <c r="C7" s="84"/>
      <c r="D7" s="84" t="s">
        <v>193</v>
      </c>
      <c r="E7" s="152">
        <f>HLOOKUP($D$4,'Bourgeoisie investissement'!$E$3:$R$184,2,0)</f>
        <v>0</v>
      </c>
    </row>
    <row r="8" spans="1:5" x14ac:dyDescent="0.25">
      <c r="A8" s="7"/>
      <c r="B8" s="56">
        <v>50</v>
      </c>
      <c r="C8" s="56"/>
      <c r="D8" s="56" t="s">
        <v>454</v>
      </c>
      <c r="E8" s="57">
        <f>HLOOKUP($D$4,'Bourgeoisie investissement'!$E$3:$R$184,3,0)</f>
        <v>0</v>
      </c>
    </row>
    <row r="9" spans="1:5" x14ac:dyDescent="0.25">
      <c r="C9">
        <v>500</v>
      </c>
      <c r="D9" t="s">
        <v>456</v>
      </c>
      <c r="E9" s="4">
        <f>HLOOKUP($D$4,'Bourgeoisie investissement'!$E$3:$R$184,4,0)</f>
        <v>0</v>
      </c>
    </row>
    <row r="10" spans="1:5" x14ac:dyDescent="0.25">
      <c r="C10">
        <v>501</v>
      </c>
      <c r="D10" t="s">
        <v>457</v>
      </c>
      <c r="E10" s="4">
        <f>HLOOKUP($D$4,'Bourgeoisie investissement'!$E$3:$R$184,5,0)</f>
        <v>0</v>
      </c>
    </row>
    <row r="11" spans="1:5" x14ac:dyDescent="0.25">
      <c r="C11">
        <v>502</v>
      </c>
      <c r="D11" t="s">
        <v>458</v>
      </c>
      <c r="E11" s="4">
        <f>HLOOKUP($D$4,'Bourgeoisie investissement'!$E$3:$R$184,6,0)</f>
        <v>0</v>
      </c>
    </row>
    <row r="12" spans="1:5" x14ac:dyDescent="0.25">
      <c r="C12">
        <v>503</v>
      </c>
      <c r="D12" t="s">
        <v>459</v>
      </c>
      <c r="E12" s="4">
        <f>HLOOKUP($D$4,'Bourgeoisie investissement'!$E$3:$R$184,7,0)</f>
        <v>0</v>
      </c>
    </row>
    <row r="13" spans="1:5" x14ac:dyDescent="0.25">
      <c r="C13">
        <v>504</v>
      </c>
      <c r="D13" t="s">
        <v>460</v>
      </c>
      <c r="E13" s="4">
        <f>HLOOKUP($D$4,'Bourgeoisie investissement'!$E$3:$R$184,8,0)</f>
        <v>0</v>
      </c>
    </row>
    <row r="14" spans="1:5" x14ac:dyDescent="0.25">
      <c r="C14">
        <v>505</v>
      </c>
      <c r="D14" t="s">
        <v>461</v>
      </c>
      <c r="E14" s="4">
        <f>HLOOKUP($D$4,'Bourgeoisie investissement'!$E$3:$R$184,9,0)</f>
        <v>0</v>
      </c>
    </row>
    <row r="15" spans="1:5" x14ac:dyDescent="0.25">
      <c r="C15">
        <v>506</v>
      </c>
      <c r="D15" t="s">
        <v>462</v>
      </c>
      <c r="E15" s="4">
        <f>HLOOKUP($D$4,'Bourgeoisie investissement'!$E$3:$R$184,10,0)</f>
        <v>0</v>
      </c>
    </row>
    <row r="16" spans="1:5" x14ac:dyDescent="0.25">
      <c r="C16">
        <v>509</v>
      </c>
      <c r="D16" t="s">
        <v>463</v>
      </c>
      <c r="E16" s="4">
        <f>HLOOKUP($D$4,'Bourgeoisie investissement'!$E$3:$R$184,11,0)</f>
        <v>0</v>
      </c>
    </row>
    <row r="17" spans="2:5" x14ac:dyDescent="0.25">
      <c r="E17" s="4"/>
    </row>
    <row r="18" spans="2:5" x14ac:dyDescent="0.25">
      <c r="B18" s="56">
        <v>51</v>
      </c>
      <c r="C18" s="56"/>
      <c r="D18" s="56" t="s">
        <v>455</v>
      </c>
      <c r="E18" s="57">
        <f>HLOOKUP($D$4,'Bourgeoisie investissement'!$E$3:$R$184,13,0)</f>
        <v>0</v>
      </c>
    </row>
    <row r="19" spans="2:5" x14ac:dyDescent="0.25">
      <c r="C19">
        <v>510</v>
      </c>
      <c r="D19" t="s">
        <v>456</v>
      </c>
      <c r="E19" s="4">
        <f>HLOOKUP($D$4,'Bourgeoisie investissement'!$E$3:$R$184,14,0)</f>
        <v>0</v>
      </c>
    </row>
    <row r="20" spans="2:5" x14ac:dyDescent="0.25">
      <c r="C20">
        <v>511</v>
      </c>
      <c r="D20" t="s">
        <v>457</v>
      </c>
      <c r="E20" s="4">
        <f>HLOOKUP($D$4,'Bourgeoisie investissement'!$E$3:$R$184,15,0)</f>
        <v>0</v>
      </c>
    </row>
    <row r="21" spans="2:5" x14ac:dyDescent="0.25">
      <c r="C21">
        <v>512</v>
      </c>
      <c r="D21" t="s">
        <v>458</v>
      </c>
      <c r="E21" s="4">
        <f>HLOOKUP($D$4,'Bourgeoisie investissement'!$E$3:$R$184,16,0)</f>
        <v>0</v>
      </c>
    </row>
    <row r="22" spans="2:5" x14ac:dyDescent="0.25">
      <c r="C22">
        <v>513</v>
      </c>
      <c r="D22" t="s">
        <v>459</v>
      </c>
      <c r="E22" s="4">
        <f>HLOOKUP($D$4,'Bourgeoisie investissement'!$E$3:$R$184,17,0)</f>
        <v>0</v>
      </c>
    </row>
    <row r="23" spans="2:5" x14ac:dyDescent="0.25">
      <c r="C23">
        <v>514</v>
      </c>
      <c r="D23" t="s">
        <v>460</v>
      </c>
      <c r="E23" s="4">
        <f>HLOOKUP($D$4,'Bourgeoisie investissement'!$E$3:$R$184,18,0)</f>
        <v>0</v>
      </c>
    </row>
    <row r="24" spans="2:5" x14ac:dyDescent="0.25">
      <c r="C24">
        <v>515</v>
      </c>
      <c r="D24" t="s">
        <v>461</v>
      </c>
      <c r="E24" s="4">
        <f>HLOOKUP($D$4,'Bourgeoisie investissement'!$E$3:$R$184,19,0)</f>
        <v>0</v>
      </c>
    </row>
    <row r="25" spans="2:5" x14ac:dyDescent="0.25">
      <c r="C25">
        <v>516</v>
      </c>
      <c r="D25" t="s">
        <v>462</v>
      </c>
      <c r="E25" s="4">
        <f>HLOOKUP($D$4,'Bourgeoisie investissement'!$E$3:$R$184,20,0)</f>
        <v>0</v>
      </c>
    </row>
    <row r="26" spans="2:5" x14ac:dyDescent="0.25">
      <c r="C26">
        <v>519</v>
      </c>
      <c r="D26" t="s">
        <v>463</v>
      </c>
      <c r="E26" s="4">
        <f>HLOOKUP($D$4,'Bourgeoisie investissement'!$E$3:$R$184,21,0)</f>
        <v>0</v>
      </c>
    </row>
    <row r="27" spans="2:5" x14ac:dyDescent="0.25">
      <c r="E27" s="4"/>
    </row>
    <row r="28" spans="2:5" x14ac:dyDescent="0.25">
      <c r="B28" s="56">
        <v>52</v>
      </c>
      <c r="C28" s="56"/>
      <c r="D28" s="56" t="s">
        <v>464</v>
      </c>
      <c r="E28" s="57">
        <f>HLOOKUP($D$4,'Bourgeoisie investissement'!$E$3:$R$184,23,0)</f>
        <v>0</v>
      </c>
    </row>
    <row r="29" spans="2:5" x14ac:dyDescent="0.25">
      <c r="C29">
        <v>520</v>
      </c>
      <c r="D29" t="s">
        <v>366</v>
      </c>
      <c r="E29" s="4">
        <f>HLOOKUP($D$4,'Bourgeoisie investissement'!$E$3:$R$184,24,0)</f>
        <v>0</v>
      </c>
    </row>
    <row r="30" spans="2:5" x14ac:dyDescent="0.25">
      <c r="C30">
        <v>521</v>
      </c>
      <c r="D30" t="s">
        <v>367</v>
      </c>
      <c r="E30" s="4">
        <f>HLOOKUP($D$4,'Bourgeoisie investissement'!$E$3:$R$184,25,0)</f>
        <v>0</v>
      </c>
    </row>
    <row r="31" spans="2:5" x14ac:dyDescent="0.25">
      <c r="C31">
        <v>529</v>
      </c>
      <c r="D31" t="s">
        <v>465</v>
      </c>
      <c r="E31" s="4">
        <f>HLOOKUP($D$4,'Bourgeoisie investissement'!$E$3:$R$184,26,0)</f>
        <v>0</v>
      </c>
    </row>
    <row r="32" spans="2:5" x14ac:dyDescent="0.25">
      <c r="E32" s="4"/>
    </row>
    <row r="33" spans="2:5" x14ac:dyDescent="0.25">
      <c r="B33" s="56">
        <v>54</v>
      </c>
      <c r="C33" s="56"/>
      <c r="D33" s="56" t="s">
        <v>250</v>
      </c>
      <c r="E33" s="57">
        <f>HLOOKUP($D$4,'Bourgeoisie investissement'!$E$3:$R$184,28,0)</f>
        <v>0</v>
      </c>
    </row>
    <row r="34" spans="2:5" x14ac:dyDescent="0.25">
      <c r="C34">
        <v>540</v>
      </c>
      <c r="D34" t="s">
        <v>466</v>
      </c>
      <c r="E34" s="4">
        <f>HLOOKUP($D$4,'Bourgeoisie investissement'!$E$3:$R$184,29,0)</f>
        <v>0</v>
      </c>
    </row>
    <row r="35" spans="2:5" x14ac:dyDescent="0.25">
      <c r="C35">
        <v>541</v>
      </c>
      <c r="D35" t="s">
        <v>467</v>
      </c>
      <c r="E35" s="4">
        <f>HLOOKUP($D$4,'Bourgeoisie investissement'!$E$3:$R$184,30,0)</f>
        <v>0</v>
      </c>
    </row>
    <row r="36" spans="2:5" x14ac:dyDescent="0.25">
      <c r="C36">
        <v>542</v>
      </c>
      <c r="D36" t="s">
        <v>468</v>
      </c>
      <c r="E36" s="4">
        <f>HLOOKUP($D$4,'Bourgeoisie investissement'!$E$3:$R$184,31,0)</f>
        <v>0</v>
      </c>
    </row>
    <row r="37" spans="2:5" x14ac:dyDescent="0.25">
      <c r="C37">
        <v>543</v>
      </c>
      <c r="D37" t="s">
        <v>469</v>
      </c>
      <c r="E37" s="4">
        <f>HLOOKUP($D$4,'Bourgeoisie investissement'!$E$3:$R$184,32,0)</f>
        <v>0</v>
      </c>
    </row>
    <row r="38" spans="2:5" x14ac:dyDescent="0.25">
      <c r="C38">
        <v>544</v>
      </c>
      <c r="D38" t="s">
        <v>470</v>
      </c>
      <c r="E38" s="4">
        <f>HLOOKUP($D$4,'Bourgeoisie investissement'!$E$3:$R$184,33,0)</f>
        <v>0</v>
      </c>
    </row>
    <row r="39" spans="2:5" x14ac:dyDescent="0.25">
      <c r="C39">
        <v>545</v>
      </c>
      <c r="D39" t="s">
        <v>471</v>
      </c>
      <c r="E39" s="4">
        <f>HLOOKUP($D$4,'Bourgeoisie investissement'!$E$3:$R$184,34,0)</f>
        <v>0</v>
      </c>
    </row>
    <row r="40" spans="2:5" x14ac:dyDescent="0.25">
      <c r="C40">
        <v>546</v>
      </c>
      <c r="D40" t="s">
        <v>472</v>
      </c>
      <c r="E40" s="4">
        <f>HLOOKUP($D$4,'Bourgeoisie investissement'!$E$3:$R$184,35,0)</f>
        <v>0</v>
      </c>
    </row>
    <row r="41" spans="2:5" x14ac:dyDescent="0.25">
      <c r="C41">
        <v>547</v>
      </c>
      <c r="D41" t="s">
        <v>473</v>
      </c>
      <c r="E41" s="4">
        <f>HLOOKUP($D$4,'Bourgeoisie investissement'!$E$3:$R$184,36,0)</f>
        <v>0</v>
      </c>
    </row>
    <row r="42" spans="2:5" x14ac:dyDescent="0.25">
      <c r="C42">
        <v>548</v>
      </c>
      <c r="D42" t="s">
        <v>474</v>
      </c>
      <c r="E42" s="4">
        <f>HLOOKUP($D$4,'Bourgeoisie investissement'!$E$3:$R$184,37,0)</f>
        <v>0</v>
      </c>
    </row>
    <row r="43" spans="2:5" x14ac:dyDescent="0.25">
      <c r="E43" s="4"/>
    </row>
    <row r="44" spans="2:5" x14ac:dyDescent="0.25">
      <c r="B44" s="56">
        <v>55</v>
      </c>
      <c r="C44" s="56"/>
      <c r="D44" s="56" t="s">
        <v>379</v>
      </c>
      <c r="E44" s="57">
        <f>HLOOKUP($D$4,'Bourgeoisie investissement'!$E$3:$R$184,39,0)</f>
        <v>0</v>
      </c>
    </row>
    <row r="45" spans="2:5" x14ac:dyDescent="0.25">
      <c r="C45">
        <v>550</v>
      </c>
      <c r="D45" t="s">
        <v>466</v>
      </c>
      <c r="E45" s="4">
        <f>HLOOKUP($D$4,'Bourgeoisie investissement'!$E$3:$R$184,40,0)</f>
        <v>0</v>
      </c>
    </row>
    <row r="46" spans="2:5" x14ac:dyDescent="0.25">
      <c r="C46">
        <v>551</v>
      </c>
      <c r="D46" t="s">
        <v>467</v>
      </c>
      <c r="E46" s="4">
        <f>HLOOKUP($D$4,'Bourgeoisie investissement'!$E$3:$R$184,41,0)</f>
        <v>0</v>
      </c>
    </row>
    <row r="47" spans="2:5" x14ac:dyDescent="0.25">
      <c r="C47">
        <v>552</v>
      </c>
      <c r="D47" t="s">
        <v>468</v>
      </c>
      <c r="E47" s="4">
        <f>HLOOKUP($D$4,'Bourgeoisie investissement'!$E$3:$R$184,42,0)</f>
        <v>0</v>
      </c>
    </row>
    <row r="48" spans="2:5" x14ac:dyDescent="0.25">
      <c r="C48">
        <v>553</v>
      </c>
      <c r="D48" t="s">
        <v>469</v>
      </c>
      <c r="E48" s="4">
        <f>HLOOKUP($D$4,'Bourgeoisie investissement'!$E$3:$R$184,43,0)</f>
        <v>0</v>
      </c>
    </row>
    <row r="49" spans="2:5" x14ac:dyDescent="0.25">
      <c r="C49">
        <v>554</v>
      </c>
      <c r="D49" t="s">
        <v>470</v>
      </c>
      <c r="E49" s="4">
        <f>HLOOKUP($D$4,'Bourgeoisie investissement'!$E$3:$R$184,44,0)</f>
        <v>0</v>
      </c>
    </row>
    <row r="50" spans="2:5" x14ac:dyDescent="0.25">
      <c r="C50">
        <v>555</v>
      </c>
      <c r="D50" t="s">
        <v>471</v>
      </c>
      <c r="E50" s="4">
        <f>HLOOKUP($D$4,'Bourgeoisie investissement'!$E$3:$R$184,45,0)</f>
        <v>0</v>
      </c>
    </row>
    <row r="51" spans="2:5" x14ac:dyDescent="0.25">
      <c r="C51">
        <v>556</v>
      </c>
      <c r="D51" t="s">
        <v>472</v>
      </c>
      <c r="E51" s="4">
        <f>HLOOKUP($D$4,'Bourgeoisie investissement'!$E$3:$R$184,46,0)</f>
        <v>0</v>
      </c>
    </row>
    <row r="52" spans="2:5" x14ac:dyDescent="0.25">
      <c r="C52">
        <v>557</v>
      </c>
      <c r="D52" t="s">
        <v>473</v>
      </c>
      <c r="E52" s="4">
        <f>HLOOKUP($D$4,'Bourgeoisie investissement'!$E$3:$R$184,47,0)</f>
        <v>0</v>
      </c>
    </row>
    <row r="53" spans="2:5" x14ac:dyDescent="0.25">
      <c r="C53">
        <v>558</v>
      </c>
      <c r="D53" t="s">
        <v>474</v>
      </c>
      <c r="E53" s="4">
        <f>HLOOKUP($D$4,'Bourgeoisie investissement'!$E$3:$R$184,48,0)</f>
        <v>0</v>
      </c>
    </row>
    <row r="54" spans="2:5" x14ac:dyDescent="0.25">
      <c r="E54" s="4"/>
    </row>
    <row r="55" spans="2:5" x14ac:dyDescent="0.25">
      <c r="B55" s="56">
        <v>56</v>
      </c>
      <c r="C55" s="56"/>
      <c r="D55" s="56" t="s">
        <v>475</v>
      </c>
      <c r="E55" s="57">
        <f>HLOOKUP($D$4,'Bourgeoisie investissement'!$E$3:$R$184,50,0)</f>
        <v>0</v>
      </c>
    </row>
    <row r="56" spans="2:5" x14ac:dyDescent="0.25">
      <c r="C56">
        <v>560</v>
      </c>
      <c r="D56" t="s">
        <v>466</v>
      </c>
      <c r="E56" s="4">
        <f>HLOOKUP($D$4,'Bourgeoisie investissement'!$E$3:$R$184,51,0)</f>
        <v>0</v>
      </c>
    </row>
    <row r="57" spans="2:5" x14ac:dyDescent="0.25">
      <c r="C57">
        <v>561</v>
      </c>
      <c r="D57" t="s">
        <v>467</v>
      </c>
      <c r="E57" s="4">
        <f>HLOOKUP($D$4,'Bourgeoisie investissement'!$E$3:$R$184,52,0)</f>
        <v>0</v>
      </c>
    </row>
    <row r="58" spans="2:5" x14ac:dyDescent="0.25">
      <c r="C58">
        <v>562</v>
      </c>
      <c r="D58" t="s">
        <v>468</v>
      </c>
      <c r="E58" s="4">
        <f>HLOOKUP($D$4,'Bourgeoisie investissement'!$E$3:$R$184,53,0)</f>
        <v>0</v>
      </c>
    </row>
    <row r="59" spans="2:5" x14ac:dyDescent="0.25">
      <c r="C59">
        <v>563</v>
      </c>
      <c r="D59" t="s">
        <v>469</v>
      </c>
      <c r="E59" s="4">
        <f>HLOOKUP($D$4,'Bourgeoisie investissement'!$E$3:$R$184,54,0)</f>
        <v>0</v>
      </c>
    </row>
    <row r="60" spans="2:5" x14ac:dyDescent="0.25">
      <c r="C60">
        <v>564</v>
      </c>
      <c r="D60" t="s">
        <v>470</v>
      </c>
      <c r="E60" s="4">
        <f>HLOOKUP($D$4,'Bourgeoisie investissement'!$E$3:$R$184,55,0)</f>
        <v>0</v>
      </c>
    </row>
    <row r="61" spans="2:5" x14ac:dyDescent="0.25">
      <c r="C61">
        <v>565</v>
      </c>
      <c r="D61" t="s">
        <v>471</v>
      </c>
      <c r="E61" s="4">
        <f>HLOOKUP($D$4,'Bourgeoisie investissement'!$E$3:$R$184,56,0)</f>
        <v>0</v>
      </c>
    </row>
    <row r="62" spans="2:5" x14ac:dyDescent="0.25">
      <c r="C62">
        <v>566</v>
      </c>
      <c r="D62" t="s">
        <v>472</v>
      </c>
      <c r="E62" s="4">
        <f>HLOOKUP($D$4,'Bourgeoisie investissement'!$E$3:$R$184,57,0)</f>
        <v>0</v>
      </c>
    </row>
    <row r="63" spans="2:5" x14ac:dyDescent="0.25">
      <c r="C63">
        <v>567</v>
      </c>
      <c r="D63" t="s">
        <v>473</v>
      </c>
      <c r="E63" s="4">
        <f>HLOOKUP($D$4,'Bourgeoisie investissement'!$E$3:$R$184,58,0)</f>
        <v>0</v>
      </c>
    </row>
    <row r="64" spans="2:5" x14ac:dyDescent="0.25">
      <c r="C64">
        <v>568</v>
      </c>
      <c r="D64" t="s">
        <v>474</v>
      </c>
      <c r="E64" s="4">
        <f>HLOOKUP($D$4,'Bourgeoisie investissement'!$E$3:$R$184,59,0)</f>
        <v>0</v>
      </c>
    </row>
    <row r="65" spans="2:5" x14ac:dyDescent="0.25">
      <c r="E65" s="4"/>
    </row>
    <row r="66" spans="2:5" x14ac:dyDescent="0.25">
      <c r="B66" s="56">
        <v>57</v>
      </c>
      <c r="C66" s="56"/>
      <c r="D66" s="56" t="s">
        <v>476</v>
      </c>
      <c r="E66" s="57">
        <f>HLOOKUP($D$4,'Bourgeoisie investissement'!$E$3:$R$184,61,0)</f>
        <v>0</v>
      </c>
    </row>
    <row r="67" spans="2:5" x14ac:dyDescent="0.25">
      <c r="C67">
        <v>570</v>
      </c>
      <c r="D67" t="s">
        <v>466</v>
      </c>
      <c r="E67" s="4">
        <f>HLOOKUP($D$4,'Bourgeoisie investissement'!$E$3:$R$184,62,0)</f>
        <v>0</v>
      </c>
    </row>
    <row r="68" spans="2:5" x14ac:dyDescent="0.25">
      <c r="C68">
        <v>571</v>
      </c>
      <c r="D68" t="s">
        <v>467</v>
      </c>
      <c r="E68" s="4">
        <f>HLOOKUP($D$4,'Bourgeoisie investissement'!$E$3:$R$184,63,0)</f>
        <v>0</v>
      </c>
    </row>
    <row r="69" spans="2:5" x14ac:dyDescent="0.25">
      <c r="C69">
        <v>572</v>
      </c>
      <c r="D69" t="s">
        <v>468</v>
      </c>
      <c r="E69" s="4">
        <f>HLOOKUP($D$4,'Bourgeoisie investissement'!$E$3:$R$184,64,0)</f>
        <v>0</v>
      </c>
    </row>
    <row r="70" spans="2:5" x14ac:dyDescent="0.25">
      <c r="C70">
        <v>573</v>
      </c>
      <c r="D70" t="s">
        <v>469</v>
      </c>
      <c r="E70" s="4">
        <f>HLOOKUP($D$4,'Bourgeoisie investissement'!$E$3:$R$184,65,0)</f>
        <v>0</v>
      </c>
    </row>
    <row r="71" spans="2:5" x14ac:dyDescent="0.25">
      <c r="C71">
        <v>574</v>
      </c>
      <c r="D71" t="s">
        <v>470</v>
      </c>
      <c r="E71" s="4">
        <f>HLOOKUP($D$4,'Bourgeoisie investissement'!$E$3:$R$184,66,0)</f>
        <v>0</v>
      </c>
    </row>
    <row r="72" spans="2:5" x14ac:dyDescent="0.25">
      <c r="C72">
        <v>575</v>
      </c>
      <c r="D72" t="s">
        <v>471</v>
      </c>
      <c r="E72" s="4">
        <f>HLOOKUP($D$4,'Bourgeoisie investissement'!$E$3:$R$184,67,0)</f>
        <v>0</v>
      </c>
    </row>
    <row r="73" spans="2:5" x14ac:dyDescent="0.25">
      <c r="C73">
        <v>576</v>
      </c>
      <c r="D73" t="s">
        <v>472</v>
      </c>
      <c r="E73" s="4">
        <f>HLOOKUP($D$4,'Bourgeoisie investissement'!$E$3:$R$184,68,0)</f>
        <v>0</v>
      </c>
    </row>
    <row r="74" spans="2:5" x14ac:dyDescent="0.25">
      <c r="C74">
        <v>577</v>
      </c>
      <c r="D74" t="s">
        <v>473</v>
      </c>
      <c r="E74" s="4">
        <f>HLOOKUP($D$4,'Bourgeoisie investissement'!$E$3:$R$184,69,0)</f>
        <v>0</v>
      </c>
    </row>
    <row r="75" spans="2:5" x14ac:dyDescent="0.25">
      <c r="C75">
        <v>578</v>
      </c>
      <c r="D75" t="s">
        <v>474</v>
      </c>
      <c r="E75" s="4">
        <f>HLOOKUP($D$4,'Bourgeoisie investissement'!$E$3:$R$184,70,0)</f>
        <v>0</v>
      </c>
    </row>
    <row r="76" spans="2:5" x14ac:dyDescent="0.25">
      <c r="E76" s="4"/>
    </row>
    <row r="77" spans="2:5" x14ac:dyDescent="0.25">
      <c r="B77" s="56">
        <v>58</v>
      </c>
      <c r="C77" s="56"/>
      <c r="D77" s="56" t="s">
        <v>477</v>
      </c>
      <c r="E77" s="57">
        <f>HLOOKUP($D$4,'Bourgeoisie investissement'!$E$3:$R$184,72,0)</f>
        <v>0</v>
      </c>
    </row>
    <row r="78" spans="2:5" x14ac:dyDescent="0.25">
      <c r="C78">
        <v>580</v>
      </c>
      <c r="D78" t="s">
        <v>454</v>
      </c>
      <c r="E78" s="4">
        <f>HLOOKUP($D$4,'Bourgeoisie investissement'!$E$3:$R$184,73,0)</f>
        <v>0</v>
      </c>
    </row>
    <row r="79" spans="2:5" x14ac:dyDescent="0.25">
      <c r="C79">
        <v>582</v>
      </c>
      <c r="D79" t="s">
        <v>464</v>
      </c>
      <c r="E79" s="4">
        <f>HLOOKUP($D$4,'Bourgeoisie investissement'!$E$3:$R$184,74,0)</f>
        <v>0</v>
      </c>
    </row>
    <row r="80" spans="2:5" x14ac:dyDescent="0.25">
      <c r="C80">
        <v>584</v>
      </c>
      <c r="D80" t="s">
        <v>250</v>
      </c>
      <c r="E80" s="4">
        <f>HLOOKUP($D$4,'Bourgeoisie investissement'!$E$3:$R$184,75,0)</f>
        <v>0</v>
      </c>
    </row>
    <row r="81" spans="1:5" x14ac:dyDescent="0.25">
      <c r="C81">
        <v>585</v>
      </c>
      <c r="D81" t="s">
        <v>379</v>
      </c>
      <c r="E81" s="4">
        <f>HLOOKUP($D$4,'Bourgeoisie investissement'!$E$3:$R$184,76,0)</f>
        <v>0</v>
      </c>
    </row>
    <row r="82" spans="1:5" x14ac:dyDescent="0.25">
      <c r="C82">
        <v>586</v>
      </c>
      <c r="D82" t="s">
        <v>478</v>
      </c>
      <c r="E82" s="4">
        <f>HLOOKUP($D$4,'Bourgeoisie investissement'!$E$3:$R$184,77,0)</f>
        <v>0</v>
      </c>
    </row>
    <row r="83" spans="1:5" x14ac:dyDescent="0.25">
      <c r="C83">
        <v>589</v>
      </c>
      <c r="D83" t="s">
        <v>479</v>
      </c>
      <c r="E83" s="4">
        <f>HLOOKUP($D$4,'Bourgeoisie investissement'!$E$3:$R$184,78,0)</f>
        <v>0</v>
      </c>
    </row>
    <row r="84" spans="1:5" x14ac:dyDescent="0.25">
      <c r="E84" s="4"/>
    </row>
    <row r="85" spans="1:5" x14ac:dyDescent="0.25">
      <c r="B85" s="56">
        <v>59</v>
      </c>
      <c r="C85" s="56"/>
      <c r="D85" s="56" t="s">
        <v>480</v>
      </c>
      <c r="E85" s="57">
        <f>HLOOKUP($D$4,'Bourgeoisie investissement'!$E$3:$R$184,80,0)</f>
        <v>94682.25</v>
      </c>
    </row>
    <row r="86" spans="1:5" x14ac:dyDescent="0.25">
      <c r="C86">
        <v>590</v>
      </c>
      <c r="D86" t="s">
        <v>480</v>
      </c>
      <c r="E86" s="4">
        <f>HLOOKUP($D$4,'Bourgeoisie investissement'!$E$3:$R$184,81,0)</f>
        <v>94682.25</v>
      </c>
    </row>
    <row r="87" spans="1:5" x14ac:dyDescent="0.25">
      <c r="E87" s="4"/>
    </row>
    <row r="88" spans="1:5" x14ac:dyDescent="0.25">
      <c r="E88" s="4"/>
    </row>
    <row r="89" spans="1:5" x14ac:dyDescent="0.25">
      <c r="E89" s="4"/>
    </row>
    <row r="90" spans="1:5" ht="21" x14ac:dyDescent="0.35">
      <c r="A90" s="86">
        <v>6</v>
      </c>
      <c r="B90" s="86"/>
      <c r="C90" s="86"/>
      <c r="D90" s="86" t="s">
        <v>481</v>
      </c>
      <c r="E90" s="153">
        <f>HLOOKUP($D$4,'Bourgeoisie investissement'!$E$3:$R$184,85,0)</f>
        <v>94682.25</v>
      </c>
    </row>
    <row r="91" spans="1:5" x14ac:dyDescent="0.25">
      <c r="A91" s="7"/>
      <c r="B91" s="87">
        <v>60</v>
      </c>
      <c r="C91" s="87"/>
      <c r="D91" s="87" t="s">
        <v>482</v>
      </c>
      <c r="E91" s="85">
        <f>HLOOKUP($D$4,'Bourgeoisie investissement'!$E$3:$R$184,86,0)</f>
        <v>0</v>
      </c>
    </row>
    <row r="92" spans="1:5" x14ac:dyDescent="0.25">
      <c r="C92">
        <v>600</v>
      </c>
      <c r="D92" t="s">
        <v>456</v>
      </c>
      <c r="E92" s="4">
        <f>HLOOKUP($D$4,'Bourgeoisie investissement'!$E$3:$R$184,87,0)</f>
        <v>0</v>
      </c>
    </row>
    <row r="93" spans="1:5" x14ac:dyDescent="0.25">
      <c r="C93">
        <v>601</v>
      </c>
      <c r="D93" t="s">
        <v>457</v>
      </c>
      <c r="E93" s="4">
        <f>HLOOKUP($D$4,'Bourgeoisie investissement'!$E$3:$R$184,88,0)</f>
        <v>0</v>
      </c>
    </row>
    <row r="94" spans="1:5" x14ac:dyDescent="0.25">
      <c r="C94">
        <v>602</v>
      </c>
      <c r="D94" t="s">
        <v>458</v>
      </c>
      <c r="E94" s="4">
        <f>HLOOKUP($D$4,'Bourgeoisie investissement'!$E$3:$R$184,89,0)</f>
        <v>0</v>
      </c>
    </row>
    <row r="95" spans="1:5" x14ac:dyDescent="0.25">
      <c r="C95">
        <v>603</v>
      </c>
      <c r="D95" t="s">
        <v>459</v>
      </c>
      <c r="E95" s="4">
        <f>HLOOKUP($D$4,'Bourgeoisie investissement'!$E$3:$R$184,90,0)</f>
        <v>0</v>
      </c>
    </row>
    <row r="96" spans="1:5" x14ac:dyDescent="0.25">
      <c r="C96">
        <v>604</v>
      </c>
      <c r="D96" t="s">
        <v>460</v>
      </c>
      <c r="E96" s="4">
        <f>HLOOKUP($D$4,'Bourgeoisie investissement'!$E$3:$R$184,91,0)</f>
        <v>0</v>
      </c>
    </row>
    <row r="97" spans="2:5" x14ac:dyDescent="0.25">
      <c r="C97">
        <v>605</v>
      </c>
      <c r="D97" t="s">
        <v>461</v>
      </c>
      <c r="E97" s="4">
        <f>HLOOKUP($D$4,'Bourgeoisie investissement'!$E$3:$R$184,92,0)</f>
        <v>0</v>
      </c>
    </row>
    <row r="98" spans="2:5" x14ac:dyDescent="0.25">
      <c r="C98">
        <v>606</v>
      </c>
      <c r="D98" t="s">
        <v>462</v>
      </c>
      <c r="E98" s="4">
        <f>HLOOKUP($D$4,'Bourgeoisie investissement'!$E$3:$R$184,93,0)</f>
        <v>0</v>
      </c>
    </row>
    <row r="99" spans="2:5" x14ac:dyDescent="0.25">
      <c r="C99">
        <v>609</v>
      </c>
      <c r="D99" t="s">
        <v>463</v>
      </c>
      <c r="E99" s="4">
        <f>HLOOKUP($D$4,'Bourgeoisie investissement'!$E$3:$R$184,94,0)</f>
        <v>0</v>
      </c>
    </row>
    <row r="100" spans="2:5" x14ac:dyDescent="0.25">
      <c r="E100" s="4"/>
    </row>
    <row r="101" spans="2:5" x14ac:dyDescent="0.25">
      <c r="B101" s="87">
        <v>61</v>
      </c>
      <c r="C101" s="87"/>
      <c r="D101" s="87" t="s">
        <v>483</v>
      </c>
      <c r="E101" s="85">
        <f>HLOOKUP($D$4,'Bourgeoisie investissement'!$E$3:$R$184,96,0)</f>
        <v>0</v>
      </c>
    </row>
    <row r="102" spans="2:5" x14ac:dyDescent="0.25">
      <c r="C102">
        <v>610</v>
      </c>
      <c r="D102" t="s">
        <v>456</v>
      </c>
      <c r="E102" s="4">
        <f>HLOOKUP($D$4,'Bourgeoisie investissement'!$E$3:$R$184,97,0)</f>
        <v>0</v>
      </c>
    </row>
    <row r="103" spans="2:5" x14ac:dyDescent="0.25">
      <c r="C103">
        <v>611</v>
      </c>
      <c r="D103" t="s">
        <v>457</v>
      </c>
      <c r="E103" s="4">
        <f>HLOOKUP($D$4,'Bourgeoisie investissement'!$E$3:$R$184,98,0)</f>
        <v>0</v>
      </c>
    </row>
    <row r="104" spans="2:5" x14ac:dyDescent="0.25">
      <c r="C104">
        <v>612</v>
      </c>
      <c r="D104" t="s">
        <v>458</v>
      </c>
      <c r="E104" s="4">
        <f>HLOOKUP($D$4,'Bourgeoisie investissement'!$E$3:$R$184,99,0)</f>
        <v>0</v>
      </c>
    </row>
    <row r="105" spans="2:5" x14ac:dyDescent="0.25">
      <c r="C105">
        <v>613</v>
      </c>
      <c r="D105" t="s">
        <v>459</v>
      </c>
      <c r="E105" s="4">
        <f>HLOOKUP($D$4,'Bourgeoisie investissement'!$E$3:$R$184,100,0)</f>
        <v>0</v>
      </c>
    </row>
    <row r="106" spans="2:5" x14ac:dyDescent="0.25">
      <c r="C106">
        <v>614</v>
      </c>
      <c r="D106" t="s">
        <v>460</v>
      </c>
      <c r="E106" s="4">
        <f>HLOOKUP($D$4,'Bourgeoisie investissement'!$E$3:$R$184,101,0)</f>
        <v>0</v>
      </c>
    </row>
    <row r="107" spans="2:5" x14ac:dyDescent="0.25">
      <c r="C107">
        <v>615</v>
      </c>
      <c r="D107" t="s">
        <v>461</v>
      </c>
      <c r="E107" s="4">
        <f>HLOOKUP($D$4,'Bourgeoisie investissement'!$E$3:$R$184,102,0)</f>
        <v>0</v>
      </c>
    </row>
    <row r="108" spans="2:5" x14ac:dyDescent="0.25">
      <c r="C108">
        <v>616</v>
      </c>
      <c r="D108" t="s">
        <v>462</v>
      </c>
      <c r="E108" s="4">
        <f>HLOOKUP($D$4,'Bourgeoisie investissement'!$E$3:$R$184,103,0)</f>
        <v>0</v>
      </c>
    </row>
    <row r="109" spans="2:5" x14ac:dyDescent="0.25">
      <c r="C109">
        <v>619</v>
      </c>
      <c r="D109" t="s">
        <v>463</v>
      </c>
      <c r="E109" s="4">
        <f>HLOOKUP($D$4,'Bourgeoisie investissement'!$E$3:$R$184,104,0)</f>
        <v>0</v>
      </c>
    </row>
    <row r="110" spans="2:5" x14ac:dyDescent="0.25">
      <c r="E110" s="4"/>
    </row>
    <row r="111" spans="2:5" x14ac:dyDescent="0.25">
      <c r="B111" s="87">
        <v>62</v>
      </c>
      <c r="C111" s="87"/>
      <c r="D111" s="87" t="s">
        <v>484</v>
      </c>
      <c r="E111" s="85">
        <f>HLOOKUP($D$4,'Bourgeoisie investissement'!$E$3:$R$184,106,0)</f>
        <v>0</v>
      </c>
    </row>
    <row r="112" spans="2:5" x14ac:dyDescent="0.25">
      <c r="C112">
        <v>620</v>
      </c>
      <c r="D112" t="s">
        <v>366</v>
      </c>
      <c r="E112" s="4">
        <f>HLOOKUP($D$4,'Bourgeoisie investissement'!$E$3:$R$184,107,0)</f>
        <v>0</v>
      </c>
    </row>
    <row r="113" spans="2:5" x14ac:dyDescent="0.25">
      <c r="C113">
        <v>621</v>
      </c>
      <c r="D113" t="s">
        <v>367</v>
      </c>
      <c r="E113" s="4">
        <f>HLOOKUP($D$4,'Bourgeoisie investissement'!$E$3:$R$184,108,0)</f>
        <v>0</v>
      </c>
    </row>
    <row r="114" spans="2:5" x14ac:dyDescent="0.25">
      <c r="C114">
        <v>629</v>
      </c>
      <c r="D114" t="s">
        <v>465</v>
      </c>
      <c r="E114" s="4">
        <f>HLOOKUP($D$4,'Bourgeoisie investissement'!$E$3:$R$184,109,0)</f>
        <v>0</v>
      </c>
    </row>
    <row r="115" spans="2:5" x14ac:dyDescent="0.25">
      <c r="E115" s="4"/>
    </row>
    <row r="116" spans="2:5" x14ac:dyDescent="0.25">
      <c r="B116" s="87">
        <v>63</v>
      </c>
      <c r="C116" s="87"/>
      <c r="D116" s="87" t="s">
        <v>485</v>
      </c>
      <c r="E116" s="85">
        <f>HLOOKUP($D$4,'Bourgeoisie investissement'!$E$3:$R$184,111,0)</f>
        <v>94682.25</v>
      </c>
    </row>
    <row r="117" spans="2:5" x14ac:dyDescent="0.25">
      <c r="C117">
        <v>630</v>
      </c>
      <c r="D117" t="s">
        <v>466</v>
      </c>
      <c r="E117" s="4">
        <f>HLOOKUP($D$4,'Bourgeoisie investissement'!$E$3:$R$184,112,0)</f>
        <v>0</v>
      </c>
    </row>
    <row r="118" spans="2:5" x14ac:dyDescent="0.25">
      <c r="C118">
        <v>631</v>
      </c>
      <c r="D118" t="s">
        <v>467</v>
      </c>
      <c r="E118" s="4">
        <f>HLOOKUP($D$4,'Bourgeoisie investissement'!$E$3:$R$184,113,0)</f>
        <v>94682.25</v>
      </c>
    </row>
    <row r="119" spans="2:5" x14ac:dyDescent="0.25">
      <c r="C119">
        <v>632</v>
      </c>
      <c r="D119" t="s">
        <v>468</v>
      </c>
      <c r="E119" s="4">
        <f>HLOOKUP($D$4,'Bourgeoisie investissement'!$E$3:$R$184,114,0)</f>
        <v>0</v>
      </c>
    </row>
    <row r="120" spans="2:5" x14ac:dyDescent="0.25">
      <c r="C120">
        <v>633</v>
      </c>
      <c r="D120" t="s">
        <v>469</v>
      </c>
      <c r="E120" s="4">
        <f>HLOOKUP($D$4,'Bourgeoisie investissement'!$E$3:$R$184,115,0)</f>
        <v>0</v>
      </c>
    </row>
    <row r="121" spans="2:5" x14ac:dyDescent="0.25">
      <c r="C121">
        <v>634</v>
      </c>
      <c r="D121" t="s">
        <v>470</v>
      </c>
      <c r="E121" s="4">
        <f>HLOOKUP($D$4,'Bourgeoisie investissement'!$E$3:$R$184,116,0)</f>
        <v>0</v>
      </c>
    </row>
    <row r="122" spans="2:5" x14ac:dyDescent="0.25">
      <c r="C122">
        <v>635</v>
      </c>
      <c r="D122" t="s">
        <v>471</v>
      </c>
      <c r="E122" s="4">
        <f>HLOOKUP($D$4,'Bourgeoisie investissement'!$E$3:$R$184,117,0)</f>
        <v>0</v>
      </c>
    </row>
    <row r="123" spans="2:5" x14ac:dyDescent="0.25">
      <c r="C123">
        <v>636</v>
      </c>
      <c r="D123" t="s">
        <v>472</v>
      </c>
      <c r="E123" s="4">
        <f>HLOOKUP($D$4,'Bourgeoisie investissement'!$E$3:$R$184,118,0)</f>
        <v>0</v>
      </c>
    </row>
    <row r="124" spans="2:5" x14ac:dyDescent="0.25">
      <c r="C124">
        <v>637</v>
      </c>
      <c r="D124" t="s">
        <v>473</v>
      </c>
      <c r="E124" s="4">
        <f>HLOOKUP($D$4,'Bourgeoisie investissement'!$E$3:$R$184,119,0)</f>
        <v>0</v>
      </c>
    </row>
    <row r="125" spans="2:5" x14ac:dyDescent="0.25">
      <c r="C125">
        <v>638</v>
      </c>
      <c r="D125" t="s">
        <v>474</v>
      </c>
      <c r="E125" s="4">
        <f>HLOOKUP($D$4,'Bourgeoisie investissement'!$E$3:$R$184,120,0)</f>
        <v>0</v>
      </c>
    </row>
    <row r="126" spans="2:5" x14ac:dyDescent="0.25">
      <c r="E126" s="4"/>
    </row>
    <row r="127" spans="2:5" x14ac:dyDescent="0.25">
      <c r="B127" s="87">
        <v>64</v>
      </c>
      <c r="C127" s="87"/>
      <c r="D127" s="87" t="s">
        <v>486</v>
      </c>
      <c r="E127" s="85">
        <f>HLOOKUP($D$4,'Bourgeoisie investissement'!$E$3:$R$184,122,0)</f>
        <v>0</v>
      </c>
    </row>
    <row r="128" spans="2:5" x14ac:dyDescent="0.25">
      <c r="C128">
        <v>640</v>
      </c>
      <c r="D128" t="s">
        <v>466</v>
      </c>
      <c r="E128" s="4">
        <f>HLOOKUP($D$4,'Bourgeoisie investissement'!$E$3:$R$184,123,0)</f>
        <v>0</v>
      </c>
    </row>
    <row r="129" spans="2:5" x14ac:dyDescent="0.25">
      <c r="C129">
        <v>641</v>
      </c>
      <c r="D129" t="s">
        <v>467</v>
      </c>
      <c r="E129" s="4">
        <f>HLOOKUP($D$4,'Bourgeoisie investissement'!$E$3:$R$184,124,0)</f>
        <v>0</v>
      </c>
    </row>
    <row r="130" spans="2:5" x14ac:dyDescent="0.25">
      <c r="C130">
        <v>642</v>
      </c>
      <c r="D130" t="s">
        <v>468</v>
      </c>
      <c r="E130" s="4">
        <f>HLOOKUP($D$4,'Bourgeoisie investissement'!$E$3:$R$184,125,0)</f>
        <v>0</v>
      </c>
    </row>
    <row r="131" spans="2:5" x14ac:dyDescent="0.25">
      <c r="C131">
        <v>643</v>
      </c>
      <c r="D131" t="s">
        <v>469</v>
      </c>
      <c r="E131" s="4">
        <f>HLOOKUP($D$4,'Bourgeoisie investissement'!$E$3:$R$184,126,0)</f>
        <v>0</v>
      </c>
    </row>
    <row r="132" spans="2:5" x14ac:dyDescent="0.25">
      <c r="C132">
        <v>644</v>
      </c>
      <c r="D132" t="s">
        <v>470</v>
      </c>
      <c r="E132" s="4">
        <f>HLOOKUP($D$4,'Bourgeoisie investissement'!$E$3:$R$184,127,0)</f>
        <v>0</v>
      </c>
    </row>
    <row r="133" spans="2:5" x14ac:dyDescent="0.25">
      <c r="C133">
        <v>645</v>
      </c>
      <c r="D133" t="s">
        <v>471</v>
      </c>
      <c r="E133" s="4">
        <f>HLOOKUP($D$4,'Bourgeoisie investissement'!$E$3:$R$184,128,0)</f>
        <v>0</v>
      </c>
    </row>
    <row r="134" spans="2:5" x14ac:dyDescent="0.25">
      <c r="C134">
        <v>646</v>
      </c>
      <c r="D134" t="s">
        <v>472</v>
      </c>
      <c r="E134" s="4">
        <f>HLOOKUP($D$4,'Bourgeoisie investissement'!$E$3:$R$184,129,0)</f>
        <v>0</v>
      </c>
    </row>
    <row r="135" spans="2:5" x14ac:dyDescent="0.25">
      <c r="C135">
        <v>647</v>
      </c>
      <c r="D135" t="s">
        <v>473</v>
      </c>
      <c r="E135" s="4">
        <f>HLOOKUP($D$4,'Bourgeoisie investissement'!$E$3:$R$184,130,0)</f>
        <v>0</v>
      </c>
    </row>
    <row r="136" spans="2:5" x14ac:dyDescent="0.25">
      <c r="C136">
        <v>648</v>
      </c>
      <c r="D136" t="s">
        <v>474</v>
      </c>
      <c r="E136" s="4">
        <f>HLOOKUP($D$4,'Bourgeoisie investissement'!$E$3:$R$184,131,0)</f>
        <v>0</v>
      </c>
    </row>
    <row r="137" spans="2:5" x14ac:dyDescent="0.25">
      <c r="E137" s="4"/>
    </row>
    <row r="138" spans="2:5" x14ac:dyDescent="0.25">
      <c r="B138" s="87">
        <v>65</v>
      </c>
      <c r="C138" s="87"/>
      <c r="D138" s="87" t="s">
        <v>487</v>
      </c>
      <c r="E138" s="85">
        <f>HLOOKUP($D$4,'Bourgeoisie investissement'!$E$3:$R$184,133,0)</f>
        <v>0</v>
      </c>
    </row>
    <row r="139" spans="2:5" x14ac:dyDescent="0.25">
      <c r="C139">
        <v>650</v>
      </c>
      <c r="D139" t="s">
        <v>466</v>
      </c>
      <c r="E139" s="4">
        <f>HLOOKUP($D$4,'Bourgeoisie investissement'!$E$3:$R$184,134,0)</f>
        <v>0</v>
      </c>
    </row>
    <row r="140" spans="2:5" x14ac:dyDescent="0.25">
      <c r="C140">
        <v>651</v>
      </c>
      <c r="D140" t="s">
        <v>467</v>
      </c>
      <c r="E140" s="4">
        <f>HLOOKUP($D$4,'Bourgeoisie investissement'!$E$3:$R$184,135,0)</f>
        <v>0</v>
      </c>
    </row>
    <row r="141" spans="2:5" x14ac:dyDescent="0.25">
      <c r="C141">
        <v>652</v>
      </c>
      <c r="D141" t="s">
        <v>468</v>
      </c>
      <c r="E141" s="4">
        <f>HLOOKUP($D$4,'Bourgeoisie investissement'!$E$3:$R$184,136,0)</f>
        <v>0</v>
      </c>
    </row>
    <row r="142" spans="2:5" x14ac:dyDescent="0.25">
      <c r="C142">
        <v>653</v>
      </c>
      <c r="D142" t="s">
        <v>469</v>
      </c>
      <c r="E142" s="4">
        <f>HLOOKUP($D$4,'Bourgeoisie investissement'!$E$3:$R$184,137,0)</f>
        <v>0</v>
      </c>
    </row>
    <row r="143" spans="2:5" x14ac:dyDescent="0.25">
      <c r="C143">
        <v>654</v>
      </c>
      <c r="D143" t="s">
        <v>470</v>
      </c>
      <c r="E143" s="4">
        <f>HLOOKUP($D$4,'Bourgeoisie investissement'!$E$3:$R$184,138,0)</f>
        <v>0</v>
      </c>
    </row>
    <row r="144" spans="2:5" x14ac:dyDescent="0.25">
      <c r="C144">
        <v>655</v>
      </c>
      <c r="D144" t="s">
        <v>471</v>
      </c>
      <c r="E144" s="4">
        <f>HLOOKUP($D$4,'Bourgeoisie investissement'!$E$3:$R$184,139,0)</f>
        <v>0</v>
      </c>
    </row>
    <row r="145" spans="2:5" x14ac:dyDescent="0.25">
      <c r="C145">
        <v>656</v>
      </c>
      <c r="D145" t="s">
        <v>472</v>
      </c>
      <c r="E145" s="4">
        <f>HLOOKUP($D$4,'Bourgeoisie investissement'!$E$3:$R$184,140,0)</f>
        <v>0</v>
      </c>
    </row>
    <row r="146" spans="2:5" x14ac:dyDescent="0.25">
      <c r="C146">
        <v>657</v>
      </c>
      <c r="D146" t="s">
        <v>473</v>
      </c>
      <c r="E146" s="4">
        <f>HLOOKUP($D$4,'Bourgeoisie investissement'!$E$3:$R$184,141,0)</f>
        <v>0</v>
      </c>
    </row>
    <row r="147" spans="2:5" x14ac:dyDescent="0.25">
      <c r="C147">
        <v>658</v>
      </c>
      <c r="D147" t="s">
        <v>474</v>
      </c>
      <c r="E147" s="4">
        <f>HLOOKUP($D$4,'Bourgeoisie investissement'!$E$3:$R$184,142,0)</f>
        <v>0</v>
      </c>
    </row>
    <row r="148" spans="2:5" x14ac:dyDescent="0.25">
      <c r="E148" s="4"/>
    </row>
    <row r="149" spans="2:5" x14ac:dyDescent="0.25">
      <c r="B149" s="87">
        <v>66</v>
      </c>
      <c r="C149" s="87"/>
      <c r="D149" s="87" t="s">
        <v>488</v>
      </c>
      <c r="E149" s="85">
        <f>HLOOKUP($D$4,'Bourgeoisie investissement'!$E$3:$R$184,144,0)</f>
        <v>0</v>
      </c>
    </row>
    <row r="150" spans="2:5" x14ac:dyDescent="0.25">
      <c r="C150">
        <v>660</v>
      </c>
      <c r="D150" t="s">
        <v>466</v>
      </c>
      <c r="E150" s="4">
        <f>HLOOKUP($D$4,'Bourgeoisie investissement'!$E$3:$R$184,145,0)</f>
        <v>0</v>
      </c>
    </row>
    <row r="151" spans="2:5" x14ac:dyDescent="0.25">
      <c r="C151">
        <v>661</v>
      </c>
      <c r="D151" t="s">
        <v>467</v>
      </c>
      <c r="E151" s="4">
        <f>HLOOKUP($D$4,'Bourgeoisie investissement'!$E$3:$R$184,146,0)</f>
        <v>0</v>
      </c>
    </row>
    <row r="152" spans="2:5" x14ac:dyDescent="0.25">
      <c r="C152">
        <v>662</v>
      </c>
      <c r="D152" t="s">
        <v>468</v>
      </c>
      <c r="E152" s="4">
        <f>HLOOKUP($D$4,'Bourgeoisie investissement'!$E$3:$R$184,147,0)</f>
        <v>0</v>
      </c>
    </row>
    <row r="153" spans="2:5" x14ac:dyDescent="0.25">
      <c r="C153">
        <v>663</v>
      </c>
      <c r="D153" t="s">
        <v>469</v>
      </c>
      <c r="E153" s="4">
        <f>HLOOKUP($D$4,'Bourgeoisie investissement'!$E$3:$R$184,148,0)</f>
        <v>0</v>
      </c>
    </row>
    <row r="154" spans="2:5" x14ac:dyDescent="0.25">
      <c r="C154">
        <v>664</v>
      </c>
      <c r="D154" t="s">
        <v>470</v>
      </c>
      <c r="E154" s="4">
        <f>HLOOKUP($D$4,'Bourgeoisie investissement'!$E$3:$R$184,149,0)</f>
        <v>0</v>
      </c>
    </row>
    <row r="155" spans="2:5" x14ac:dyDescent="0.25">
      <c r="C155">
        <v>665</v>
      </c>
      <c r="D155" t="s">
        <v>471</v>
      </c>
      <c r="E155" s="4">
        <f>HLOOKUP($D$4,'Bourgeoisie investissement'!$E$3:$R$184,150,0)</f>
        <v>0</v>
      </c>
    </row>
    <row r="156" spans="2:5" x14ac:dyDescent="0.25">
      <c r="C156">
        <v>666</v>
      </c>
      <c r="D156" t="s">
        <v>472</v>
      </c>
      <c r="E156" s="4">
        <f>HLOOKUP($D$4,'Bourgeoisie investissement'!$E$3:$R$184,151,0)</f>
        <v>0</v>
      </c>
    </row>
    <row r="157" spans="2:5" x14ac:dyDescent="0.25">
      <c r="C157">
        <v>667</v>
      </c>
      <c r="D157" t="s">
        <v>473</v>
      </c>
      <c r="E157" s="4">
        <f>HLOOKUP($D$4,'Bourgeoisie investissement'!$E$3:$R$184,152,0)</f>
        <v>0</v>
      </c>
    </row>
    <row r="158" spans="2:5" x14ac:dyDescent="0.25">
      <c r="C158">
        <v>668</v>
      </c>
      <c r="D158" t="s">
        <v>474</v>
      </c>
      <c r="E158" s="4">
        <f>HLOOKUP($D$4,'Bourgeoisie investissement'!$E$3:$R$184,153,0)</f>
        <v>0</v>
      </c>
    </row>
    <row r="159" spans="2:5" x14ac:dyDescent="0.25">
      <c r="E159" s="4"/>
    </row>
    <row r="160" spans="2:5" x14ac:dyDescent="0.25">
      <c r="B160" s="87">
        <v>67</v>
      </c>
      <c r="C160" s="87"/>
      <c r="D160" s="87" t="s">
        <v>476</v>
      </c>
      <c r="E160" s="85">
        <f>HLOOKUP($D$4,'Bourgeoisie investissement'!$E$3:$R$184,155,0)</f>
        <v>0</v>
      </c>
    </row>
    <row r="161" spans="2:5" x14ac:dyDescent="0.25">
      <c r="C161">
        <v>670</v>
      </c>
      <c r="D161" t="s">
        <v>466</v>
      </c>
      <c r="E161" s="4">
        <f>HLOOKUP($D$4,'Bourgeoisie investissement'!$E$3:$R$184,156,0)</f>
        <v>0</v>
      </c>
    </row>
    <row r="162" spans="2:5" x14ac:dyDescent="0.25">
      <c r="C162">
        <v>671</v>
      </c>
      <c r="D162" t="s">
        <v>467</v>
      </c>
      <c r="E162" s="4">
        <f>HLOOKUP($D$4,'Bourgeoisie investissement'!$E$3:$R$184,157,0)</f>
        <v>0</v>
      </c>
    </row>
    <row r="163" spans="2:5" x14ac:dyDescent="0.25">
      <c r="C163">
        <v>672</v>
      </c>
      <c r="D163" t="s">
        <v>468</v>
      </c>
      <c r="E163" s="4">
        <f>HLOOKUP($D$4,'Bourgeoisie investissement'!$E$3:$R$184,158,0)</f>
        <v>0</v>
      </c>
    </row>
    <row r="164" spans="2:5" x14ac:dyDescent="0.25">
      <c r="C164">
        <v>673</v>
      </c>
      <c r="D164" t="s">
        <v>469</v>
      </c>
      <c r="E164" s="4">
        <f>HLOOKUP($D$4,'Bourgeoisie investissement'!$E$3:$R$184,159,0)</f>
        <v>0</v>
      </c>
    </row>
    <row r="165" spans="2:5" x14ac:dyDescent="0.25">
      <c r="C165">
        <v>674</v>
      </c>
      <c r="D165" t="s">
        <v>470</v>
      </c>
      <c r="E165" s="4">
        <f>HLOOKUP($D$4,'Bourgeoisie investissement'!$E$3:$R$184,160,0)</f>
        <v>0</v>
      </c>
    </row>
    <row r="166" spans="2:5" x14ac:dyDescent="0.25">
      <c r="C166">
        <v>675</v>
      </c>
      <c r="D166" t="s">
        <v>471</v>
      </c>
      <c r="E166" s="4">
        <f>HLOOKUP($D$4,'Bourgeoisie investissement'!$E$3:$R$184,161,0)</f>
        <v>0</v>
      </c>
    </row>
    <row r="167" spans="2:5" x14ac:dyDescent="0.25">
      <c r="C167">
        <v>676</v>
      </c>
      <c r="D167" t="s">
        <v>472</v>
      </c>
      <c r="E167" s="4">
        <f>HLOOKUP($D$4,'Bourgeoisie investissement'!$E$3:$R$184,162,0)</f>
        <v>0</v>
      </c>
    </row>
    <row r="168" spans="2:5" x14ac:dyDescent="0.25">
      <c r="C168">
        <v>677</v>
      </c>
      <c r="D168" t="s">
        <v>473</v>
      </c>
      <c r="E168" s="4">
        <f>HLOOKUP($D$4,'Bourgeoisie investissement'!$E$3:$R$184,163,0)</f>
        <v>0</v>
      </c>
    </row>
    <row r="169" spans="2:5" x14ac:dyDescent="0.25">
      <c r="C169">
        <v>678</v>
      </c>
      <c r="D169" t="s">
        <v>474</v>
      </c>
      <c r="E169" s="4">
        <f>HLOOKUP($D$4,'Bourgeoisie investissement'!$E$3:$R$184,164,0)</f>
        <v>0</v>
      </c>
    </row>
    <row r="170" spans="2:5" x14ac:dyDescent="0.25">
      <c r="E170" s="4"/>
    </row>
    <row r="171" spans="2:5" x14ac:dyDescent="0.25">
      <c r="B171" s="87">
        <v>68</v>
      </c>
      <c r="C171" s="87"/>
      <c r="D171" s="87" t="s">
        <v>489</v>
      </c>
      <c r="E171" s="85">
        <f>HLOOKUP($D$4,'Bourgeoisie investissement'!$E$3:$R$184,166,0)</f>
        <v>0</v>
      </c>
    </row>
    <row r="172" spans="2:5" x14ac:dyDescent="0.25">
      <c r="C172">
        <v>680</v>
      </c>
      <c r="D172" t="s">
        <v>454</v>
      </c>
      <c r="E172" s="4">
        <f>HLOOKUP($D$4,'Bourgeoisie investissement'!$E$3:$R$184,167,0)</f>
        <v>0</v>
      </c>
    </row>
    <row r="173" spans="2:5" x14ac:dyDescent="0.25">
      <c r="C173">
        <v>682</v>
      </c>
      <c r="D173" t="s">
        <v>464</v>
      </c>
      <c r="E173" s="4">
        <f>HLOOKUP($D$4,'Bourgeoisie investissement'!$E$3:$R$184,168,0)</f>
        <v>0</v>
      </c>
    </row>
    <row r="174" spans="2:5" x14ac:dyDescent="0.25">
      <c r="C174">
        <v>683</v>
      </c>
      <c r="D174" t="s">
        <v>490</v>
      </c>
      <c r="E174" s="4">
        <f>HLOOKUP($D$4,'Bourgeoisie investissement'!$E$3:$R$184,169,0)</f>
        <v>0</v>
      </c>
    </row>
    <row r="175" spans="2:5" x14ac:dyDescent="0.25">
      <c r="C175">
        <v>684</v>
      </c>
      <c r="D175" t="s">
        <v>250</v>
      </c>
      <c r="E175" s="4">
        <f>HLOOKUP($D$4,'Bourgeoisie investissement'!$E$3:$R$184,170,0)</f>
        <v>0</v>
      </c>
    </row>
    <row r="176" spans="2:5" x14ac:dyDescent="0.25">
      <c r="C176">
        <v>685</v>
      </c>
      <c r="D176" t="s">
        <v>379</v>
      </c>
      <c r="E176" s="4">
        <f>HLOOKUP($D$4,'Bourgeoisie investissement'!$E$3:$R$184,171,0)</f>
        <v>0</v>
      </c>
    </row>
    <row r="177" spans="2:5" x14ac:dyDescent="0.25">
      <c r="C177">
        <v>686</v>
      </c>
      <c r="D177" t="s">
        <v>491</v>
      </c>
      <c r="E177" s="4">
        <f>HLOOKUP($D$4,'Bourgeoisie investissement'!$E$3:$R$184,172,0)</f>
        <v>0</v>
      </c>
    </row>
    <row r="178" spans="2:5" x14ac:dyDescent="0.25">
      <c r="C178">
        <v>689</v>
      </c>
      <c r="D178" t="s">
        <v>492</v>
      </c>
      <c r="E178" s="4">
        <f>HLOOKUP($D$4,'Bourgeoisie investissement'!$E$3:$R$184,173,0)</f>
        <v>0</v>
      </c>
    </row>
    <row r="179" spans="2:5" x14ac:dyDescent="0.25">
      <c r="E179" s="4"/>
    </row>
    <row r="180" spans="2:5" x14ac:dyDescent="0.25">
      <c r="B180" s="87">
        <v>69</v>
      </c>
      <c r="C180" s="87"/>
      <c r="D180" s="87" t="s">
        <v>493</v>
      </c>
      <c r="E180" s="85">
        <f>HLOOKUP($D$4,'Bourgeoisie investissement'!$E$3:$R$184,175,0)</f>
        <v>0</v>
      </c>
    </row>
    <row r="181" spans="2:5" x14ac:dyDescent="0.25">
      <c r="C181">
        <v>690</v>
      </c>
      <c r="D181" t="s">
        <v>493</v>
      </c>
      <c r="E181" s="4">
        <f>HLOOKUP($D$4,'Bourgeoisie investissement'!$E$3:$R$184,176,0)</f>
        <v>0</v>
      </c>
    </row>
    <row r="182" spans="2:5" x14ac:dyDescent="0.25">
      <c r="E182" s="4"/>
    </row>
    <row r="183" spans="2:5" x14ac:dyDescent="0.25">
      <c r="E183" s="4"/>
    </row>
    <row r="184" spans="2:5" x14ac:dyDescent="0.25">
      <c r="E184" s="4"/>
    </row>
    <row r="185" spans="2:5" ht="18.75" x14ac:dyDescent="0.3">
      <c r="D185" s="155" t="s">
        <v>221</v>
      </c>
      <c r="E185" s="156">
        <f>HLOOKUP($D$4,'Bourgeoisie investissement'!$E$3:$R$184,180,0)</f>
        <v>-94682.25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200-000000000000}">
          <x14:formula1>
            <xm:f>'Bourgeoisie investissement'!$E$3:$R$3</xm:f>
          </x14:formula1>
          <xm:sqref>D4</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FF0000"/>
  </sheetPr>
  <dimension ref="A1:AG169"/>
  <sheetViews>
    <sheetView zoomScaleNormal="100" workbookViewId="0">
      <pane xSplit="4" ySplit="3" topLeftCell="AE142" activePane="bottomRight" state="frozen"/>
      <selection pane="topRight" activeCell="E1" sqref="E1"/>
      <selection pane="bottomLeft" activeCell="A4" sqref="A4"/>
      <selection pane="bottomRight" activeCell="AE157" sqref="AE157"/>
    </sheetView>
  </sheetViews>
  <sheetFormatPr baseColWidth="10" defaultColWidth="11.42578125" defaultRowHeight="15" x14ac:dyDescent="0.25"/>
  <cols>
    <col min="1" max="2" width="5.7109375" customWidth="1"/>
    <col min="3" max="3" width="9" customWidth="1"/>
    <col min="4" max="4" width="63.5703125" customWidth="1"/>
    <col min="5" max="32" width="16.28515625" customWidth="1"/>
  </cols>
  <sheetData>
    <row r="1" spans="1:33" ht="26.25" x14ac:dyDescent="0.4">
      <c r="A1" s="32" t="s">
        <v>837</v>
      </c>
      <c r="B1" s="7"/>
      <c r="C1" s="7"/>
      <c r="D1" s="7"/>
    </row>
    <row r="2" spans="1:33" ht="21" x14ac:dyDescent="0.35">
      <c r="A2" s="167" t="s">
        <v>747</v>
      </c>
      <c r="E2" s="45">
        <v>1</v>
      </c>
      <c r="F2" s="45">
        <v>2</v>
      </c>
      <c r="G2" s="45">
        <v>3</v>
      </c>
      <c r="H2" s="45">
        <v>4</v>
      </c>
      <c r="I2" s="45">
        <v>5</v>
      </c>
      <c r="J2" s="45">
        <v>6</v>
      </c>
      <c r="K2" s="45">
        <v>7</v>
      </c>
      <c r="L2" s="45">
        <v>8</v>
      </c>
      <c r="M2" s="45">
        <v>9</v>
      </c>
      <c r="N2" s="45">
        <v>10</v>
      </c>
      <c r="O2" s="45">
        <v>11</v>
      </c>
      <c r="P2" s="45">
        <v>12</v>
      </c>
      <c r="Q2" s="45">
        <v>13</v>
      </c>
      <c r="R2" s="45">
        <v>14</v>
      </c>
      <c r="S2" s="45">
        <v>15</v>
      </c>
      <c r="T2" s="45">
        <v>16</v>
      </c>
      <c r="U2" s="45">
        <v>17</v>
      </c>
      <c r="V2" s="45">
        <v>18</v>
      </c>
      <c r="W2" s="45">
        <v>19</v>
      </c>
      <c r="X2" s="45">
        <v>20</v>
      </c>
      <c r="Y2" s="45">
        <v>21</v>
      </c>
      <c r="Z2" s="45">
        <v>22</v>
      </c>
      <c r="AA2" s="45">
        <v>23</v>
      </c>
      <c r="AB2" s="45">
        <v>24</v>
      </c>
      <c r="AC2" s="45">
        <v>25</v>
      </c>
      <c r="AD2" s="45">
        <v>26</v>
      </c>
      <c r="AE2" s="45">
        <v>27</v>
      </c>
      <c r="AF2" s="45"/>
    </row>
    <row r="3" spans="1:33" x14ac:dyDescent="0.25">
      <c r="E3" s="169" t="s">
        <v>801</v>
      </c>
      <c r="F3" s="169" t="s">
        <v>802</v>
      </c>
      <c r="G3" s="169" t="s">
        <v>803</v>
      </c>
      <c r="H3" s="169" t="s">
        <v>804</v>
      </c>
      <c r="I3" s="169" t="s">
        <v>805</v>
      </c>
      <c r="J3" s="169" t="s">
        <v>806</v>
      </c>
      <c r="K3" s="169" t="s">
        <v>807</v>
      </c>
      <c r="L3" s="169" t="s">
        <v>830</v>
      </c>
      <c r="M3" s="169" t="s">
        <v>808</v>
      </c>
      <c r="N3" s="169" t="s">
        <v>809</v>
      </c>
      <c r="O3" s="169" t="s">
        <v>810</v>
      </c>
      <c r="P3" s="169" t="s">
        <v>811</v>
      </c>
      <c r="Q3" s="169" t="s">
        <v>812</v>
      </c>
      <c r="R3" s="169" t="s">
        <v>813</v>
      </c>
      <c r="S3" s="169" t="s">
        <v>814</v>
      </c>
      <c r="T3" s="169" t="s">
        <v>815</v>
      </c>
      <c r="U3" s="169" t="s">
        <v>816</v>
      </c>
      <c r="V3" s="169" t="s">
        <v>817</v>
      </c>
      <c r="W3" s="169" t="s">
        <v>818</v>
      </c>
      <c r="X3" s="169" t="s">
        <v>819</v>
      </c>
      <c r="Y3" s="169" t="s">
        <v>820</v>
      </c>
      <c r="Z3" s="169" t="s">
        <v>821</v>
      </c>
      <c r="AA3" s="169" t="s">
        <v>822</v>
      </c>
      <c r="AB3" s="169" t="s">
        <v>823</v>
      </c>
      <c r="AC3" s="169" t="s">
        <v>824</v>
      </c>
      <c r="AD3" s="169" t="s">
        <v>825</v>
      </c>
      <c r="AE3" s="169" t="s">
        <v>826</v>
      </c>
      <c r="AF3" s="169" t="s">
        <v>65</v>
      </c>
      <c r="AG3">
        <v>1</v>
      </c>
    </row>
    <row r="4" spans="1:33" ht="21" x14ac:dyDescent="0.35">
      <c r="A4" s="74">
        <v>3</v>
      </c>
      <c r="B4" s="74"/>
      <c r="C4" s="74"/>
      <c r="D4" s="74" t="s">
        <v>60</v>
      </c>
      <c r="E4" s="75">
        <f>E5+E15+E27+E31+E39+E43+E53+E56+E64</f>
        <v>698743.39000000013</v>
      </c>
      <c r="F4" s="75">
        <f t="shared" ref="F4:AF4" si="0">F5+F15+F27+F31+F39+F43+F53+F56+F64</f>
        <v>3073878.0900000003</v>
      </c>
      <c r="G4" s="75">
        <f t="shared" si="0"/>
        <v>84514</v>
      </c>
      <c r="H4" s="75">
        <f t="shared" si="0"/>
        <v>9526759.3399999999</v>
      </c>
      <c r="I4" s="75">
        <f t="shared" si="0"/>
        <v>103325</v>
      </c>
      <c r="J4" s="75">
        <f t="shared" si="0"/>
        <v>1032237.59</v>
      </c>
      <c r="K4" s="75">
        <f t="shared" si="0"/>
        <v>2264676.19</v>
      </c>
      <c r="L4" s="75">
        <f t="shared" si="0"/>
        <v>540179.04</v>
      </c>
      <c r="M4" s="75">
        <f t="shared" si="0"/>
        <v>248144.8</v>
      </c>
      <c r="N4" s="75">
        <f t="shared" si="0"/>
        <v>281929.3</v>
      </c>
      <c r="O4" s="75">
        <f t="shared" si="0"/>
        <v>2269483.1199999996</v>
      </c>
      <c r="P4" s="75">
        <f t="shared" si="0"/>
        <v>0</v>
      </c>
      <c r="Q4" s="75">
        <f t="shared" si="0"/>
        <v>7320.95</v>
      </c>
      <c r="R4" s="75">
        <f t="shared" si="0"/>
        <v>43500.15</v>
      </c>
      <c r="S4" s="75">
        <f t="shared" si="0"/>
        <v>4598.3</v>
      </c>
      <c r="T4" s="75">
        <f t="shared" si="0"/>
        <v>0</v>
      </c>
      <c r="U4" s="75">
        <f t="shared" si="0"/>
        <v>184851.99</v>
      </c>
      <c r="V4" s="75">
        <f t="shared" si="0"/>
        <v>627017.57999999996</v>
      </c>
      <c r="W4" s="75">
        <f t="shared" si="0"/>
        <v>42918.749999999993</v>
      </c>
      <c r="X4" s="75">
        <f t="shared" si="0"/>
        <v>958298.04</v>
      </c>
      <c r="Y4" s="75">
        <f t="shared" si="0"/>
        <v>4720114.8600000003</v>
      </c>
      <c r="Z4" s="75">
        <f t="shared" si="0"/>
        <v>420853.09</v>
      </c>
      <c r="AA4" s="75">
        <f t="shared" si="0"/>
        <v>1573401.21</v>
      </c>
      <c r="AB4" s="75">
        <f t="shared" si="0"/>
        <v>0</v>
      </c>
      <c r="AC4" s="75">
        <f t="shared" si="0"/>
        <v>132117.85</v>
      </c>
      <c r="AD4" s="75">
        <f t="shared" si="0"/>
        <v>3101672.9299999997</v>
      </c>
      <c r="AE4" s="75">
        <f t="shared" si="0"/>
        <v>359411.53</v>
      </c>
      <c r="AF4" s="75">
        <f t="shared" si="0"/>
        <v>32299947.090000004</v>
      </c>
      <c r="AG4">
        <v>2</v>
      </c>
    </row>
    <row r="5" spans="1:33" x14ac:dyDescent="0.25">
      <c r="A5" s="76"/>
      <c r="B5" s="76">
        <v>30</v>
      </c>
      <c r="C5" s="76"/>
      <c r="D5" s="76" t="s">
        <v>61</v>
      </c>
      <c r="E5" s="77">
        <f>E6+E7+E8+E9+E10+E11+E12+E13</f>
        <v>202755.05</v>
      </c>
      <c r="F5" s="77">
        <f t="shared" ref="F5:AF5" si="1">F6+F7+F8+F9+F10+F11+F12+F13</f>
        <v>590415.15</v>
      </c>
      <c r="G5" s="77">
        <f t="shared" si="1"/>
        <v>15673.85</v>
      </c>
      <c r="H5" s="77">
        <f t="shared" si="1"/>
        <v>499046.55</v>
      </c>
      <c r="I5" s="77">
        <f t="shared" si="1"/>
        <v>1758.15</v>
      </c>
      <c r="J5" s="77">
        <f t="shared" si="1"/>
        <v>185160.9</v>
      </c>
      <c r="K5" s="77">
        <f t="shared" si="1"/>
        <v>520072.8</v>
      </c>
      <c r="L5" s="77">
        <f t="shared" si="1"/>
        <v>130556.1</v>
      </c>
      <c r="M5" s="77">
        <f t="shared" si="1"/>
        <v>58335.399999999994</v>
      </c>
      <c r="N5" s="77">
        <f t="shared" si="1"/>
        <v>19792.650000000001</v>
      </c>
      <c r="O5" s="77">
        <f t="shared" si="1"/>
        <v>566312.79999999993</v>
      </c>
      <c r="P5" s="77">
        <f t="shared" si="1"/>
        <v>0</v>
      </c>
      <c r="Q5" s="77">
        <f t="shared" si="1"/>
        <v>2125</v>
      </c>
      <c r="R5" s="77">
        <f t="shared" si="1"/>
        <v>13546.2</v>
      </c>
      <c r="S5" s="77">
        <f t="shared" si="1"/>
        <v>1975.95</v>
      </c>
      <c r="T5" s="77">
        <f t="shared" si="1"/>
        <v>0</v>
      </c>
      <c r="U5" s="77">
        <f t="shared" si="1"/>
        <v>14412.35</v>
      </c>
      <c r="V5" s="77">
        <f t="shared" si="1"/>
        <v>104133.85</v>
      </c>
      <c r="W5" s="77">
        <f t="shared" si="1"/>
        <v>42918.749999999993</v>
      </c>
      <c r="X5" s="77">
        <f t="shared" si="1"/>
        <v>80201.400000000009</v>
      </c>
      <c r="Y5" s="77">
        <f t="shared" si="1"/>
        <v>1009703.75</v>
      </c>
      <c r="Z5" s="77">
        <f t="shared" si="1"/>
        <v>43813.599999999999</v>
      </c>
      <c r="AA5" s="77">
        <f t="shared" si="1"/>
        <v>379552.05</v>
      </c>
      <c r="AB5" s="77">
        <f t="shared" si="1"/>
        <v>0</v>
      </c>
      <c r="AC5" s="77">
        <f t="shared" si="1"/>
        <v>15174.75</v>
      </c>
      <c r="AD5" s="77">
        <f t="shared" si="1"/>
        <v>716473.45</v>
      </c>
      <c r="AE5" s="77">
        <f t="shared" si="1"/>
        <v>35560.65</v>
      </c>
      <c r="AF5" s="77">
        <f t="shared" si="1"/>
        <v>5249471.1500000004</v>
      </c>
      <c r="AG5">
        <v>3</v>
      </c>
    </row>
    <row r="6" spans="1:33" x14ac:dyDescent="0.25">
      <c r="C6">
        <v>300</v>
      </c>
      <c r="D6" t="s">
        <v>80</v>
      </c>
      <c r="E6" s="4">
        <v>11660</v>
      </c>
      <c r="F6" s="4">
        <v>16100</v>
      </c>
      <c r="G6" s="4">
        <v>1625</v>
      </c>
      <c r="H6" s="4">
        <v>30363.4</v>
      </c>
      <c r="I6" s="4">
        <v>0</v>
      </c>
      <c r="J6" s="4">
        <v>5480</v>
      </c>
      <c r="K6" s="4">
        <v>11200</v>
      </c>
      <c r="L6" s="4">
        <v>14247.9</v>
      </c>
      <c r="M6" s="4">
        <v>6490</v>
      </c>
      <c r="N6" s="4">
        <v>7015.8</v>
      </c>
      <c r="O6" s="4">
        <v>7600</v>
      </c>
      <c r="P6" s="4"/>
      <c r="Q6" s="4">
        <v>150</v>
      </c>
      <c r="R6" s="4">
        <v>420</v>
      </c>
      <c r="S6" s="4">
        <v>1375.95</v>
      </c>
      <c r="T6" s="4"/>
      <c r="U6" s="4">
        <v>8532.5</v>
      </c>
      <c r="V6" s="4">
        <v>3262</v>
      </c>
      <c r="W6" s="4">
        <v>3124.35</v>
      </c>
      <c r="X6" s="4">
        <v>20495.900000000001</v>
      </c>
      <c r="Y6" s="4">
        <v>56100</v>
      </c>
      <c r="Z6" s="4">
        <v>7792.05</v>
      </c>
      <c r="AA6" s="4">
        <v>23581.15</v>
      </c>
      <c r="AB6" s="4"/>
      <c r="AC6" s="4">
        <v>5954.1</v>
      </c>
      <c r="AD6" s="4">
        <v>5802.3</v>
      </c>
      <c r="AE6" s="4">
        <v>3150</v>
      </c>
      <c r="AF6" s="4">
        <f t="shared" ref="AF6:AF13" si="2">SUM(E6:AE6)</f>
        <v>251522.39999999997</v>
      </c>
      <c r="AG6">
        <v>4</v>
      </c>
    </row>
    <row r="7" spans="1:33" x14ac:dyDescent="0.25">
      <c r="C7">
        <v>301</v>
      </c>
      <c r="D7" t="s">
        <v>81</v>
      </c>
      <c r="E7" s="4">
        <v>152899.79999999999</v>
      </c>
      <c r="F7" s="4">
        <v>435110.2</v>
      </c>
      <c r="G7" s="4">
        <v>12700</v>
      </c>
      <c r="H7" s="4">
        <v>346152.3</v>
      </c>
      <c r="I7" s="4">
        <v>1758.15</v>
      </c>
      <c r="J7" s="4">
        <v>156639.75</v>
      </c>
      <c r="K7" s="4">
        <v>423625.55</v>
      </c>
      <c r="L7" s="4">
        <v>94508.800000000003</v>
      </c>
      <c r="M7" s="4">
        <v>44231.7</v>
      </c>
      <c r="N7" s="4">
        <v>4000</v>
      </c>
      <c r="O7" s="4">
        <v>466365.7</v>
      </c>
      <c r="P7" s="4"/>
      <c r="Q7" s="4">
        <v>1975</v>
      </c>
      <c r="R7" s="4">
        <v>11840</v>
      </c>
      <c r="S7" s="4">
        <v>600</v>
      </c>
      <c r="T7" s="4"/>
      <c r="U7" s="4">
        <v>4400</v>
      </c>
      <c r="V7" s="4">
        <v>81266.95</v>
      </c>
      <c r="W7" s="4">
        <v>1650</v>
      </c>
      <c r="X7" s="4">
        <v>53900.65</v>
      </c>
      <c r="Y7" s="4">
        <v>782171.15</v>
      </c>
      <c r="Z7" s="4">
        <v>32444.1</v>
      </c>
      <c r="AA7" s="4">
        <v>294382.05</v>
      </c>
      <c r="AB7" s="4"/>
      <c r="AC7" s="4">
        <v>7556.25</v>
      </c>
      <c r="AD7" s="4">
        <v>577367.69999999995</v>
      </c>
      <c r="AE7" s="4">
        <v>26831.25</v>
      </c>
      <c r="AF7" s="4">
        <f t="shared" si="2"/>
        <v>4014377.05</v>
      </c>
      <c r="AG7">
        <v>5</v>
      </c>
    </row>
    <row r="8" spans="1:33" x14ac:dyDescent="0.25">
      <c r="C8">
        <v>302</v>
      </c>
      <c r="D8" t="s">
        <v>82</v>
      </c>
      <c r="E8" s="4">
        <v>0</v>
      </c>
      <c r="F8" s="4">
        <v>0</v>
      </c>
      <c r="G8" s="4">
        <v>0</v>
      </c>
      <c r="H8" s="4">
        <v>0</v>
      </c>
      <c r="I8" s="4">
        <v>0</v>
      </c>
      <c r="J8" s="4">
        <v>0</v>
      </c>
      <c r="K8" s="4">
        <v>0</v>
      </c>
      <c r="L8" s="4">
        <v>0</v>
      </c>
      <c r="M8" s="4">
        <v>0</v>
      </c>
      <c r="N8" s="4">
        <v>0</v>
      </c>
      <c r="O8" s="4">
        <v>0</v>
      </c>
      <c r="P8" s="4"/>
      <c r="Q8" s="4">
        <v>0</v>
      </c>
      <c r="R8" s="4">
        <v>0</v>
      </c>
      <c r="S8" s="4">
        <v>0</v>
      </c>
      <c r="T8" s="4"/>
      <c r="U8" s="4">
        <v>0</v>
      </c>
      <c r="V8" s="4">
        <v>0</v>
      </c>
      <c r="W8" s="4">
        <v>31412.29</v>
      </c>
      <c r="X8" s="4">
        <v>0</v>
      </c>
      <c r="Y8" s="4">
        <v>0</v>
      </c>
      <c r="Z8" s="4">
        <v>0</v>
      </c>
      <c r="AA8" s="4">
        <v>0</v>
      </c>
      <c r="AB8" s="4"/>
      <c r="AC8" s="4">
        <v>0</v>
      </c>
      <c r="AD8" s="4">
        <v>0</v>
      </c>
      <c r="AE8" s="4">
        <v>0</v>
      </c>
      <c r="AF8" s="4">
        <f t="shared" si="2"/>
        <v>31412.29</v>
      </c>
      <c r="AG8">
        <v>6</v>
      </c>
    </row>
    <row r="9" spans="1:33" x14ac:dyDescent="0.25">
      <c r="C9">
        <v>303</v>
      </c>
      <c r="D9" t="s">
        <v>83</v>
      </c>
      <c r="E9" s="4">
        <v>0</v>
      </c>
      <c r="F9" s="4">
        <v>0</v>
      </c>
      <c r="G9" s="4">
        <v>0</v>
      </c>
      <c r="H9" s="4">
        <v>20261.849999999999</v>
      </c>
      <c r="I9" s="4">
        <v>0</v>
      </c>
      <c r="J9" s="4">
        <v>0</v>
      </c>
      <c r="K9" s="4">
        <v>0</v>
      </c>
      <c r="L9" s="4">
        <v>0</v>
      </c>
      <c r="M9" s="4">
        <v>0</v>
      </c>
      <c r="N9" s="4">
        <v>0</v>
      </c>
      <c r="O9" s="4">
        <v>0</v>
      </c>
      <c r="P9" s="4"/>
      <c r="Q9" s="4">
        <v>0</v>
      </c>
      <c r="R9" s="4">
        <v>0</v>
      </c>
      <c r="S9" s="4">
        <v>0</v>
      </c>
      <c r="T9" s="4"/>
      <c r="U9" s="4">
        <v>0</v>
      </c>
      <c r="V9" s="4">
        <v>0</v>
      </c>
      <c r="W9" s="4">
        <v>0</v>
      </c>
      <c r="X9" s="4">
        <v>0</v>
      </c>
      <c r="Y9" s="4">
        <v>0</v>
      </c>
      <c r="Z9" s="4">
        <v>0</v>
      </c>
      <c r="AA9" s="4">
        <v>0</v>
      </c>
      <c r="AB9" s="4"/>
      <c r="AC9" s="4">
        <v>0</v>
      </c>
      <c r="AD9" s="4">
        <v>0</v>
      </c>
      <c r="AE9" s="4">
        <v>0</v>
      </c>
      <c r="AF9" s="4">
        <f t="shared" si="2"/>
        <v>20261.849999999999</v>
      </c>
      <c r="AG9">
        <v>7</v>
      </c>
    </row>
    <row r="10" spans="1:33" x14ac:dyDescent="0.25">
      <c r="C10">
        <v>304</v>
      </c>
      <c r="D10" t="s">
        <v>583</v>
      </c>
      <c r="E10" s="4">
        <v>0</v>
      </c>
      <c r="F10" s="4">
        <v>0</v>
      </c>
      <c r="G10" s="4">
        <v>0</v>
      </c>
      <c r="H10" s="4">
        <v>0</v>
      </c>
      <c r="I10" s="4">
        <v>0</v>
      </c>
      <c r="J10" s="4">
        <v>0</v>
      </c>
      <c r="K10" s="4">
        <v>0</v>
      </c>
      <c r="L10" s="4">
        <v>0</v>
      </c>
      <c r="M10" s="4">
        <v>0</v>
      </c>
      <c r="N10" s="4">
        <v>0</v>
      </c>
      <c r="O10" s="4">
        <v>0</v>
      </c>
      <c r="P10" s="4"/>
      <c r="Q10" s="4">
        <v>0</v>
      </c>
      <c r="R10" s="4">
        <v>0</v>
      </c>
      <c r="S10" s="4">
        <v>0</v>
      </c>
      <c r="T10" s="4"/>
      <c r="U10" s="4">
        <v>0</v>
      </c>
      <c r="V10" s="4">
        <v>0</v>
      </c>
      <c r="W10" s="4">
        <v>0</v>
      </c>
      <c r="X10" s="4">
        <v>0</v>
      </c>
      <c r="Y10" s="4">
        <v>0</v>
      </c>
      <c r="Z10" s="4">
        <v>0</v>
      </c>
      <c r="AA10" s="4">
        <v>0</v>
      </c>
      <c r="AB10" s="4"/>
      <c r="AC10" s="4">
        <v>0</v>
      </c>
      <c r="AD10" s="4">
        <v>0</v>
      </c>
      <c r="AE10" s="4">
        <v>550</v>
      </c>
      <c r="AF10" s="4">
        <f t="shared" si="2"/>
        <v>550</v>
      </c>
      <c r="AG10">
        <v>8</v>
      </c>
    </row>
    <row r="11" spans="1:33" x14ac:dyDescent="0.25">
      <c r="C11">
        <v>305</v>
      </c>
      <c r="D11" t="s">
        <v>84</v>
      </c>
      <c r="E11" s="4">
        <v>31275.05</v>
      </c>
      <c r="F11" s="4">
        <v>131240.1</v>
      </c>
      <c r="G11" s="4">
        <v>374.6</v>
      </c>
      <c r="H11" s="4">
        <v>95506.05</v>
      </c>
      <c r="I11" s="4">
        <v>0</v>
      </c>
      <c r="J11" s="4">
        <v>20886.55</v>
      </c>
      <c r="K11" s="4">
        <v>85247.25</v>
      </c>
      <c r="L11" s="4">
        <v>21275.15</v>
      </c>
      <c r="M11" s="4">
        <v>5949.85</v>
      </c>
      <c r="N11" s="4">
        <v>473.4</v>
      </c>
      <c r="O11" s="4">
        <v>84388.65</v>
      </c>
      <c r="P11" s="4"/>
      <c r="Q11" s="4">
        <v>0</v>
      </c>
      <c r="R11" s="4">
        <v>1286.2</v>
      </c>
      <c r="S11" s="4">
        <v>0</v>
      </c>
      <c r="T11" s="4"/>
      <c r="U11" s="4">
        <v>711.15</v>
      </c>
      <c r="V11" s="4">
        <v>19570.400000000001</v>
      </c>
      <c r="W11" s="4">
        <v>5960.84</v>
      </c>
      <c r="X11" s="4">
        <v>5804.85</v>
      </c>
      <c r="Y11" s="4">
        <v>156014.6</v>
      </c>
      <c r="Z11" s="4">
        <v>2355.5</v>
      </c>
      <c r="AA11" s="4">
        <v>59303.1</v>
      </c>
      <c r="AB11" s="4"/>
      <c r="AC11" s="4">
        <v>1092.0999999999999</v>
      </c>
      <c r="AD11" s="4">
        <v>122098.95</v>
      </c>
      <c r="AE11" s="4">
        <v>3903.9</v>
      </c>
      <c r="AF11" s="4">
        <f t="shared" si="2"/>
        <v>854718.24</v>
      </c>
      <c r="AG11">
        <v>9</v>
      </c>
    </row>
    <row r="12" spans="1:33" x14ac:dyDescent="0.25">
      <c r="C12">
        <v>306</v>
      </c>
      <c r="D12" t="s">
        <v>85</v>
      </c>
      <c r="E12" s="4">
        <v>0</v>
      </c>
      <c r="F12" s="4">
        <v>0</v>
      </c>
      <c r="G12" s="4">
        <v>0</v>
      </c>
      <c r="H12" s="4">
        <v>0</v>
      </c>
      <c r="I12" s="4">
        <v>0</v>
      </c>
      <c r="J12" s="4">
        <v>0</v>
      </c>
      <c r="K12" s="4">
        <v>0</v>
      </c>
      <c r="L12" s="4">
        <v>0</v>
      </c>
      <c r="M12" s="4">
        <v>0</v>
      </c>
      <c r="N12" s="4">
        <v>0</v>
      </c>
      <c r="O12" s="4">
        <v>0</v>
      </c>
      <c r="P12" s="4"/>
      <c r="Q12" s="4">
        <v>0</v>
      </c>
      <c r="R12" s="4">
        <v>0</v>
      </c>
      <c r="S12" s="4">
        <v>0</v>
      </c>
      <c r="T12" s="4"/>
      <c r="U12" s="4">
        <v>0</v>
      </c>
      <c r="V12" s="4">
        <v>0</v>
      </c>
      <c r="W12" s="4">
        <v>0</v>
      </c>
      <c r="X12" s="4">
        <v>0</v>
      </c>
      <c r="Y12" s="4">
        <v>3675</v>
      </c>
      <c r="Z12" s="4">
        <v>0</v>
      </c>
      <c r="AA12" s="4">
        <v>0</v>
      </c>
      <c r="AB12" s="4"/>
      <c r="AC12" s="4">
        <v>0</v>
      </c>
      <c r="AD12" s="4">
        <v>0</v>
      </c>
      <c r="AE12" s="4">
        <v>0</v>
      </c>
      <c r="AF12" s="4">
        <f t="shared" si="2"/>
        <v>3675</v>
      </c>
      <c r="AG12">
        <v>10</v>
      </c>
    </row>
    <row r="13" spans="1:33" x14ac:dyDescent="0.25">
      <c r="C13">
        <v>309</v>
      </c>
      <c r="D13" t="s">
        <v>86</v>
      </c>
      <c r="E13" s="4">
        <v>6920.2</v>
      </c>
      <c r="F13" s="4">
        <v>7964.85</v>
      </c>
      <c r="G13" s="4">
        <v>974.25</v>
      </c>
      <c r="H13" s="4">
        <v>6762.95</v>
      </c>
      <c r="I13" s="4">
        <v>0</v>
      </c>
      <c r="J13" s="4">
        <v>2154.6</v>
      </c>
      <c r="K13" s="4">
        <v>0</v>
      </c>
      <c r="L13" s="4">
        <v>524.25</v>
      </c>
      <c r="M13" s="4">
        <v>1663.85</v>
      </c>
      <c r="N13" s="4">
        <v>8303.4500000000007</v>
      </c>
      <c r="O13" s="4">
        <v>7958.45</v>
      </c>
      <c r="P13" s="4"/>
      <c r="Q13" s="4">
        <v>0</v>
      </c>
      <c r="R13" s="4">
        <v>0</v>
      </c>
      <c r="S13" s="4">
        <v>0</v>
      </c>
      <c r="T13" s="4"/>
      <c r="U13" s="4">
        <v>768.7</v>
      </c>
      <c r="V13" s="4">
        <v>34.5</v>
      </c>
      <c r="W13" s="4">
        <v>771.27</v>
      </c>
      <c r="X13" s="4">
        <v>0</v>
      </c>
      <c r="Y13" s="4">
        <v>11743</v>
      </c>
      <c r="Z13" s="4">
        <v>1221.95</v>
      </c>
      <c r="AA13" s="4">
        <v>2285.75</v>
      </c>
      <c r="AB13" s="4"/>
      <c r="AC13" s="4">
        <v>572.29999999999995</v>
      </c>
      <c r="AD13" s="4">
        <v>11204.5</v>
      </c>
      <c r="AE13" s="4">
        <v>1125.5</v>
      </c>
      <c r="AF13" s="4">
        <f t="shared" si="2"/>
        <v>72954.319999999978</v>
      </c>
      <c r="AG13">
        <v>11</v>
      </c>
    </row>
    <row r="14" spans="1:33" x14ac:dyDescent="0.25">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v>12</v>
      </c>
    </row>
    <row r="15" spans="1:33" x14ac:dyDescent="0.25">
      <c r="B15" s="76">
        <v>31</v>
      </c>
      <c r="C15" s="76"/>
      <c r="D15" s="76" t="s">
        <v>87</v>
      </c>
      <c r="E15" s="77">
        <f>E16+E17+E18+E19+E20+E21+E22+E23+E24+E25</f>
        <v>411508.54000000004</v>
      </c>
      <c r="F15" s="77">
        <f t="shared" ref="F15:AF15" si="3">F16+F17+F18+F19+F20+F21+F22+F23+F24+F25</f>
        <v>874029.53</v>
      </c>
      <c r="G15" s="77">
        <f t="shared" si="3"/>
        <v>65540.149999999994</v>
      </c>
      <c r="H15" s="77">
        <f t="shared" si="3"/>
        <v>3413308.1</v>
      </c>
      <c r="I15" s="77">
        <f t="shared" si="3"/>
        <v>40046.85</v>
      </c>
      <c r="J15" s="77">
        <f t="shared" si="3"/>
        <v>425380.03999999992</v>
      </c>
      <c r="K15" s="77">
        <f t="shared" si="3"/>
        <v>1056643.29</v>
      </c>
      <c r="L15" s="77">
        <f t="shared" si="3"/>
        <v>167608.53999999998</v>
      </c>
      <c r="M15" s="77">
        <f t="shared" si="3"/>
        <v>189649.05</v>
      </c>
      <c r="N15" s="77">
        <f t="shared" si="3"/>
        <v>252026.4</v>
      </c>
      <c r="O15" s="77">
        <f t="shared" si="3"/>
        <v>1229742.8799999999</v>
      </c>
      <c r="P15" s="77">
        <f t="shared" si="3"/>
        <v>0</v>
      </c>
      <c r="Q15" s="77">
        <f t="shared" si="3"/>
        <v>2245</v>
      </c>
      <c r="R15" s="77">
        <f t="shared" si="3"/>
        <v>29953.95</v>
      </c>
      <c r="S15" s="77">
        <f t="shared" si="3"/>
        <v>2622.35</v>
      </c>
      <c r="T15" s="77">
        <f t="shared" si="3"/>
        <v>0</v>
      </c>
      <c r="U15" s="77">
        <f t="shared" si="3"/>
        <v>40717.440000000002</v>
      </c>
      <c r="V15" s="77">
        <f t="shared" si="3"/>
        <v>246970.97</v>
      </c>
      <c r="W15" s="77">
        <f t="shared" si="3"/>
        <v>0</v>
      </c>
      <c r="X15" s="77">
        <f t="shared" si="3"/>
        <v>389932.87</v>
      </c>
      <c r="Y15" s="77">
        <f t="shared" si="3"/>
        <v>2533324.6200000006</v>
      </c>
      <c r="Z15" s="77">
        <f t="shared" si="3"/>
        <v>250379.59000000003</v>
      </c>
      <c r="AA15" s="77">
        <f t="shared" si="3"/>
        <v>606576.41</v>
      </c>
      <c r="AB15" s="77">
        <f t="shared" si="3"/>
        <v>0</v>
      </c>
      <c r="AC15" s="77">
        <f t="shared" si="3"/>
        <v>12127.65</v>
      </c>
      <c r="AD15" s="77">
        <f t="shared" si="3"/>
        <v>1878704.6599999997</v>
      </c>
      <c r="AE15" s="77">
        <f t="shared" si="3"/>
        <v>101238.88</v>
      </c>
      <c r="AF15" s="77">
        <f t="shared" si="3"/>
        <v>14220277.760000002</v>
      </c>
      <c r="AG15">
        <v>13</v>
      </c>
    </row>
    <row r="16" spans="1:33" x14ac:dyDescent="0.25">
      <c r="C16">
        <v>310</v>
      </c>
      <c r="D16" t="s">
        <v>88</v>
      </c>
      <c r="E16" s="4">
        <v>154933.10999999999</v>
      </c>
      <c r="F16" s="4">
        <v>204160.41</v>
      </c>
      <c r="G16" s="4">
        <v>215.75</v>
      </c>
      <c r="H16" s="4">
        <v>50161.05</v>
      </c>
      <c r="I16" s="4">
        <v>0</v>
      </c>
      <c r="J16" s="4">
        <v>143009.81</v>
      </c>
      <c r="K16" s="4">
        <v>329335.84000000003</v>
      </c>
      <c r="L16" s="4">
        <v>3122.15</v>
      </c>
      <c r="M16" s="4">
        <v>83319.73</v>
      </c>
      <c r="N16" s="4">
        <v>108.5</v>
      </c>
      <c r="O16" s="4">
        <v>135883.79999999999</v>
      </c>
      <c r="P16" s="4"/>
      <c r="Q16" s="4">
        <v>482.45</v>
      </c>
      <c r="R16" s="4">
        <v>2136.35</v>
      </c>
      <c r="S16" s="4">
        <v>219.3</v>
      </c>
      <c r="T16" s="4"/>
      <c r="U16" s="4">
        <v>6030.3</v>
      </c>
      <c r="V16" s="4">
        <v>67809.88</v>
      </c>
      <c r="W16" s="4">
        <v>0</v>
      </c>
      <c r="X16" s="4">
        <v>113371.42</v>
      </c>
      <c r="Y16" s="4">
        <v>119732</v>
      </c>
      <c r="Z16" s="4">
        <v>49881.4</v>
      </c>
      <c r="AA16" s="4">
        <v>89966.31</v>
      </c>
      <c r="AB16" s="4"/>
      <c r="AC16" s="4">
        <v>50</v>
      </c>
      <c r="AD16" s="4">
        <v>360048.25</v>
      </c>
      <c r="AE16" s="4">
        <v>2603.3000000000002</v>
      </c>
      <c r="AF16" s="4">
        <f t="shared" ref="AF16:AF25" si="4">SUM(E16:AE16)</f>
        <v>1916581.11</v>
      </c>
      <c r="AG16">
        <v>14</v>
      </c>
    </row>
    <row r="17" spans="2:33" x14ac:dyDescent="0.25">
      <c r="C17">
        <v>311</v>
      </c>
      <c r="D17" t="s">
        <v>452</v>
      </c>
      <c r="E17" s="4">
        <v>25477.86</v>
      </c>
      <c r="F17" s="4">
        <v>7839.47</v>
      </c>
      <c r="G17" s="4">
        <v>0</v>
      </c>
      <c r="H17" s="4">
        <v>7024.8</v>
      </c>
      <c r="I17" s="4">
        <v>0</v>
      </c>
      <c r="J17" s="4">
        <v>35767.199999999997</v>
      </c>
      <c r="K17" s="4">
        <v>34966.75</v>
      </c>
      <c r="L17" s="4">
        <v>12917.85</v>
      </c>
      <c r="M17" s="4">
        <v>8789.5</v>
      </c>
      <c r="N17" s="4">
        <v>0</v>
      </c>
      <c r="O17" s="4">
        <v>17932.900000000001</v>
      </c>
      <c r="P17" s="4"/>
      <c r="Q17" s="4">
        <v>0</v>
      </c>
      <c r="R17" s="4">
        <v>0</v>
      </c>
      <c r="S17" s="4">
        <v>0</v>
      </c>
      <c r="T17" s="4"/>
      <c r="U17" s="4">
        <v>129</v>
      </c>
      <c r="V17" s="4">
        <v>22539.3</v>
      </c>
      <c r="W17" s="4">
        <v>0</v>
      </c>
      <c r="X17" s="4">
        <v>0</v>
      </c>
      <c r="Y17" s="4">
        <v>26810.2</v>
      </c>
      <c r="Z17" s="4">
        <v>252.35</v>
      </c>
      <c r="AA17" s="4">
        <v>20177.509999999998</v>
      </c>
      <c r="AB17" s="4"/>
      <c r="AC17" s="4">
        <v>0</v>
      </c>
      <c r="AD17" s="4">
        <v>41284.660000000003</v>
      </c>
      <c r="AE17" s="4">
        <v>9797.35</v>
      </c>
      <c r="AF17" s="4">
        <f t="shared" si="4"/>
        <v>271706.7</v>
      </c>
      <c r="AG17">
        <v>15</v>
      </c>
    </row>
    <row r="18" spans="2:33" x14ac:dyDescent="0.25">
      <c r="C18">
        <v>312</v>
      </c>
      <c r="D18" t="s">
        <v>90</v>
      </c>
      <c r="E18" s="4">
        <v>30768.55</v>
      </c>
      <c r="F18" s="4">
        <v>125445.79</v>
      </c>
      <c r="G18" s="4">
        <v>211.2</v>
      </c>
      <c r="H18" s="4">
        <v>9144.4500000000007</v>
      </c>
      <c r="I18" s="4">
        <v>0</v>
      </c>
      <c r="J18" s="4">
        <v>60307.1</v>
      </c>
      <c r="K18" s="4">
        <v>76922.850000000006</v>
      </c>
      <c r="L18" s="4">
        <v>21938.75</v>
      </c>
      <c r="M18" s="4">
        <v>0</v>
      </c>
      <c r="N18" s="4">
        <v>0</v>
      </c>
      <c r="O18" s="4">
        <v>837664.63</v>
      </c>
      <c r="P18" s="4"/>
      <c r="Q18" s="4">
        <v>379.4</v>
      </c>
      <c r="R18" s="4">
        <v>2462.5</v>
      </c>
      <c r="S18" s="4">
        <v>286.39999999999998</v>
      </c>
      <c r="T18" s="4"/>
      <c r="U18" s="4">
        <v>0</v>
      </c>
      <c r="V18" s="4">
        <v>54407</v>
      </c>
      <c r="W18" s="4">
        <v>0</v>
      </c>
      <c r="X18" s="4">
        <v>142045.85</v>
      </c>
      <c r="Y18" s="4">
        <v>494900.5</v>
      </c>
      <c r="Z18" s="4">
        <v>25741.45</v>
      </c>
      <c r="AA18" s="4">
        <v>119910.26</v>
      </c>
      <c r="AB18" s="4"/>
      <c r="AC18" s="4">
        <v>6366</v>
      </c>
      <c r="AD18" s="4">
        <v>207912.19</v>
      </c>
      <c r="AE18" s="4">
        <v>21773.55</v>
      </c>
      <c r="AF18" s="4">
        <f t="shared" si="4"/>
        <v>2238588.42</v>
      </c>
      <c r="AG18">
        <v>16</v>
      </c>
    </row>
    <row r="19" spans="2:33" x14ac:dyDescent="0.25">
      <c r="C19">
        <v>313</v>
      </c>
      <c r="D19" t="s">
        <v>91</v>
      </c>
      <c r="E19" s="4">
        <v>47046.25</v>
      </c>
      <c r="F19" s="4">
        <v>435280.12</v>
      </c>
      <c r="G19" s="4">
        <v>10600.6</v>
      </c>
      <c r="H19" s="4">
        <v>3210095.85</v>
      </c>
      <c r="I19" s="4">
        <v>40046.85</v>
      </c>
      <c r="J19" s="4">
        <v>57485</v>
      </c>
      <c r="K19" s="4">
        <v>170034</v>
      </c>
      <c r="L19" s="4">
        <v>93422.54</v>
      </c>
      <c r="M19" s="4">
        <v>49948.02</v>
      </c>
      <c r="N19" s="4">
        <v>251917.9</v>
      </c>
      <c r="O19" s="4">
        <v>75888.800000000003</v>
      </c>
      <c r="P19" s="4"/>
      <c r="Q19" s="4">
        <v>1265</v>
      </c>
      <c r="R19" s="4">
        <v>9369.6</v>
      </c>
      <c r="S19" s="4">
        <v>16.649999999999999</v>
      </c>
      <c r="T19" s="4"/>
      <c r="U19" s="4">
        <v>33255.14</v>
      </c>
      <c r="V19" s="4">
        <v>14143.75</v>
      </c>
      <c r="W19" s="4">
        <v>0</v>
      </c>
      <c r="X19" s="4">
        <v>66975.3</v>
      </c>
      <c r="Y19" s="4">
        <v>1704608.87</v>
      </c>
      <c r="Z19" s="4">
        <v>46312.44</v>
      </c>
      <c r="AA19" s="4">
        <v>201994.52</v>
      </c>
      <c r="AB19" s="4"/>
      <c r="AC19" s="4">
        <v>4780.8</v>
      </c>
      <c r="AD19" s="4">
        <v>628759.06999999995</v>
      </c>
      <c r="AE19" s="4">
        <v>53855.5</v>
      </c>
      <c r="AF19" s="4">
        <f t="shared" si="4"/>
        <v>7207102.5700000003</v>
      </c>
      <c r="AG19">
        <v>17</v>
      </c>
    </row>
    <row r="20" spans="2:33" x14ac:dyDescent="0.25">
      <c r="C20">
        <v>314</v>
      </c>
      <c r="D20" t="s">
        <v>92</v>
      </c>
      <c r="E20" s="4">
        <v>60743.14</v>
      </c>
      <c r="F20" s="4">
        <v>95695.65</v>
      </c>
      <c r="G20" s="4">
        <v>54512.6</v>
      </c>
      <c r="H20" s="4">
        <v>84582.35</v>
      </c>
      <c r="I20" s="4">
        <v>0</v>
      </c>
      <c r="J20" s="4">
        <v>50000.55</v>
      </c>
      <c r="K20" s="4">
        <v>93998.35</v>
      </c>
      <c r="L20" s="4">
        <v>34824.449999999997</v>
      </c>
      <c r="M20" s="4">
        <v>0</v>
      </c>
      <c r="N20" s="4">
        <v>0</v>
      </c>
      <c r="O20" s="4">
        <v>83050.3</v>
      </c>
      <c r="P20" s="4"/>
      <c r="Q20" s="4">
        <v>118.15</v>
      </c>
      <c r="R20" s="4">
        <v>15485.5</v>
      </c>
      <c r="S20" s="4">
        <v>2100</v>
      </c>
      <c r="T20" s="4"/>
      <c r="U20" s="4">
        <v>0</v>
      </c>
      <c r="V20" s="4">
        <v>28100.04</v>
      </c>
      <c r="W20" s="4">
        <v>0</v>
      </c>
      <c r="X20" s="4">
        <v>4617.3</v>
      </c>
      <c r="Y20" s="4">
        <v>100791.7</v>
      </c>
      <c r="Z20" s="4">
        <v>90206.5</v>
      </c>
      <c r="AA20" s="4">
        <v>109788.49</v>
      </c>
      <c r="AB20" s="4"/>
      <c r="AC20" s="4">
        <v>0</v>
      </c>
      <c r="AD20" s="4">
        <v>76355.69</v>
      </c>
      <c r="AE20" s="4">
        <v>12399.3</v>
      </c>
      <c r="AF20" s="4">
        <f t="shared" si="4"/>
        <v>997370.06</v>
      </c>
      <c r="AG20">
        <v>18</v>
      </c>
    </row>
    <row r="21" spans="2:33" x14ac:dyDescent="0.25">
      <c r="C21">
        <v>315</v>
      </c>
      <c r="D21" t="s">
        <v>93</v>
      </c>
      <c r="E21" s="4">
        <v>5322.49</v>
      </c>
      <c r="F21" s="4">
        <v>5608.09</v>
      </c>
      <c r="G21" s="4">
        <v>0</v>
      </c>
      <c r="H21" s="4">
        <v>28927.25</v>
      </c>
      <c r="I21" s="4">
        <v>0</v>
      </c>
      <c r="J21" s="4">
        <v>6816.8</v>
      </c>
      <c r="K21" s="4">
        <v>6374.4</v>
      </c>
      <c r="L21" s="4">
        <v>877</v>
      </c>
      <c r="M21" s="4">
        <v>4954.1499999999996</v>
      </c>
      <c r="N21" s="4">
        <v>0</v>
      </c>
      <c r="O21" s="4">
        <v>26087.4</v>
      </c>
      <c r="P21" s="4"/>
      <c r="Q21" s="4">
        <v>0</v>
      </c>
      <c r="R21" s="4">
        <v>0</v>
      </c>
      <c r="S21" s="4">
        <v>0</v>
      </c>
      <c r="T21" s="4"/>
      <c r="U21" s="4">
        <v>0</v>
      </c>
      <c r="V21" s="4">
        <v>11940.5</v>
      </c>
      <c r="W21" s="4">
        <v>0</v>
      </c>
      <c r="X21" s="4">
        <v>28632.1</v>
      </c>
      <c r="Y21" s="4">
        <v>42053.25</v>
      </c>
      <c r="Z21" s="4">
        <v>771.45</v>
      </c>
      <c r="AA21" s="4">
        <v>62939.78</v>
      </c>
      <c r="AB21" s="4"/>
      <c r="AC21" s="4">
        <v>614.45000000000005</v>
      </c>
      <c r="AD21" s="4">
        <v>62590.8</v>
      </c>
      <c r="AE21" s="4">
        <v>809.88</v>
      </c>
      <c r="AF21" s="4">
        <f t="shared" si="4"/>
        <v>295319.79000000004</v>
      </c>
      <c r="AG21">
        <v>19</v>
      </c>
    </row>
    <row r="22" spans="2:33" x14ac:dyDescent="0.25">
      <c r="C22">
        <v>316</v>
      </c>
      <c r="D22" t="s">
        <v>94</v>
      </c>
      <c r="E22" s="4">
        <v>29349.95</v>
      </c>
      <c r="F22" s="4">
        <v>0</v>
      </c>
      <c r="G22" s="4">
        <v>0</v>
      </c>
      <c r="H22" s="4">
        <v>9793.65</v>
      </c>
      <c r="I22" s="4">
        <v>0</v>
      </c>
      <c r="J22" s="4">
        <v>17358.599999999999</v>
      </c>
      <c r="K22" s="4">
        <v>191637</v>
      </c>
      <c r="L22" s="4">
        <v>0</v>
      </c>
      <c r="M22" s="4">
        <v>12161.4</v>
      </c>
      <c r="N22" s="4">
        <v>0</v>
      </c>
      <c r="O22" s="4">
        <v>0</v>
      </c>
      <c r="P22" s="4"/>
      <c r="Q22" s="4">
        <v>0</v>
      </c>
      <c r="R22" s="4">
        <v>500</v>
      </c>
      <c r="S22" s="4">
        <v>0</v>
      </c>
      <c r="T22" s="4"/>
      <c r="U22" s="4">
        <v>1200</v>
      </c>
      <c r="V22" s="4">
        <v>31200</v>
      </c>
      <c r="W22" s="4">
        <v>0</v>
      </c>
      <c r="X22" s="4">
        <v>0</v>
      </c>
      <c r="Y22" s="4">
        <v>30481.25</v>
      </c>
      <c r="Z22" s="4">
        <v>37214</v>
      </c>
      <c r="AA22" s="4">
        <v>0</v>
      </c>
      <c r="AB22" s="4"/>
      <c r="AC22" s="4">
        <v>0</v>
      </c>
      <c r="AD22" s="4">
        <v>387448.1</v>
      </c>
      <c r="AE22" s="4">
        <v>0</v>
      </c>
      <c r="AF22" s="4">
        <f t="shared" si="4"/>
        <v>748343.95</v>
      </c>
      <c r="AG22">
        <v>20</v>
      </c>
    </row>
    <row r="23" spans="2:33" x14ac:dyDescent="0.25">
      <c r="C23">
        <v>317</v>
      </c>
      <c r="D23" t="s">
        <v>95</v>
      </c>
      <c r="E23" s="4">
        <v>53138.400000000001</v>
      </c>
      <c r="F23" s="4">
        <v>0</v>
      </c>
      <c r="G23" s="4">
        <v>0</v>
      </c>
      <c r="H23" s="4">
        <v>9798.75</v>
      </c>
      <c r="I23" s="4">
        <v>0</v>
      </c>
      <c r="J23" s="4">
        <v>54382.98</v>
      </c>
      <c r="K23" s="4">
        <v>153374.1</v>
      </c>
      <c r="L23" s="4">
        <v>505.8</v>
      </c>
      <c r="M23" s="4">
        <v>30476.25</v>
      </c>
      <c r="N23" s="4">
        <v>0</v>
      </c>
      <c r="O23" s="4">
        <v>4203</v>
      </c>
      <c r="P23" s="4"/>
      <c r="Q23" s="4">
        <v>0</v>
      </c>
      <c r="R23" s="4">
        <v>0</v>
      </c>
      <c r="S23" s="4">
        <v>0</v>
      </c>
      <c r="T23" s="4"/>
      <c r="U23" s="4">
        <v>0</v>
      </c>
      <c r="V23" s="4">
        <v>16830.5</v>
      </c>
      <c r="W23" s="4">
        <v>0</v>
      </c>
      <c r="X23" s="4">
        <v>0</v>
      </c>
      <c r="Y23" s="4">
        <v>13755.1</v>
      </c>
      <c r="Z23" s="4">
        <v>0</v>
      </c>
      <c r="AA23" s="4">
        <v>1408.01</v>
      </c>
      <c r="AB23" s="4"/>
      <c r="AC23" s="4">
        <v>316.39999999999998</v>
      </c>
      <c r="AD23" s="4">
        <v>114305.9</v>
      </c>
      <c r="AE23" s="4">
        <v>0</v>
      </c>
      <c r="AF23" s="4">
        <f t="shared" si="4"/>
        <v>452495.18999999994</v>
      </c>
      <c r="AG23">
        <v>21</v>
      </c>
    </row>
    <row r="24" spans="2:33" x14ac:dyDescent="0.25">
      <c r="C24">
        <v>318</v>
      </c>
      <c r="D24" t="s">
        <v>96</v>
      </c>
      <c r="E24" s="4">
        <v>0.01</v>
      </c>
      <c r="F24" s="4">
        <v>0</v>
      </c>
      <c r="G24" s="4">
        <v>0</v>
      </c>
      <c r="H24" s="4">
        <v>3779.95</v>
      </c>
      <c r="I24" s="4">
        <v>0</v>
      </c>
      <c r="J24" s="4">
        <v>0</v>
      </c>
      <c r="K24" s="4">
        <v>0</v>
      </c>
      <c r="L24" s="4">
        <v>0</v>
      </c>
      <c r="M24" s="4">
        <v>0</v>
      </c>
      <c r="N24" s="4">
        <v>0</v>
      </c>
      <c r="O24" s="4">
        <v>0.05</v>
      </c>
      <c r="P24" s="4"/>
      <c r="Q24" s="4">
        <v>0</v>
      </c>
      <c r="R24" s="4">
        <v>0</v>
      </c>
      <c r="S24" s="4">
        <v>0</v>
      </c>
      <c r="T24" s="4"/>
      <c r="U24" s="4">
        <v>103</v>
      </c>
      <c r="V24" s="4">
        <v>0</v>
      </c>
      <c r="W24" s="4">
        <v>0</v>
      </c>
      <c r="X24" s="4">
        <v>0</v>
      </c>
      <c r="Y24" s="4">
        <v>191.75</v>
      </c>
      <c r="Z24" s="4">
        <v>0</v>
      </c>
      <c r="AA24" s="4">
        <v>216.9</v>
      </c>
      <c r="AB24" s="4"/>
      <c r="AC24" s="4">
        <v>0</v>
      </c>
      <c r="AD24" s="4">
        <v>0</v>
      </c>
      <c r="AE24" s="4">
        <v>0</v>
      </c>
      <c r="AF24" s="4">
        <f t="shared" si="4"/>
        <v>4291.66</v>
      </c>
      <c r="AG24">
        <v>22</v>
      </c>
    </row>
    <row r="25" spans="2:33" x14ac:dyDescent="0.25">
      <c r="C25">
        <v>319</v>
      </c>
      <c r="D25" t="s">
        <v>97</v>
      </c>
      <c r="E25" s="4">
        <v>4728.78</v>
      </c>
      <c r="F25" s="4">
        <v>0</v>
      </c>
      <c r="G25" s="4">
        <v>0</v>
      </c>
      <c r="H25" s="4">
        <v>0</v>
      </c>
      <c r="I25" s="4">
        <v>0</v>
      </c>
      <c r="J25" s="4">
        <v>252</v>
      </c>
      <c r="K25" s="4">
        <v>0</v>
      </c>
      <c r="L25" s="4">
        <v>0</v>
      </c>
      <c r="M25" s="4">
        <v>0</v>
      </c>
      <c r="N25" s="4">
        <v>0</v>
      </c>
      <c r="O25" s="4">
        <v>49032</v>
      </c>
      <c r="P25" s="4"/>
      <c r="Q25" s="4">
        <v>0</v>
      </c>
      <c r="R25" s="4">
        <v>0</v>
      </c>
      <c r="S25" s="4">
        <v>0</v>
      </c>
      <c r="T25" s="4"/>
      <c r="U25" s="4">
        <v>0</v>
      </c>
      <c r="V25" s="4">
        <v>0</v>
      </c>
      <c r="W25" s="4">
        <v>0</v>
      </c>
      <c r="X25" s="4">
        <v>34290.9</v>
      </c>
      <c r="Y25" s="4">
        <v>0</v>
      </c>
      <c r="Z25" s="4">
        <v>0</v>
      </c>
      <c r="AA25" s="4">
        <v>174.63</v>
      </c>
      <c r="AB25" s="4"/>
      <c r="AC25" s="4">
        <v>0</v>
      </c>
      <c r="AD25" s="4">
        <v>0</v>
      </c>
      <c r="AE25" s="4">
        <v>0</v>
      </c>
      <c r="AF25" s="4">
        <f t="shared" si="4"/>
        <v>88478.31</v>
      </c>
      <c r="AG25">
        <v>23</v>
      </c>
    </row>
    <row r="26" spans="2:33" x14ac:dyDescent="0.25">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v>24</v>
      </c>
    </row>
    <row r="27" spans="2:33" x14ac:dyDescent="0.25">
      <c r="B27" s="76">
        <v>33</v>
      </c>
      <c r="C27" s="76"/>
      <c r="D27" s="76" t="s">
        <v>98</v>
      </c>
      <c r="E27" s="77">
        <f>E28+E29</f>
        <v>66900</v>
      </c>
      <c r="F27" s="77">
        <f t="shared" ref="F27:AF27" si="5">F28+F29</f>
        <v>492566.6</v>
      </c>
      <c r="G27" s="77">
        <f t="shared" si="5"/>
        <v>3300</v>
      </c>
      <c r="H27" s="77">
        <f t="shared" si="5"/>
        <v>4027386.35</v>
      </c>
      <c r="I27" s="77">
        <f t="shared" si="5"/>
        <v>61520</v>
      </c>
      <c r="J27" s="77">
        <f t="shared" si="5"/>
        <v>387611.55</v>
      </c>
      <c r="K27" s="77">
        <f t="shared" si="5"/>
        <v>501327.1</v>
      </c>
      <c r="L27" s="77">
        <f t="shared" si="5"/>
        <v>182891.65</v>
      </c>
      <c r="M27" s="77">
        <f t="shared" si="5"/>
        <v>0</v>
      </c>
      <c r="N27" s="77">
        <f t="shared" si="5"/>
        <v>0</v>
      </c>
      <c r="O27" s="77">
        <f t="shared" si="5"/>
        <v>5652.9</v>
      </c>
      <c r="P27" s="77">
        <f t="shared" si="5"/>
        <v>0</v>
      </c>
      <c r="Q27" s="77">
        <f t="shared" si="5"/>
        <v>2800</v>
      </c>
      <c r="R27" s="77">
        <f t="shared" si="5"/>
        <v>0</v>
      </c>
      <c r="S27" s="77">
        <f t="shared" si="5"/>
        <v>0</v>
      </c>
      <c r="T27" s="77">
        <f t="shared" si="5"/>
        <v>0</v>
      </c>
      <c r="U27" s="77">
        <f t="shared" si="5"/>
        <v>0</v>
      </c>
      <c r="V27" s="77">
        <f t="shared" si="5"/>
        <v>63285</v>
      </c>
      <c r="W27" s="77">
        <f t="shared" si="5"/>
        <v>0</v>
      </c>
      <c r="X27" s="77">
        <f t="shared" si="5"/>
        <v>282424.71999999997</v>
      </c>
      <c r="Y27" s="77">
        <f t="shared" si="5"/>
        <v>479699.49</v>
      </c>
      <c r="Z27" s="77">
        <f t="shared" si="5"/>
        <v>95000</v>
      </c>
      <c r="AA27" s="77">
        <f t="shared" si="5"/>
        <v>147832.93</v>
      </c>
      <c r="AB27" s="77">
        <f t="shared" si="5"/>
        <v>0</v>
      </c>
      <c r="AC27" s="77">
        <f t="shared" si="5"/>
        <v>0</v>
      </c>
      <c r="AD27" s="77">
        <f t="shared" si="5"/>
        <v>426041.85</v>
      </c>
      <c r="AE27" s="77">
        <f t="shared" si="5"/>
        <v>125000</v>
      </c>
      <c r="AF27" s="77">
        <f t="shared" si="5"/>
        <v>7351240.1399999997</v>
      </c>
      <c r="AG27">
        <v>25</v>
      </c>
    </row>
    <row r="28" spans="2:33" x14ac:dyDescent="0.25">
      <c r="C28">
        <v>330</v>
      </c>
      <c r="D28" t="s">
        <v>100</v>
      </c>
      <c r="E28" s="4">
        <v>66900</v>
      </c>
      <c r="F28" s="4">
        <v>451511.55</v>
      </c>
      <c r="G28" s="4">
        <v>3300</v>
      </c>
      <c r="H28" s="4">
        <v>4027386.35</v>
      </c>
      <c r="I28" s="4">
        <v>61520</v>
      </c>
      <c r="J28" s="4">
        <v>387611.55</v>
      </c>
      <c r="K28" s="4">
        <v>501327.1</v>
      </c>
      <c r="L28" s="4">
        <v>182891.65</v>
      </c>
      <c r="M28" s="4">
        <v>0</v>
      </c>
      <c r="N28" s="4">
        <v>0</v>
      </c>
      <c r="O28" s="4">
        <v>1602.9</v>
      </c>
      <c r="P28" s="4"/>
      <c r="Q28" s="4">
        <v>2800</v>
      </c>
      <c r="R28" s="4">
        <v>0</v>
      </c>
      <c r="S28" s="4">
        <v>0</v>
      </c>
      <c r="T28" s="4"/>
      <c r="U28" s="4">
        <v>0</v>
      </c>
      <c r="V28" s="4">
        <v>63285</v>
      </c>
      <c r="W28" s="4">
        <v>0</v>
      </c>
      <c r="X28" s="4">
        <v>282424.71999999997</v>
      </c>
      <c r="Y28" s="4">
        <v>479699.49</v>
      </c>
      <c r="Z28" s="4">
        <v>95000</v>
      </c>
      <c r="AA28" s="4">
        <v>147832.93</v>
      </c>
      <c r="AB28" s="4"/>
      <c r="AC28" s="4">
        <v>0</v>
      </c>
      <c r="AD28" s="4">
        <v>426041.85</v>
      </c>
      <c r="AE28" s="4">
        <v>125000</v>
      </c>
      <c r="AF28" s="4">
        <f>SUM(E28:AE28)</f>
        <v>7306135.0899999999</v>
      </c>
      <c r="AG28">
        <v>26</v>
      </c>
    </row>
    <row r="29" spans="2:33" x14ac:dyDescent="0.25">
      <c r="C29">
        <v>332</v>
      </c>
      <c r="D29" t="s">
        <v>99</v>
      </c>
      <c r="E29" s="4">
        <v>0</v>
      </c>
      <c r="F29" s="4">
        <v>41055.050000000003</v>
      </c>
      <c r="G29" s="4">
        <v>0</v>
      </c>
      <c r="H29" s="4">
        <v>0</v>
      </c>
      <c r="I29" s="4">
        <v>0</v>
      </c>
      <c r="J29" s="4">
        <v>0</v>
      </c>
      <c r="K29" s="4">
        <v>0</v>
      </c>
      <c r="L29" s="4">
        <v>0</v>
      </c>
      <c r="M29" s="4">
        <v>0</v>
      </c>
      <c r="N29" s="4">
        <v>0</v>
      </c>
      <c r="O29" s="4">
        <v>4050</v>
      </c>
      <c r="P29" s="4"/>
      <c r="Q29" s="4">
        <v>0</v>
      </c>
      <c r="R29" s="4">
        <v>0</v>
      </c>
      <c r="S29" s="4">
        <v>0</v>
      </c>
      <c r="T29" s="4"/>
      <c r="U29" s="4">
        <v>0</v>
      </c>
      <c r="V29" s="4">
        <v>0</v>
      </c>
      <c r="W29" s="4">
        <v>0</v>
      </c>
      <c r="X29" s="4">
        <v>0</v>
      </c>
      <c r="Y29" s="4">
        <v>0</v>
      </c>
      <c r="Z29" s="4">
        <v>0</v>
      </c>
      <c r="AA29" s="4">
        <v>0</v>
      </c>
      <c r="AB29" s="4"/>
      <c r="AC29" s="4">
        <v>0</v>
      </c>
      <c r="AD29" s="4">
        <v>0</v>
      </c>
      <c r="AE29" s="4">
        <v>0</v>
      </c>
      <c r="AF29" s="4">
        <f>SUM(E29:AE29)</f>
        <v>45105.05</v>
      </c>
      <c r="AG29">
        <v>27</v>
      </c>
    </row>
    <row r="30" spans="2:33" x14ac:dyDescent="0.25">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v>28</v>
      </c>
    </row>
    <row r="31" spans="2:33" x14ac:dyDescent="0.25">
      <c r="B31" s="76">
        <v>34</v>
      </c>
      <c r="C31" s="76"/>
      <c r="D31" s="76" t="s">
        <v>101</v>
      </c>
      <c r="E31" s="77">
        <f>E32+E33+E34+E35+E36+E37</f>
        <v>17579.8</v>
      </c>
      <c r="F31" s="77">
        <f t="shared" ref="F31:AF31" si="6">F32+F33+F34+F35+F36+F37</f>
        <v>-489.19000000000005</v>
      </c>
      <c r="G31" s="77">
        <f t="shared" si="6"/>
        <v>0</v>
      </c>
      <c r="H31" s="77">
        <f t="shared" si="6"/>
        <v>4120.58</v>
      </c>
      <c r="I31" s="77">
        <f t="shared" si="6"/>
        <v>0</v>
      </c>
      <c r="J31" s="77">
        <f t="shared" si="6"/>
        <v>34085.1</v>
      </c>
      <c r="K31" s="77">
        <f t="shared" si="6"/>
        <v>186633</v>
      </c>
      <c r="L31" s="77">
        <f t="shared" si="6"/>
        <v>59122.75</v>
      </c>
      <c r="M31" s="77">
        <f t="shared" si="6"/>
        <v>160.35</v>
      </c>
      <c r="N31" s="77">
        <f t="shared" si="6"/>
        <v>0</v>
      </c>
      <c r="O31" s="77">
        <f t="shared" si="6"/>
        <v>2774.54</v>
      </c>
      <c r="P31" s="77">
        <f t="shared" si="6"/>
        <v>0</v>
      </c>
      <c r="Q31" s="77">
        <f t="shared" si="6"/>
        <v>150.94999999999999</v>
      </c>
      <c r="R31" s="77">
        <f t="shared" si="6"/>
        <v>0</v>
      </c>
      <c r="S31" s="77">
        <f t="shared" si="6"/>
        <v>0</v>
      </c>
      <c r="T31" s="77">
        <f t="shared" si="6"/>
        <v>0</v>
      </c>
      <c r="U31" s="77">
        <f t="shared" si="6"/>
        <v>129372.2</v>
      </c>
      <c r="V31" s="77">
        <f t="shared" si="6"/>
        <v>17500.37</v>
      </c>
      <c r="W31" s="77">
        <f t="shared" si="6"/>
        <v>0</v>
      </c>
      <c r="X31" s="77">
        <f t="shared" si="6"/>
        <v>2739.05</v>
      </c>
      <c r="Y31" s="77">
        <f t="shared" si="6"/>
        <v>217191.88</v>
      </c>
      <c r="Z31" s="77">
        <f t="shared" si="6"/>
        <v>15829.95</v>
      </c>
      <c r="AA31" s="77">
        <f t="shared" si="6"/>
        <v>23939.82</v>
      </c>
      <c r="AB31" s="77">
        <f t="shared" si="6"/>
        <v>0</v>
      </c>
      <c r="AC31" s="77">
        <f t="shared" si="6"/>
        <v>0</v>
      </c>
      <c r="AD31" s="77">
        <f t="shared" si="6"/>
        <v>80452.97</v>
      </c>
      <c r="AE31" s="77">
        <f t="shared" si="6"/>
        <v>0</v>
      </c>
      <c r="AF31" s="77">
        <f t="shared" si="6"/>
        <v>791164.11999999988</v>
      </c>
      <c r="AG31">
        <v>29</v>
      </c>
    </row>
    <row r="32" spans="2:33" x14ac:dyDescent="0.25">
      <c r="C32">
        <v>340</v>
      </c>
      <c r="D32" t="s">
        <v>102</v>
      </c>
      <c r="E32" s="4">
        <v>17579.8</v>
      </c>
      <c r="F32" s="4">
        <v>168.76</v>
      </c>
      <c r="G32" s="4">
        <v>0</v>
      </c>
      <c r="H32" s="4">
        <v>0</v>
      </c>
      <c r="I32" s="4">
        <v>0</v>
      </c>
      <c r="J32" s="4">
        <v>28013.95</v>
      </c>
      <c r="K32" s="4">
        <v>186633</v>
      </c>
      <c r="L32" s="4">
        <v>59122.75</v>
      </c>
      <c r="M32" s="4">
        <v>160.35</v>
      </c>
      <c r="N32" s="4">
        <v>0</v>
      </c>
      <c r="O32" s="4">
        <v>2774.54</v>
      </c>
      <c r="P32" s="4"/>
      <c r="Q32" s="4">
        <v>150.94999999999999</v>
      </c>
      <c r="R32" s="4">
        <v>0</v>
      </c>
      <c r="S32" s="4">
        <v>0</v>
      </c>
      <c r="T32" s="4"/>
      <c r="U32" s="4">
        <v>12971.45</v>
      </c>
      <c r="V32" s="4">
        <v>17500.37</v>
      </c>
      <c r="W32" s="4">
        <v>0</v>
      </c>
      <c r="X32" s="4">
        <v>2739.05</v>
      </c>
      <c r="Y32" s="4">
        <v>217191.88</v>
      </c>
      <c r="Z32" s="4">
        <v>15829.95</v>
      </c>
      <c r="AA32" s="4">
        <v>23939.82</v>
      </c>
      <c r="AB32" s="4"/>
      <c r="AC32" s="4">
        <v>0</v>
      </c>
      <c r="AD32" s="4">
        <v>80452.97</v>
      </c>
      <c r="AE32" s="4">
        <v>0</v>
      </c>
      <c r="AF32" s="4">
        <f t="shared" ref="AF32:AF37" si="7">SUM(E32:AE32)</f>
        <v>665229.58999999985</v>
      </c>
      <c r="AG32">
        <v>30</v>
      </c>
    </row>
    <row r="33" spans="2:33" x14ac:dyDescent="0.25">
      <c r="C33">
        <v>341</v>
      </c>
      <c r="D33" t="s">
        <v>103</v>
      </c>
      <c r="E33" s="4">
        <v>0</v>
      </c>
      <c r="F33" s="4">
        <v>0</v>
      </c>
      <c r="G33" s="4">
        <v>0</v>
      </c>
      <c r="H33" s="4">
        <v>0</v>
      </c>
      <c r="I33" s="4">
        <v>0</v>
      </c>
      <c r="J33" s="4">
        <v>0</v>
      </c>
      <c r="K33" s="4">
        <v>0</v>
      </c>
      <c r="L33" s="4">
        <v>0</v>
      </c>
      <c r="M33" s="4">
        <v>0</v>
      </c>
      <c r="N33" s="4">
        <v>0</v>
      </c>
      <c r="O33" s="4">
        <v>0</v>
      </c>
      <c r="P33" s="4"/>
      <c r="Q33" s="4">
        <v>0</v>
      </c>
      <c r="R33" s="4">
        <v>0</v>
      </c>
      <c r="S33" s="4">
        <v>0</v>
      </c>
      <c r="T33" s="4"/>
      <c r="U33" s="4"/>
      <c r="V33" s="4">
        <v>0</v>
      </c>
      <c r="W33" s="4">
        <v>0</v>
      </c>
      <c r="X33" s="4">
        <v>0</v>
      </c>
      <c r="Y33" s="4">
        <v>0</v>
      </c>
      <c r="Z33" s="4">
        <v>0</v>
      </c>
      <c r="AA33" s="4">
        <v>0</v>
      </c>
      <c r="AB33" s="4"/>
      <c r="AC33" s="4">
        <v>0</v>
      </c>
      <c r="AD33" s="4">
        <v>0</v>
      </c>
      <c r="AE33" s="4">
        <v>0</v>
      </c>
      <c r="AF33" s="4">
        <f t="shared" si="7"/>
        <v>0</v>
      </c>
      <c r="AG33">
        <v>31</v>
      </c>
    </row>
    <row r="34" spans="2:33" x14ac:dyDescent="0.25">
      <c r="C34">
        <v>342</v>
      </c>
      <c r="D34" t="s">
        <v>104</v>
      </c>
      <c r="E34" s="4">
        <v>0</v>
      </c>
      <c r="F34" s="4">
        <v>0</v>
      </c>
      <c r="G34" s="4">
        <v>0</v>
      </c>
      <c r="H34" s="4">
        <v>0</v>
      </c>
      <c r="I34" s="4">
        <v>0</v>
      </c>
      <c r="J34" s="4">
        <v>0</v>
      </c>
      <c r="K34" s="4">
        <v>0</v>
      </c>
      <c r="L34" s="4">
        <v>0</v>
      </c>
      <c r="M34" s="4">
        <v>0</v>
      </c>
      <c r="N34" s="4">
        <v>0</v>
      </c>
      <c r="O34" s="4">
        <v>0</v>
      </c>
      <c r="P34" s="4"/>
      <c r="Q34" s="4">
        <v>0</v>
      </c>
      <c r="R34" s="4">
        <v>0</v>
      </c>
      <c r="S34" s="4">
        <v>0</v>
      </c>
      <c r="T34" s="4"/>
      <c r="U34" s="4">
        <v>0</v>
      </c>
      <c r="V34" s="4">
        <v>0</v>
      </c>
      <c r="W34" s="4">
        <v>0</v>
      </c>
      <c r="X34" s="4">
        <v>0</v>
      </c>
      <c r="Y34" s="4">
        <v>0</v>
      </c>
      <c r="Z34" s="4">
        <v>0</v>
      </c>
      <c r="AA34" s="4">
        <v>0</v>
      </c>
      <c r="AB34" s="4"/>
      <c r="AC34" s="4">
        <v>0</v>
      </c>
      <c r="AD34" s="4">
        <v>0</v>
      </c>
      <c r="AE34" s="4">
        <v>0</v>
      </c>
      <c r="AF34" s="4">
        <f t="shared" si="7"/>
        <v>0</v>
      </c>
      <c r="AG34">
        <v>32</v>
      </c>
    </row>
    <row r="35" spans="2:33" x14ac:dyDescent="0.25">
      <c r="C35">
        <v>343</v>
      </c>
      <c r="D35" t="s">
        <v>105</v>
      </c>
      <c r="E35" s="4">
        <v>0</v>
      </c>
      <c r="F35" s="4">
        <v>0</v>
      </c>
      <c r="G35" s="4">
        <v>0</v>
      </c>
      <c r="H35" s="4">
        <v>0</v>
      </c>
      <c r="I35" s="4">
        <v>0</v>
      </c>
      <c r="J35" s="4">
        <v>0</v>
      </c>
      <c r="K35" s="4">
        <v>0</v>
      </c>
      <c r="L35" s="4">
        <v>0</v>
      </c>
      <c r="M35" s="4">
        <v>0</v>
      </c>
      <c r="N35" s="4">
        <v>0</v>
      </c>
      <c r="O35" s="4">
        <v>0</v>
      </c>
      <c r="P35" s="4"/>
      <c r="Q35" s="4">
        <v>0</v>
      </c>
      <c r="R35" s="4">
        <v>0</v>
      </c>
      <c r="S35" s="4">
        <v>0</v>
      </c>
      <c r="T35" s="4"/>
      <c r="U35" s="4">
        <v>116400.75</v>
      </c>
      <c r="V35" s="4">
        <v>0</v>
      </c>
      <c r="W35" s="4">
        <v>0</v>
      </c>
      <c r="X35" s="4">
        <v>0</v>
      </c>
      <c r="Y35" s="4">
        <v>0</v>
      </c>
      <c r="Z35" s="4">
        <v>0</v>
      </c>
      <c r="AA35" s="4">
        <v>0</v>
      </c>
      <c r="AB35" s="4"/>
      <c r="AC35" s="4">
        <v>0</v>
      </c>
      <c r="AD35" s="4">
        <v>0</v>
      </c>
      <c r="AE35" s="4">
        <v>0</v>
      </c>
      <c r="AF35" s="4">
        <f t="shared" si="7"/>
        <v>116400.75</v>
      </c>
      <c r="AG35">
        <v>33</v>
      </c>
    </row>
    <row r="36" spans="2:33" x14ac:dyDescent="0.25">
      <c r="C36">
        <v>344</v>
      </c>
      <c r="D36" t="s">
        <v>106</v>
      </c>
      <c r="E36" s="4">
        <v>0</v>
      </c>
      <c r="F36" s="4">
        <v>0</v>
      </c>
      <c r="G36" s="4">
        <v>0</v>
      </c>
      <c r="H36" s="4">
        <v>0</v>
      </c>
      <c r="I36" s="4">
        <v>0</v>
      </c>
      <c r="J36" s="4">
        <v>0</v>
      </c>
      <c r="K36" s="4">
        <v>0</v>
      </c>
      <c r="L36" s="4">
        <v>0</v>
      </c>
      <c r="M36" s="4">
        <v>0</v>
      </c>
      <c r="N36" s="4">
        <v>0</v>
      </c>
      <c r="O36" s="4">
        <v>0</v>
      </c>
      <c r="P36" s="4"/>
      <c r="Q36" s="4">
        <v>0</v>
      </c>
      <c r="R36" s="4">
        <v>0</v>
      </c>
      <c r="S36" s="4">
        <v>0</v>
      </c>
      <c r="T36" s="4"/>
      <c r="U36" s="4">
        <v>0</v>
      </c>
      <c r="V36" s="4">
        <v>0</v>
      </c>
      <c r="W36" s="4">
        <v>0</v>
      </c>
      <c r="X36" s="4">
        <v>0</v>
      </c>
      <c r="Y36" s="4">
        <v>0</v>
      </c>
      <c r="Z36" s="4">
        <v>0</v>
      </c>
      <c r="AA36" s="4">
        <v>0</v>
      </c>
      <c r="AB36" s="4"/>
      <c r="AC36" s="4">
        <v>0</v>
      </c>
      <c r="AD36" s="4">
        <v>0</v>
      </c>
      <c r="AE36" s="4">
        <v>0</v>
      </c>
      <c r="AF36" s="4">
        <f t="shared" si="7"/>
        <v>0</v>
      </c>
      <c r="AG36">
        <v>34</v>
      </c>
    </row>
    <row r="37" spans="2:33" x14ac:dyDescent="0.25">
      <c r="C37">
        <v>349</v>
      </c>
      <c r="D37" t="s">
        <v>107</v>
      </c>
      <c r="E37" s="4">
        <v>0</v>
      </c>
      <c r="F37" s="4">
        <v>-657.95</v>
      </c>
      <c r="G37" s="4">
        <v>0</v>
      </c>
      <c r="H37" s="4">
        <v>4120.58</v>
      </c>
      <c r="I37" s="4">
        <v>0</v>
      </c>
      <c r="J37" s="4">
        <v>6071.15</v>
      </c>
      <c r="K37" s="4">
        <v>0</v>
      </c>
      <c r="L37" s="4">
        <v>0</v>
      </c>
      <c r="M37" s="4">
        <v>0</v>
      </c>
      <c r="N37" s="4">
        <v>0</v>
      </c>
      <c r="O37" s="4">
        <v>0</v>
      </c>
      <c r="P37" s="4"/>
      <c r="Q37" s="4">
        <v>0</v>
      </c>
      <c r="R37" s="4">
        <v>0</v>
      </c>
      <c r="S37" s="4">
        <v>0</v>
      </c>
      <c r="T37" s="4"/>
      <c r="U37" s="4">
        <v>0</v>
      </c>
      <c r="V37" s="4">
        <v>0</v>
      </c>
      <c r="W37" s="4">
        <v>0</v>
      </c>
      <c r="X37" s="4">
        <v>0</v>
      </c>
      <c r="Y37" s="4">
        <v>0</v>
      </c>
      <c r="Z37" s="4">
        <v>0</v>
      </c>
      <c r="AA37" s="4">
        <v>0</v>
      </c>
      <c r="AB37" s="4"/>
      <c r="AC37" s="4">
        <v>0</v>
      </c>
      <c r="AD37" s="4">
        <v>0</v>
      </c>
      <c r="AE37" s="4">
        <v>0</v>
      </c>
      <c r="AF37" s="4">
        <f t="shared" si="7"/>
        <v>9533.7799999999988</v>
      </c>
      <c r="AG37">
        <v>35</v>
      </c>
    </row>
    <row r="38" spans="2:33" x14ac:dyDescent="0.25">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v>36</v>
      </c>
    </row>
    <row r="39" spans="2:33" x14ac:dyDescent="0.25">
      <c r="B39" s="76">
        <v>35</v>
      </c>
      <c r="C39" s="76"/>
      <c r="D39" s="76" t="s">
        <v>109</v>
      </c>
      <c r="E39" s="77">
        <f>E40+E41</f>
        <v>0</v>
      </c>
      <c r="F39" s="77">
        <f t="shared" ref="F39:AF39" si="8">F40+F41</f>
        <v>750000</v>
      </c>
      <c r="G39" s="77">
        <f t="shared" si="8"/>
        <v>0</v>
      </c>
      <c r="H39" s="77">
        <f t="shared" si="8"/>
        <v>0</v>
      </c>
      <c r="I39" s="77">
        <f t="shared" si="8"/>
        <v>0</v>
      </c>
      <c r="J39" s="77">
        <f t="shared" si="8"/>
        <v>0</v>
      </c>
      <c r="K39" s="77">
        <f t="shared" si="8"/>
        <v>0</v>
      </c>
      <c r="L39" s="77">
        <f t="shared" si="8"/>
        <v>0</v>
      </c>
      <c r="M39" s="77">
        <f t="shared" si="8"/>
        <v>0</v>
      </c>
      <c r="N39" s="77">
        <f t="shared" si="8"/>
        <v>0</v>
      </c>
      <c r="O39" s="77">
        <f t="shared" si="8"/>
        <v>465000</v>
      </c>
      <c r="P39" s="77">
        <f t="shared" si="8"/>
        <v>0</v>
      </c>
      <c r="Q39" s="77">
        <f t="shared" si="8"/>
        <v>0</v>
      </c>
      <c r="R39" s="77">
        <f t="shared" si="8"/>
        <v>0</v>
      </c>
      <c r="S39" s="77">
        <f t="shared" si="8"/>
        <v>0</v>
      </c>
      <c r="T39" s="77">
        <f t="shared" si="8"/>
        <v>0</v>
      </c>
      <c r="U39" s="77">
        <f t="shared" si="8"/>
        <v>0</v>
      </c>
      <c r="V39" s="77">
        <f t="shared" si="8"/>
        <v>0</v>
      </c>
      <c r="W39" s="77">
        <f t="shared" si="8"/>
        <v>0</v>
      </c>
      <c r="X39" s="77">
        <f t="shared" si="8"/>
        <v>0</v>
      </c>
      <c r="Y39" s="77">
        <f t="shared" si="8"/>
        <v>0</v>
      </c>
      <c r="Z39" s="77">
        <f t="shared" si="8"/>
        <v>0</v>
      </c>
      <c r="AA39" s="77">
        <f t="shared" si="8"/>
        <v>415500</v>
      </c>
      <c r="AB39" s="77">
        <f t="shared" si="8"/>
        <v>0</v>
      </c>
      <c r="AC39" s="77">
        <f t="shared" si="8"/>
        <v>15177.7</v>
      </c>
      <c r="AD39" s="77">
        <f t="shared" si="8"/>
        <v>0</v>
      </c>
      <c r="AE39" s="77">
        <f t="shared" si="8"/>
        <v>88000</v>
      </c>
      <c r="AF39" s="77">
        <f t="shared" si="8"/>
        <v>1733677.7</v>
      </c>
      <c r="AG39">
        <v>37</v>
      </c>
    </row>
    <row r="40" spans="2:33" x14ac:dyDescent="0.25">
      <c r="C40">
        <v>350</v>
      </c>
      <c r="D40" t="s">
        <v>109</v>
      </c>
      <c r="E40" s="4">
        <v>0</v>
      </c>
      <c r="F40" s="4">
        <v>0</v>
      </c>
      <c r="G40" s="4">
        <v>0</v>
      </c>
      <c r="H40" s="4">
        <v>0</v>
      </c>
      <c r="I40" s="4">
        <v>0</v>
      </c>
      <c r="J40" s="4">
        <v>0</v>
      </c>
      <c r="K40" s="4">
        <v>0</v>
      </c>
      <c r="L40" s="4">
        <v>0</v>
      </c>
      <c r="M40" s="4">
        <v>0</v>
      </c>
      <c r="N40" s="4">
        <v>0</v>
      </c>
      <c r="O40" s="4">
        <v>0</v>
      </c>
      <c r="P40" s="4"/>
      <c r="Q40" s="4">
        <v>0</v>
      </c>
      <c r="R40" s="4">
        <v>0</v>
      </c>
      <c r="S40" s="4">
        <v>0</v>
      </c>
      <c r="T40" s="4"/>
      <c r="U40" s="4">
        <v>0</v>
      </c>
      <c r="V40" s="4">
        <v>0</v>
      </c>
      <c r="W40" s="4">
        <v>0</v>
      </c>
      <c r="X40" s="4">
        <v>0</v>
      </c>
      <c r="Y40" s="4">
        <v>0</v>
      </c>
      <c r="Z40" s="4">
        <v>0</v>
      </c>
      <c r="AA40" s="4">
        <v>0</v>
      </c>
      <c r="AB40" s="4"/>
      <c r="AC40" s="4">
        <v>15177.7</v>
      </c>
      <c r="AD40" s="4">
        <v>0</v>
      </c>
      <c r="AE40" s="4">
        <v>0</v>
      </c>
      <c r="AF40" s="4">
        <f t="shared" ref="AF40:AF41" si="9">SUM(E40:AE40)</f>
        <v>15177.7</v>
      </c>
      <c r="AG40">
        <v>38</v>
      </c>
    </row>
    <row r="41" spans="2:33" x14ac:dyDescent="0.25">
      <c r="C41">
        <v>351</v>
      </c>
      <c r="D41" t="s">
        <v>108</v>
      </c>
      <c r="E41" s="4">
        <v>0</v>
      </c>
      <c r="F41" s="4">
        <v>750000</v>
      </c>
      <c r="G41" s="4">
        <v>0</v>
      </c>
      <c r="H41" s="4">
        <v>0</v>
      </c>
      <c r="I41" s="4">
        <v>0</v>
      </c>
      <c r="J41" s="4">
        <v>0</v>
      </c>
      <c r="K41" s="4">
        <v>0</v>
      </c>
      <c r="L41" s="4">
        <v>0</v>
      </c>
      <c r="M41" s="4">
        <v>0</v>
      </c>
      <c r="N41" s="4">
        <v>0</v>
      </c>
      <c r="O41" s="4">
        <v>465000</v>
      </c>
      <c r="P41" s="4"/>
      <c r="Q41" s="4">
        <v>0</v>
      </c>
      <c r="R41" s="4">
        <v>0</v>
      </c>
      <c r="S41" s="4">
        <v>0</v>
      </c>
      <c r="T41" s="4"/>
      <c r="U41" s="4">
        <v>0</v>
      </c>
      <c r="V41" s="4">
        <v>0</v>
      </c>
      <c r="W41" s="4">
        <v>0</v>
      </c>
      <c r="X41" s="4">
        <v>0</v>
      </c>
      <c r="Y41" s="4">
        <v>0</v>
      </c>
      <c r="Z41" s="4">
        <v>0</v>
      </c>
      <c r="AA41" s="4">
        <v>415500</v>
      </c>
      <c r="AB41" s="4"/>
      <c r="AC41" s="4">
        <v>0</v>
      </c>
      <c r="AD41" s="4">
        <v>0</v>
      </c>
      <c r="AE41" s="4">
        <v>88000</v>
      </c>
      <c r="AF41" s="4">
        <f t="shared" si="9"/>
        <v>1718500</v>
      </c>
      <c r="AG41">
        <v>39</v>
      </c>
    </row>
    <row r="42" spans="2:33" x14ac:dyDescent="0.25">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v>40</v>
      </c>
    </row>
    <row r="43" spans="2:33" x14ac:dyDescent="0.25">
      <c r="B43" s="76">
        <v>36</v>
      </c>
      <c r="C43" s="76"/>
      <c r="D43" s="76" t="s">
        <v>110</v>
      </c>
      <c r="E43" s="77">
        <f>E44+E45+E46+E47+E48+E49+E50+E51</f>
        <v>0</v>
      </c>
      <c r="F43" s="77">
        <f t="shared" ref="F43:AF43" si="10">F44+F45+F46+F47+F48+F49+F50+F51</f>
        <v>367356</v>
      </c>
      <c r="G43" s="77">
        <f t="shared" si="10"/>
        <v>0</v>
      </c>
      <c r="H43" s="77">
        <f t="shared" si="10"/>
        <v>651844.85000000009</v>
      </c>
      <c r="I43" s="77">
        <f t="shared" si="10"/>
        <v>0</v>
      </c>
      <c r="J43" s="77">
        <f t="shared" si="10"/>
        <v>0</v>
      </c>
      <c r="K43" s="77">
        <f t="shared" si="10"/>
        <v>0</v>
      </c>
      <c r="L43" s="77">
        <f t="shared" si="10"/>
        <v>0</v>
      </c>
      <c r="M43" s="77">
        <f t="shared" si="10"/>
        <v>0</v>
      </c>
      <c r="N43" s="77">
        <f t="shared" si="10"/>
        <v>10110.25</v>
      </c>
      <c r="O43" s="77">
        <f t="shared" si="10"/>
        <v>0</v>
      </c>
      <c r="P43" s="77">
        <f t="shared" si="10"/>
        <v>0</v>
      </c>
      <c r="Q43" s="77">
        <f t="shared" si="10"/>
        <v>0</v>
      </c>
      <c r="R43" s="77">
        <f t="shared" si="10"/>
        <v>0</v>
      </c>
      <c r="S43" s="77">
        <f t="shared" si="10"/>
        <v>0</v>
      </c>
      <c r="T43" s="77">
        <f t="shared" si="10"/>
        <v>0</v>
      </c>
      <c r="U43" s="77">
        <f t="shared" si="10"/>
        <v>0</v>
      </c>
      <c r="V43" s="77">
        <f t="shared" si="10"/>
        <v>19079.849999999999</v>
      </c>
      <c r="W43" s="77">
        <f t="shared" si="10"/>
        <v>0</v>
      </c>
      <c r="X43" s="77">
        <f t="shared" si="10"/>
        <v>0</v>
      </c>
      <c r="Y43" s="77">
        <f t="shared" si="10"/>
        <v>480195.12</v>
      </c>
      <c r="Z43" s="77">
        <f t="shared" si="10"/>
        <v>0</v>
      </c>
      <c r="AA43" s="77">
        <f t="shared" si="10"/>
        <v>0</v>
      </c>
      <c r="AB43" s="77">
        <f t="shared" si="10"/>
        <v>0</v>
      </c>
      <c r="AC43" s="77">
        <f t="shared" si="10"/>
        <v>89637.75</v>
      </c>
      <c r="AD43" s="77">
        <f t="shared" si="10"/>
        <v>0</v>
      </c>
      <c r="AE43" s="77">
        <f t="shared" si="10"/>
        <v>9612</v>
      </c>
      <c r="AF43" s="77">
        <f t="shared" si="10"/>
        <v>1627835.82</v>
      </c>
      <c r="AG43">
        <v>41</v>
      </c>
    </row>
    <row r="44" spans="2:33" x14ac:dyDescent="0.25">
      <c r="C44">
        <v>360</v>
      </c>
      <c r="D44" t="s">
        <v>111</v>
      </c>
      <c r="E44" s="4">
        <v>0</v>
      </c>
      <c r="F44" s="4">
        <v>0</v>
      </c>
      <c r="G44" s="4">
        <v>0</v>
      </c>
      <c r="H44" s="4">
        <v>194375</v>
      </c>
      <c r="I44" s="4">
        <v>0</v>
      </c>
      <c r="J44" s="4">
        <v>0</v>
      </c>
      <c r="K44" s="4">
        <v>0</v>
      </c>
      <c r="L44" s="4">
        <v>0</v>
      </c>
      <c r="M44" s="4">
        <v>0</v>
      </c>
      <c r="N44" s="4">
        <v>110.25</v>
      </c>
      <c r="O44" s="4">
        <v>0</v>
      </c>
      <c r="P44" s="4"/>
      <c r="Q44" s="4">
        <v>0</v>
      </c>
      <c r="R44" s="4">
        <v>0</v>
      </c>
      <c r="S44" s="4">
        <v>0</v>
      </c>
      <c r="T44" s="4"/>
      <c r="U44" s="4">
        <v>0</v>
      </c>
      <c r="V44" s="4">
        <v>0</v>
      </c>
      <c r="W44" s="4">
        <v>0</v>
      </c>
      <c r="X44" s="4">
        <v>0</v>
      </c>
      <c r="Y44" s="4">
        <v>0</v>
      </c>
      <c r="Z44" s="4">
        <v>0</v>
      </c>
      <c r="AA44" s="4">
        <v>0</v>
      </c>
      <c r="AB44" s="4"/>
      <c r="AC44" s="4">
        <v>0</v>
      </c>
      <c r="AD44" s="4">
        <v>0</v>
      </c>
      <c r="AE44" s="4">
        <v>0</v>
      </c>
      <c r="AF44" s="4">
        <f t="shared" ref="AF44:AF51" si="11">SUM(E44:AE44)</f>
        <v>194485.25</v>
      </c>
      <c r="AG44">
        <v>42</v>
      </c>
    </row>
    <row r="45" spans="2:33" x14ac:dyDescent="0.25">
      <c r="C45">
        <v>361</v>
      </c>
      <c r="D45" t="s">
        <v>112</v>
      </c>
      <c r="E45" s="4">
        <v>0</v>
      </c>
      <c r="F45" s="4">
        <v>0</v>
      </c>
      <c r="G45" s="4">
        <v>0</v>
      </c>
      <c r="H45" s="4">
        <v>456563.55</v>
      </c>
      <c r="I45" s="4">
        <v>0</v>
      </c>
      <c r="J45" s="4">
        <v>0</v>
      </c>
      <c r="K45" s="4">
        <v>0</v>
      </c>
      <c r="L45" s="4">
        <v>0</v>
      </c>
      <c r="M45" s="4">
        <v>0</v>
      </c>
      <c r="N45" s="4">
        <v>5000</v>
      </c>
      <c r="O45" s="4">
        <v>0</v>
      </c>
      <c r="P45" s="4"/>
      <c r="Q45" s="4">
        <v>0</v>
      </c>
      <c r="R45" s="4">
        <v>0</v>
      </c>
      <c r="S45" s="4">
        <v>0</v>
      </c>
      <c r="T45" s="4"/>
      <c r="U45" s="4">
        <v>0</v>
      </c>
      <c r="V45" s="4">
        <v>19079.849999999999</v>
      </c>
      <c r="W45" s="4">
        <v>0</v>
      </c>
      <c r="X45" s="4">
        <v>0</v>
      </c>
      <c r="Y45" s="4">
        <v>474195.12</v>
      </c>
      <c r="Z45" s="4">
        <v>0</v>
      </c>
      <c r="AA45" s="4">
        <v>0</v>
      </c>
      <c r="AB45" s="4"/>
      <c r="AC45" s="4">
        <v>89637.75</v>
      </c>
      <c r="AD45" s="4">
        <v>0</v>
      </c>
      <c r="AE45" s="4">
        <v>0</v>
      </c>
      <c r="AF45" s="4">
        <f t="shared" si="11"/>
        <v>1044476.27</v>
      </c>
      <c r="AG45">
        <v>43</v>
      </c>
    </row>
    <row r="46" spans="2:33" x14ac:dyDescent="0.25">
      <c r="C46">
        <v>362</v>
      </c>
      <c r="D46" t="s">
        <v>113</v>
      </c>
      <c r="E46" s="4">
        <v>0</v>
      </c>
      <c r="F46" s="4">
        <v>0</v>
      </c>
      <c r="G46" s="4">
        <v>0</v>
      </c>
      <c r="H46" s="4">
        <v>0</v>
      </c>
      <c r="I46" s="4">
        <v>0</v>
      </c>
      <c r="J46" s="4">
        <v>0</v>
      </c>
      <c r="K46" s="4">
        <v>0</v>
      </c>
      <c r="L46" s="4">
        <v>0</v>
      </c>
      <c r="M46" s="4">
        <v>0</v>
      </c>
      <c r="N46" s="4">
        <v>0</v>
      </c>
      <c r="O46" s="4">
        <v>0</v>
      </c>
      <c r="P46" s="4"/>
      <c r="Q46" s="4">
        <v>0</v>
      </c>
      <c r="R46" s="4">
        <v>0</v>
      </c>
      <c r="S46" s="4">
        <v>0</v>
      </c>
      <c r="T46" s="4"/>
      <c r="U46" s="4">
        <v>0</v>
      </c>
      <c r="V46" s="4">
        <v>0</v>
      </c>
      <c r="W46" s="4">
        <v>0</v>
      </c>
      <c r="X46" s="4">
        <v>0</v>
      </c>
      <c r="Y46" s="4">
        <v>0</v>
      </c>
      <c r="Z46" s="4">
        <v>0</v>
      </c>
      <c r="AA46" s="4">
        <v>0</v>
      </c>
      <c r="AB46" s="4"/>
      <c r="AC46" s="4">
        <v>0</v>
      </c>
      <c r="AD46" s="4">
        <v>0</v>
      </c>
      <c r="AE46" s="4">
        <v>0</v>
      </c>
      <c r="AF46" s="4">
        <f t="shared" si="11"/>
        <v>0</v>
      </c>
      <c r="AG46">
        <v>44</v>
      </c>
    </row>
    <row r="47" spans="2:33" x14ac:dyDescent="0.25">
      <c r="C47">
        <v>363</v>
      </c>
      <c r="D47" t="s">
        <v>114</v>
      </c>
      <c r="E47" s="4">
        <v>0</v>
      </c>
      <c r="F47" s="4">
        <v>39000</v>
      </c>
      <c r="G47" s="4">
        <v>0</v>
      </c>
      <c r="H47" s="4">
        <v>906.3</v>
      </c>
      <c r="I47" s="4">
        <v>0</v>
      </c>
      <c r="J47" s="4">
        <v>0</v>
      </c>
      <c r="K47" s="4">
        <v>0</v>
      </c>
      <c r="L47" s="4">
        <v>0</v>
      </c>
      <c r="M47" s="4">
        <v>0</v>
      </c>
      <c r="N47" s="4">
        <v>5000</v>
      </c>
      <c r="O47" s="4">
        <v>0</v>
      </c>
      <c r="P47" s="4"/>
      <c r="Q47" s="4">
        <v>0</v>
      </c>
      <c r="R47" s="4">
        <v>0</v>
      </c>
      <c r="S47" s="4">
        <v>0</v>
      </c>
      <c r="T47" s="4"/>
      <c r="U47" s="4">
        <v>0</v>
      </c>
      <c r="V47" s="4">
        <v>0</v>
      </c>
      <c r="W47" s="4">
        <v>0</v>
      </c>
      <c r="X47" s="4">
        <v>0</v>
      </c>
      <c r="Y47" s="4">
        <v>6000</v>
      </c>
      <c r="Z47" s="4">
        <v>0</v>
      </c>
      <c r="AA47" s="4">
        <v>0</v>
      </c>
      <c r="AB47" s="4"/>
      <c r="AC47" s="4">
        <v>0</v>
      </c>
      <c r="AD47" s="4">
        <v>0</v>
      </c>
      <c r="AE47" s="4">
        <v>0</v>
      </c>
      <c r="AF47" s="4">
        <f t="shared" si="11"/>
        <v>50906.3</v>
      </c>
      <c r="AG47">
        <v>45</v>
      </c>
    </row>
    <row r="48" spans="2:33" x14ac:dyDescent="0.25">
      <c r="C48">
        <v>364</v>
      </c>
      <c r="D48" t="s">
        <v>115</v>
      </c>
      <c r="E48" s="4">
        <v>0</v>
      </c>
      <c r="F48" s="4">
        <v>0</v>
      </c>
      <c r="G48" s="4">
        <v>0</v>
      </c>
      <c r="H48" s="4">
        <v>0</v>
      </c>
      <c r="I48" s="4">
        <v>0</v>
      </c>
      <c r="J48" s="4">
        <v>0</v>
      </c>
      <c r="K48" s="4">
        <v>0</v>
      </c>
      <c r="L48" s="4">
        <v>0</v>
      </c>
      <c r="M48" s="4">
        <v>0</v>
      </c>
      <c r="N48" s="4">
        <v>0</v>
      </c>
      <c r="O48" s="4">
        <v>0</v>
      </c>
      <c r="P48" s="4"/>
      <c r="Q48" s="4">
        <v>0</v>
      </c>
      <c r="R48" s="4">
        <v>0</v>
      </c>
      <c r="S48" s="4">
        <v>0</v>
      </c>
      <c r="T48" s="4"/>
      <c r="U48" s="4">
        <v>0</v>
      </c>
      <c r="V48" s="4">
        <v>0</v>
      </c>
      <c r="W48" s="4">
        <v>0</v>
      </c>
      <c r="X48" s="4">
        <v>0</v>
      </c>
      <c r="Y48" s="4">
        <v>0</v>
      </c>
      <c r="Z48" s="4">
        <v>0</v>
      </c>
      <c r="AA48" s="4">
        <v>0</v>
      </c>
      <c r="AB48" s="4"/>
      <c r="AC48" s="4">
        <v>0</v>
      </c>
      <c r="AD48" s="4">
        <v>0</v>
      </c>
      <c r="AE48" s="4">
        <v>0</v>
      </c>
      <c r="AF48" s="4">
        <f t="shared" si="11"/>
        <v>0</v>
      </c>
      <c r="AG48">
        <v>46</v>
      </c>
    </row>
    <row r="49" spans="2:33" x14ac:dyDescent="0.25">
      <c r="C49">
        <v>365</v>
      </c>
      <c r="D49" t="s">
        <v>116</v>
      </c>
      <c r="E49" s="4">
        <v>0</v>
      </c>
      <c r="F49" s="4">
        <v>0</v>
      </c>
      <c r="G49" s="4">
        <v>0</v>
      </c>
      <c r="H49" s="4">
        <v>0</v>
      </c>
      <c r="I49" s="4">
        <v>0</v>
      </c>
      <c r="J49" s="4">
        <v>0</v>
      </c>
      <c r="K49" s="4">
        <v>0</v>
      </c>
      <c r="L49" s="4">
        <v>0</v>
      </c>
      <c r="M49" s="4">
        <v>0</v>
      </c>
      <c r="N49" s="4">
        <v>0</v>
      </c>
      <c r="O49" s="4">
        <v>0</v>
      </c>
      <c r="P49" s="4"/>
      <c r="Q49" s="4">
        <v>0</v>
      </c>
      <c r="R49" s="4">
        <v>0</v>
      </c>
      <c r="S49" s="4">
        <v>0</v>
      </c>
      <c r="T49" s="4"/>
      <c r="U49" s="4">
        <v>0</v>
      </c>
      <c r="V49" s="4">
        <v>0</v>
      </c>
      <c r="W49" s="4">
        <v>0</v>
      </c>
      <c r="X49" s="4">
        <v>0</v>
      </c>
      <c r="Y49" s="4">
        <v>0</v>
      </c>
      <c r="Z49" s="4">
        <v>0</v>
      </c>
      <c r="AA49" s="4">
        <v>0</v>
      </c>
      <c r="AB49" s="4"/>
      <c r="AC49" s="4">
        <v>0</v>
      </c>
      <c r="AD49" s="4">
        <v>0</v>
      </c>
      <c r="AE49" s="4">
        <v>0</v>
      </c>
      <c r="AF49" s="4">
        <f t="shared" si="11"/>
        <v>0</v>
      </c>
      <c r="AG49">
        <v>47</v>
      </c>
    </row>
    <row r="50" spans="2:33" x14ac:dyDescent="0.25">
      <c r="C50">
        <v>366</v>
      </c>
      <c r="D50" t="s">
        <v>117</v>
      </c>
      <c r="E50" s="4">
        <v>0</v>
      </c>
      <c r="F50" s="4">
        <v>0</v>
      </c>
      <c r="G50" s="4">
        <v>0</v>
      </c>
      <c r="H50" s="4">
        <v>0</v>
      </c>
      <c r="I50" s="4">
        <v>0</v>
      </c>
      <c r="J50" s="4">
        <v>0</v>
      </c>
      <c r="K50" s="4">
        <v>0</v>
      </c>
      <c r="L50" s="4">
        <v>0</v>
      </c>
      <c r="M50" s="4">
        <v>0</v>
      </c>
      <c r="N50" s="4">
        <v>0</v>
      </c>
      <c r="O50" s="4">
        <v>0</v>
      </c>
      <c r="P50" s="4"/>
      <c r="Q50" s="4">
        <v>0</v>
      </c>
      <c r="R50" s="4">
        <v>0</v>
      </c>
      <c r="S50" s="4">
        <v>0</v>
      </c>
      <c r="T50" s="4"/>
      <c r="U50" s="4">
        <v>0</v>
      </c>
      <c r="V50" s="4">
        <v>0</v>
      </c>
      <c r="W50" s="4">
        <v>0</v>
      </c>
      <c r="X50" s="4">
        <v>0</v>
      </c>
      <c r="Y50" s="4">
        <v>0</v>
      </c>
      <c r="Z50" s="4">
        <v>0</v>
      </c>
      <c r="AA50" s="4">
        <v>0</v>
      </c>
      <c r="AB50" s="4"/>
      <c r="AC50" s="4">
        <v>0</v>
      </c>
      <c r="AD50" s="4">
        <v>0</v>
      </c>
      <c r="AE50" s="4">
        <v>0</v>
      </c>
      <c r="AF50" s="4">
        <f t="shared" si="11"/>
        <v>0</v>
      </c>
      <c r="AG50">
        <v>48</v>
      </c>
    </row>
    <row r="51" spans="2:33" x14ac:dyDescent="0.25">
      <c r="C51">
        <v>369</v>
      </c>
      <c r="D51" t="s">
        <v>118</v>
      </c>
      <c r="E51" s="4">
        <v>0</v>
      </c>
      <c r="F51" s="4">
        <v>328356</v>
      </c>
      <c r="G51" s="4">
        <v>0</v>
      </c>
      <c r="H51" s="4">
        <v>0</v>
      </c>
      <c r="I51" s="4">
        <v>0</v>
      </c>
      <c r="J51" s="4">
        <v>0</v>
      </c>
      <c r="K51" s="4">
        <v>0</v>
      </c>
      <c r="L51" s="4">
        <v>0</v>
      </c>
      <c r="M51" s="4">
        <v>0</v>
      </c>
      <c r="N51" s="4">
        <v>0</v>
      </c>
      <c r="O51" s="4">
        <v>0</v>
      </c>
      <c r="P51" s="4"/>
      <c r="Q51" s="4">
        <v>0</v>
      </c>
      <c r="R51" s="4">
        <v>0</v>
      </c>
      <c r="S51" s="4">
        <v>0</v>
      </c>
      <c r="T51" s="4"/>
      <c r="U51" s="4">
        <v>0</v>
      </c>
      <c r="V51" s="4">
        <v>0</v>
      </c>
      <c r="W51" s="4">
        <v>0</v>
      </c>
      <c r="X51" s="4">
        <v>0</v>
      </c>
      <c r="Y51" s="4">
        <v>0</v>
      </c>
      <c r="Z51" s="4">
        <v>0</v>
      </c>
      <c r="AA51" s="4">
        <v>0</v>
      </c>
      <c r="AB51" s="4"/>
      <c r="AC51" s="4">
        <v>0</v>
      </c>
      <c r="AD51" s="4">
        <v>0</v>
      </c>
      <c r="AE51" s="4">
        <v>9612</v>
      </c>
      <c r="AF51" s="4">
        <f t="shared" si="11"/>
        <v>337968</v>
      </c>
      <c r="AG51">
        <v>49</v>
      </c>
    </row>
    <row r="52" spans="2:33" x14ac:dyDescent="0.25">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v>50</v>
      </c>
    </row>
    <row r="53" spans="2:33" x14ac:dyDescent="0.25">
      <c r="B53" s="76">
        <v>37</v>
      </c>
      <c r="C53" s="76"/>
      <c r="D53" s="76" t="s">
        <v>119</v>
      </c>
      <c r="E53" s="77">
        <f>E54</f>
        <v>0</v>
      </c>
      <c r="F53" s="77">
        <f t="shared" ref="F53:AF53" si="12">F54</f>
        <v>0</v>
      </c>
      <c r="G53" s="77">
        <f t="shared" si="12"/>
        <v>0</v>
      </c>
      <c r="H53" s="77">
        <f t="shared" si="12"/>
        <v>0</v>
      </c>
      <c r="I53" s="77">
        <f t="shared" si="12"/>
        <v>0</v>
      </c>
      <c r="J53" s="77">
        <f t="shared" si="12"/>
        <v>0</v>
      </c>
      <c r="K53" s="77">
        <f t="shared" si="12"/>
        <v>0</v>
      </c>
      <c r="L53" s="77">
        <f t="shared" si="12"/>
        <v>0</v>
      </c>
      <c r="M53" s="77">
        <f t="shared" si="12"/>
        <v>0</v>
      </c>
      <c r="N53" s="77">
        <f t="shared" si="12"/>
        <v>0</v>
      </c>
      <c r="O53" s="77">
        <f t="shared" si="12"/>
        <v>0</v>
      </c>
      <c r="P53" s="77">
        <f t="shared" si="12"/>
        <v>0</v>
      </c>
      <c r="Q53" s="77">
        <f t="shared" si="12"/>
        <v>0</v>
      </c>
      <c r="R53" s="77">
        <f t="shared" si="12"/>
        <v>0</v>
      </c>
      <c r="S53" s="77">
        <f t="shared" si="12"/>
        <v>0</v>
      </c>
      <c r="T53" s="77">
        <f t="shared" si="12"/>
        <v>0</v>
      </c>
      <c r="U53" s="77">
        <f t="shared" si="12"/>
        <v>0</v>
      </c>
      <c r="V53" s="77">
        <f t="shared" si="12"/>
        <v>0</v>
      </c>
      <c r="W53" s="77">
        <f t="shared" si="12"/>
        <v>0</v>
      </c>
      <c r="X53" s="77">
        <f t="shared" si="12"/>
        <v>0</v>
      </c>
      <c r="Y53" s="77">
        <f t="shared" si="12"/>
        <v>0</v>
      </c>
      <c r="Z53" s="77">
        <f t="shared" si="12"/>
        <v>0</v>
      </c>
      <c r="AA53" s="77">
        <f t="shared" si="12"/>
        <v>0</v>
      </c>
      <c r="AB53" s="77">
        <f t="shared" si="12"/>
        <v>0</v>
      </c>
      <c r="AC53" s="77">
        <f t="shared" si="12"/>
        <v>0</v>
      </c>
      <c r="AD53" s="77">
        <f t="shared" si="12"/>
        <v>0</v>
      </c>
      <c r="AE53" s="77">
        <f t="shared" si="12"/>
        <v>0</v>
      </c>
      <c r="AF53" s="77">
        <f t="shared" si="12"/>
        <v>0</v>
      </c>
      <c r="AG53">
        <v>51</v>
      </c>
    </row>
    <row r="54" spans="2:33" x14ac:dyDescent="0.25">
      <c r="C54">
        <v>370</v>
      </c>
      <c r="D54" t="s">
        <v>120</v>
      </c>
      <c r="E54" s="4">
        <v>0</v>
      </c>
      <c r="F54" s="4">
        <v>0</v>
      </c>
      <c r="G54" s="4">
        <v>0</v>
      </c>
      <c r="H54" s="4">
        <v>0</v>
      </c>
      <c r="I54" s="4">
        <v>0</v>
      </c>
      <c r="J54" s="4">
        <v>0</v>
      </c>
      <c r="K54" s="4">
        <v>0</v>
      </c>
      <c r="L54" s="4">
        <v>0</v>
      </c>
      <c r="M54" s="4">
        <v>0</v>
      </c>
      <c r="N54" s="4">
        <v>0</v>
      </c>
      <c r="O54" s="4">
        <v>0</v>
      </c>
      <c r="P54" s="4"/>
      <c r="Q54" s="4">
        <v>0</v>
      </c>
      <c r="R54" s="4">
        <v>0</v>
      </c>
      <c r="S54" s="4">
        <v>0</v>
      </c>
      <c r="T54" s="4"/>
      <c r="U54" s="4">
        <v>0</v>
      </c>
      <c r="V54" s="4">
        <v>0</v>
      </c>
      <c r="W54" s="4">
        <v>0</v>
      </c>
      <c r="X54" s="4">
        <v>0</v>
      </c>
      <c r="Y54" s="4">
        <v>0</v>
      </c>
      <c r="Z54" s="4">
        <v>0</v>
      </c>
      <c r="AA54" s="4">
        <v>0</v>
      </c>
      <c r="AB54" s="4"/>
      <c r="AC54" s="4">
        <v>0</v>
      </c>
      <c r="AD54" s="4">
        <v>0</v>
      </c>
      <c r="AE54" s="4">
        <v>0</v>
      </c>
      <c r="AF54" s="4">
        <f>SUM(E54:AE54)</f>
        <v>0</v>
      </c>
      <c r="AG54">
        <v>52</v>
      </c>
    </row>
    <row r="55" spans="2:33" x14ac:dyDescent="0.25">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v>53</v>
      </c>
    </row>
    <row r="56" spans="2:33" x14ac:dyDescent="0.25">
      <c r="B56" s="76">
        <v>38</v>
      </c>
      <c r="C56" s="76"/>
      <c r="D56" s="76" t="s">
        <v>121</v>
      </c>
      <c r="E56" s="77">
        <f>E57+E58+E59+E60+E61+E62</f>
        <v>0</v>
      </c>
      <c r="F56" s="77">
        <f t="shared" ref="F56:AF56" si="13">F57+F58+F59+F60+F61+F62</f>
        <v>0</v>
      </c>
      <c r="G56" s="77">
        <f t="shared" si="13"/>
        <v>0</v>
      </c>
      <c r="H56" s="77">
        <f t="shared" si="13"/>
        <v>931052.91</v>
      </c>
      <c r="I56" s="77">
        <f t="shared" si="13"/>
        <v>0</v>
      </c>
      <c r="J56" s="77">
        <f t="shared" si="13"/>
        <v>0</v>
      </c>
      <c r="K56" s="77">
        <f t="shared" si="13"/>
        <v>0</v>
      </c>
      <c r="L56" s="77">
        <f t="shared" si="13"/>
        <v>0</v>
      </c>
      <c r="M56" s="77">
        <f t="shared" si="13"/>
        <v>0</v>
      </c>
      <c r="N56" s="77">
        <f t="shared" si="13"/>
        <v>0</v>
      </c>
      <c r="O56" s="77">
        <f t="shared" si="13"/>
        <v>0</v>
      </c>
      <c r="P56" s="77">
        <f t="shared" si="13"/>
        <v>0</v>
      </c>
      <c r="Q56" s="77">
        <f t="shared" si="13"/>
        <v>0</v>
      </c>
      <c r="R56" s="77">
        <f t="shared" si="13"/>
        <v>0</v>
      </c>
      <c r="S56" s="77">
        <f t="shared" si="13"/>
        <v>0</v>
      </c>
      <c r="T56" s="77">
        <f t="shared" si="13"/>
        <v>0</v>
      </c>
      <c r="U56" s="77">
        <f t="shared" si="13"/>
        <v>0</v>
      </c>
      <c r="V56" s="77">
        <f t="shared" si="13"/>
        <v>0</v>
      </c>
      <c r="W56" s="77">
        <f t="shared" si="13"/>
        <v>0</v>
      </c>
      <c r="X56" s="77">
        <f t="shared" si="13"/>
        <v>203000</v>
      </c>
      <c r="Y56" s="77">
        <f t="shared" si="13"/>
        <v>0</v>
      </c>
      <c r="Z56" s="77">
        <f t="shared" si="13"/>
        <v>0</v>
      </c>
      <c r="AA56" s="77">
        <f t="shared" si="13"/>
        <v>0</v>
      </c>
      <c r="AB56" s="77">
        <f t="shared" si="13"/>
        <v>0</v>
      </c>
      <c r="AC56" s="77">
        <f t="shared" si="13"/>
        <v>0</v>
      </c>
      <c r="AD56" s="77">
        <f t="shared" si="13"/>
        <v>0</v>
      </c>
      <c r="AE56" s="77">
        <f t="shared" si="13"/>
        <v>0</v>
      </c>
      <c r="AF56" s="77">
        <f t="shared" si="13"/>
        <v>1134052.9100000001</v>
      </c>
      <c r="AG56">
        <v>54</v>
      </c>
    </row>
    <row r="57" spans="2:33" x14ac:dyDescent="0.25">
      <c r="C57">
        <v>380</v>
      </c>
      <c r="D57" t="s">
        <v>122</v>
      </c>
      <c r="E57" s="4">
        <v>0</v>
      </c>
      <c r="F57" s="4">
        <v>0</v>
      </c>
      <c r="G57" s="4">
        <v>0</v>
      </c>
      <c r="H57" s="4">
        <v>0</v>
      </c>
      <c r="I57" s="4">
        <v>0</v>
      </c>
      <c r="J57" s="4">
        <v>0</v>
      </c>
      <c r="K57" s="4">
        <v>0</v>
      </c>
      <c r="L57" s="4">
        <v>0</v>
      </c>
      <c r="M57" s="4">
        <v>0</v>
      </c>
      <c r="N57" s="4">
        <v>0</v>
      </c>
      <c r="O57" s="4">
        <v>0</v>
      </c>
      <c r="P57" s="4"/>
      <c r="Q57" s="4">
        <v>0</v>
      </c>
      <c r="R57" s="4">
        <v>0</v>
      </c>
      <c r="S57" s="4">
        <v>0</v>
      </c>
      <c r="T57" s="4"/>
      <c r="U57" s="4">
        <v>0</v>
      </c>
      <c r="V57" s="4">
        <v>0</v>
      </c>
      <c r="W57" s="4">
        <v>0</v>
      </c>
      <c r="X57" s="4">
        <v>0</v>
      </c>
      <c r="Y57" s="4">
        <v>0</v>
      </c>
      <c r="Z57" s="4">
        <v>0</v>
      </c>
      <c r="AA57" s="4">
        <v>0</v>
      </c>
      <c r="AB57" s="4"/>
      <c r="AC57" s="4">
        <v>0</v>
      </c>
      <c r="AD57" s="4">
        <v>0</v>
      </c>
      <c r="AE57" s="4">
        <v>0</v>
      </c>
      <c r="AF57" s="4">
        <f t="shared" ref="AF57:AF62" si="14">SUM(E57:AE57)</f>
        <v>0</v>
      </c>
      <c r="AG57">
        <v>55</v>
      </c>
    </row>
    <row r="58" spans="2:33" x14ac:dyDescent="0.25">
      <c r="C58">
        <v>381</v>
      </c>
      <c r="D58" t="s">
        <v>123</v>
      </c>
      <c r="E58" s="4">
        <v>0</v>
      </c>
      <c r="F58" s="4">
        <v>0</v>
      </c>
      <c r="G58" s="4">
        <v>0</v>
      </c>
      <c r="H58" s="4">
        <v>0</v>
      </c>
      <c r="I58" s="4">
        <v>0</v>
      </c>
      <c r="J58" s="4">
        <v>0</v>
      </c>
      <c r="K58" s="4">
        <v>0</v>
      </c>
      <c r="L58" s="4">
        <v>0</v>
      </c>
      <c r="M58" s="4">
        <v>0</v>
      </c>
      <c r="N58" s="4">
        <v>0</v>
      </c>
      <c r="O58" s="4">
        <v>0</v>
      </c>
      <c r="P58" s="4"/>
      <c r="Q58" s="4">
        <v>0</v>
      </c>
      <c r="R58" s="4">
        <v>0</v>
      </c>
      <c r="S58" s="4">
        <v>0</v>
      </c>
      <c r="T58" s="4"/>
      <c r="U58" s="4">
        <v>0</v>
      </c>
      <c r="V58" s="4">
        <v>0</v>
      </c>
      <c r="W58" s="4">
        <v>0</v>
      </c>
      <c r="X58" s="4">
        <v>0</v>
      </c>
      <c r="Y58" s="4">
        <v>0</v>
      </c>
      <c r="Z58" s="4">
        <v>0</v>
      </c>
      <c r="AA58" s="4">
        <v>0</v>
      </c>
      <c r="AB58" s="4"/>
      <c r="AC58" s="4">
        <v>0</v>
      </c>
      <c r="AD58" s="4">
        <v>0</v>
      </c>
      <c r="AE58" s="4">
        <v>0</v>
      </c>
      <c r="AF58" s="4">
        <f t="shared" si="14"/>
        <v>0</v>
      </c>
      <c r="AG58">
        <v>56</v>
      </c>
    </row>
    <row r="59" spans="2:33" x14ac:dyDescent="0.25">
      <c r="C59">
        <v>384</v>
      </c>
      <c r="D59" t="s">
        <v>124</v>
      </c>
      <c r="E59" s="4">
        <v>0</v>
      </c>
      <c r="F59" s="4">
        <v>0</v>
      </c>
      <c r="G59" s="4">
        <v>0</v>
      </c>
      <c r="H59" s="4">
        <v>0</v>
      </c>
      <c r="I59" s="4">
        <v>0</v>
      </c>
      <c r="J59" s="4">
        <v>0</v>
      </c>
      <c r="K59" s="4">
        <v>0</v>
      </c>
      <c r="L59" s="4">
        <v>0</v>
      </c>
      <c r="M59" s="4">
        <v>0</v>
      </c>
      <c r="N59" s="4">
        <v>0</v>
      </c>
      <c r="O59" s="4">
        <v>0</v>
      </c>
      <c r="P59" s="4"/>
      <c r="Q59" s="4">
        <v>0</v>
      </c>
      <c r="R59" s="4">
        <v>0</v>
      </c>
      <c r="S59" s="4">
        <v>0</v>
      </c>
      <c r="T59" s="4"/>
      <c r="U59" s="4">
        <v>0</v>
      </c>
      <c r="V59" s="4">
        <v>0</v>
      </c>
      <c r="W59" s="4">
        <v>0</v>
      </c>
      <c r="X59" s="4">
        <v>0</v>
      </c>
      <c r="Y59" s="4">
        <v>0</v>
      </c>
      <c r="Z59" s="4">
        <v>0</v>
      </c>
      <c r="AA59" s="4">
        <v>0</v>
      </c>
      <c r="AB59" s="4"/>
      <c r="AC59" s="4">
        <v>0</v>
      </c>
      <c r="AD59" s="4">
        <v>0</v>
      </c>
      <c r="AE59" s="4">
        <v>0</v>
      </c>
      <c r="AF59" s="4">
        <f t="shared" si="14"/>
        <v>0</v>
      </c>
      <c r="AG59">
        <v>57</v>
      </c>
    </row>
    <row r="60" spans="2:33" x14ac:dyDescent="0.25">
      <c r="C60">
        <v>385</v>
      </c>
      <c r="D60" t="s">
        <v>125</v>
      </c>
      <c r="E60" s="4">
        <v>0</v>
      </c>
      <c r="F60" s="4">
        <v>0</v>
      </c>
      <c r="G60" s="4">
        <v>0</v>
      </c>
      <c r="H60" s="4">
        <v>0</v>
      </c>
      <c r="I60" s="4">
        <v>0</v>
      </c>
      <c r="J60" s="4">
        <v>0</v>
      </c>
      <c r="K60" s="4">
        <v>0</v>
      </c>
      <c r="L60" s="4">
        <v>0</v>
      </c>
      <c r="M60" s="4">
        <v>0</v>
      </c>
      <c r="N60" s="4">
        <v>0</v>
      </c>
      <c r="O60" s="4">
        <v>0</v>
      </c>
      <c r="P60" s="4"/>
      <c r="Q60" s="4">
        <v>0</v>
      </c>
      <c r="R60" s="4">
        <v>0</v>
      </c>
      <c r="S60" s="4">
        <v>0</v>
      </c>
      <c r="T60" s="4"/>
      <c r="U60" s="4">
        <v>0</v>
      </c>
      <c r="V60" s="4">
        <v>0</v>
      </c>
      <c r="W60" s="4">
        <v>0</v>
      </c>
      <c r="X60" s="4">
        <v>0</v>
      </c>
      <c r="Y60" s="4">
        <v>0</v>
      </c>
      <c r="Z60" s="4">
        <v>0</v>
      </c>
      <c r="AA60" s="4">
        <v>0</v>
      </c>
      <c r="AB60" s="4"/>
      <c r="AC60" s="4">
        <v>0</v>
      </c>
      <c r="AD60" s="4">
        <v>0</v>
      </c>
      <c r="AE60" s="4">
        <v>0</v>
      </c>
      <c r="AF60" s="4">
        <f t="shared" si="14"/>
        <v>0</v>
      </c>
      <c r="AG60">
        <v>58</v>
      </c>
    </row>
    <row r="61" spans="2:33" x14ac:dyDescent="0.25">
      <c r="C61">
        <v>386</v>
      </c>
      <c r="D61" t="s">
        <v>126</v>
      </c>
      <c r="E61" s="4">
        <v>0</v>
      </c>
      <c r="F61" s="4">
        <v>0</v>
      </c>
      <c r="G61" s="4">
        <v>0</v>
      </c>
      <c r="H61" s="4">
        <v>0</v>
      </c>
      <c r="I61" s="4">
        <v>0</v>
      </c>
      <c r="J61" s="4">
        <v>0</v>
      </c>
      <c r="K61" s="4">
        <v>0</v>
      </c>
      <c r="L61" s="4">
        <v>0</v>
      </c>
      <c r="M61" s="4">
        <v>0</v>
      </c>
      <c r="N61" s="4">
        <v>0</v>
      </c>
      <c r="O61" s="4">
        <v>0</v>
      </c>
      <c r="P61" s="4"/>
      <c r="Q61" s="4">
        <v>0</v>
      </c>
      <c r="R61" s="4">
        <v>0</v>
      </c>
      <c r="S61" s="4">
        <v>0</v>
      </c>
      <c r="T61" s="4"/>
      <c r="U61" s="4">
        <v>0</v>
      </c>
      <c r="V61" s="4">
        <v>0</v>
      </c>
      <c r="W61" s="4">
        <v>0</v>
      </c>
      <c r="X61" s="4">
        <v>0</v>
      </c>
      <c r="Y61" s="4">
        <v>0</v>
      </c>
      <c r="Z61" s="4">
        <v>0</v>
      </c>
      <c r="AA61" s="4">
        <v>0</v>
      </c>
      <c r="AB61" s="4"/>
      <c r="AC61" s="4">
        <v>0</v>
      </c>
      <c r="AD61" s="4">
        <v>0</v>
      </c>
      <c r="AE61" s="4">
        <v>0</v>
      </c>
      <c r="AF61" s="4">
        <f t="shared" si="14"/>
        <v>0</v>
      </c>
      <c r="AG61">
        <v>59</v>
      </c>
    </row>
    <row r="62" spans="2:33" x14ac:dyDescent="0.25">
      <c r="C62">
        <v>389</v>
      </c>
      <c r="D62" t="s">
        <v>290</v>
      </c>
      <c r="E62" s="4">
        <v>0</v>
      </c>
      <c r="F62" s="4">
        <v>0</v>
      </c>
      <c r="G62" s="4">
        <v>0</v>
      </c>
      <c r="H62" s="4">
        <v>931052.91</v>
      </c>
      <c r="I62" s="4">
        <v>0</v>
      </c>
      <c r="J62" s="4">
        <v>0</v>
      </c>
      <c r="K62" s="4">
        <v>0</v>
      </c>
      <c r="L62" s="4">
        <v>0</v>
      </c>
      <c r="M62" s="4">
        <v>0</v>
      </c>
      <c r="N62" s="4">
        <v>0</v>
      </c>
      <c r="O62" s="4">
        <v>0</v>
      </c>
      <c r="P62" s="4"/>
      <c r="Q62" s="4">
        <v>0</v>
      </c>
      <c r="R62" s="4">
        <v>0</v>
      </c>
      <c r="S62" s="4">
        <v>0</v>
      </c>
      <c r="T62" s="4"/>
      <c r="U62" s="4">
        <v>0</v>
      </c>
      <c r="V62" s="4">
        <v>0</v>
      </c>
      <c r="W62" s="4">
        <v>0</v>
      </c>
      <c r="X62" s="4">
        <v>203000</v>
      </c>
      <c r="Y62" s="4">
        <v>0</v>
      </c>
      <c r="Z62" s="4">
        <v>0</v>
      </c>
      <c r="AA62" s="4">
        <v>0</v>
      </c>
      <c r="AB62" s="4"/>
      <c r="AC62" s="4">
        <v>0</v>
      </c>
      <c r="AD62" s="4">
        <v>0</v>
      </c>
      <c r="AE62" s="4">
        <v>0</v>
      </c>
      <c r="AF62" s="4">
        <f t="shared" si="14"/>
        <v>1134052.9100000001</v>
      </c>
      <c r="AG62">
        <v>60</v>
      </c>
    </row>
    <row r="63" spans="2:33" x14ac:dyDescent="0.25">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v>61</v>
      </c>
    </row>
    <row r="64" spans="2:33" x14ac:dyDescent="0.25">
      <c r="B64" s="76">
        <v>39</v>
      </c>
      <c r="C64" s="76"/>
      <c r="D64" s="76" t="s">
        <v>128</v>
      </c>
      <c r="E64" s="77">
        <f>E65+E66+E67+E68+E69+E70+E71+E72</f>
        <v>0</v>
      </c>
      <c r="F64" s="77">
        <f t="shared" ref="F64:AF64" si="15">F65+F66+F67+F68+F69+F70+F71+F72</f>
        <v>0</v>
      </c>
      <c r="G64" s="77">
        <f t="shared" si="15"/>
        <v>0</v>
      </c>
      <c r="H64" s="77">
        <f t="shared" si="15"/>
        <v>0</v>
      </c>
      <c r="I64" s="77">
        <f t="shared" si="15"/>
        <v>0</v>
      </c>
      <c r="J64" s="77">
        <f t="shared" si="15"/>
        <v>0</v>
      </c>
      <c r="K64" s="77">
        <f t="shared" si="15"/>
        <v>0</v>
      </c>
      <c r="L64" s="77">
        <f t="shared" si="15"/>
        <v>0</v>
      </c>
      <c r="M64" s="77">
        <f t="shared" si="15"/>
        <v>0</v>
      </c>
      <c r="N64" s="77">
        <f t="shared" si="15"/>
        <v>0</v>
      </c>
      <c r="O64" s="77">
        <f t="shared" si="15"/>
        <v>0</v>
      </c>
      <c r="P64" s="77">
        <f t="shared" si="15"/>
        <v>0</v>
      </c>
      <c r="Q64" s="77">
        <f t="shared" si="15"/>
        <v>0</v>
      </c>
      <c r="R64" s="77">
        <f t="shared" si="15"/>
        <v>0</v>
      </c>
      <c r="S64" s="77">
        <f t="shared" si="15"/>
        <v>0</v>
      </c>
      <c r="T64" s="77">
        <f t="shared" si="15"/>
        <v>0</v>
      </c>
      <c r="U64" s="77">
        <f t="shared" si="15"/>
        <v>350</v>
      </c>
      <c r="V64" s="77">
        <f t="shared" si="15"/>
        <v>176047.54</v>
      </c>
      <c r="W64" s="77">
        <f t="shared" si="15"/>
        <v>0</v>
      </c>
      <c r="X64" s="77">
        <f t="shared" si="15"/>
        <v>0</v>
      </c>
      <c r="Y64" s="77">
        <f t="shared" si="15"/>
        <v>0</v>
      </c>
      <c r="Z64" s="77">
        <f t="shared" si="15"/>
        <v>15829.95</v>
      </c>
      <c r="AA64" s="77">
        <f t="shared" si="15"/>
        <v>0</v>
      </c>
      <c r="AB64" s="77">
        <f t="shared" si="15"/>
        <v>0</v>
      </c>
      <c r="AC64" s="77">
        <f t="shared" si="15"/>
        <v>0</v>
      </c>
      <c r="AD64" s="77">
        <f t="shared" si="15"/>
        <v>0</v>
      </c>
      <c r="AE64" s="77">
        <f t="shared" si="15"/>
        <v>0</v>
      </c>
      <c r="AF64" s="77">
        <f t="shared" si="15"/>
        <v>192227.49000000002</v>
      </c>
      <c r="AG64">
        <v>62</v>
      </c>
    </row>
    <row r="65" spans="1:33" x14ac:dyDescent="0.25">
      <c r="C65">
        <v>390</v>
      </c>
      <c r="D65" t="s">
        <v>129</v>
      </c>
      <c r="E65" s="4">
        <v>0</v>
      </c>
      <c r="F65" s="4">
        <v>0</v>
      </c>
      <c r="G65" s="4">
        <v>0</v>
      </c>
      <c r="H65" s="4">
        <v>0</v>
      </c>
      <c r="I65" s="4">
        <v>0</v>
      </c>
      <c r="J65" s="4">
        <v>0</v>
      </c>
      <c r="K65" s="4">
        <v>0</v>
      </c>
      <c r="L65" s="4">
        <v>0</v>
      </c>
      <c r="M65" s="4">
        <v>0</v>
      </c>
      <c r="N65" s="4">
        <v>0</v>
      </c>
      <c r="O65" s="4">
        <v>0</v>
      </c>
      <c r="P65" s="4"/>
      <c r="Q65" s="4">
        <v>0</v>
      </c>
      <c r="R65" s="4">
        <v>0</v>
      </c>
      <c r="S65" s="4">
        <v>0</v>
      </c>
      <c r="T65" s="4"/>
      <c r="U65" s="4">
        <v>0</v>
      </c>
      <c r="V65" s="4">
        <v>0</v>
      </c>
      <c r="W65" s="4">
        <v>0</v>
      </c>
      <c r="X65" s="4">
        <v>0</v>
      </c>
      <c r="Y65" s="4">
        <v>0</v>
      </c>
      <c r="Z65" s="4">
        <v>0</v>
      </c>
      <c r="AA65" s="4">
        <v>0</v>
      </c>
      <c r="AB65" s="4"/>
      <c r="AC65" s="4">
        <v>0</v>
      </c>
      <c r="AD65" s="4">
        <v>0</v>
      </c>
      <c r="AE65" s="4">
        <v>0</v>
      </c>
      <c r="AF65" s="4">
        <f t="shared" ref="AF65:AF72" si="16">SUM(E65:AE65)</f>
        <v>0</v>
      </c>
      <c r="AG65">
        <v>63</v>
      </c>
    </row>
    <row r="66" spans="1:33" x14ac:dyDescent="0.25">
      <c r="C66">
        <v>391</v>
      </c>
      <c r="D66" t="s">
        <v>130</v>
      </c>
      <c r="E66" s="4">
        <v>0</v>
      </c>
      <c r="F66" s="4">
        <v>0</v>
      </c>
      <c r="G66" s="4">
        <v>0</v>
      </c>
      <c r="H66" s="4">
        <v>0</v>
      </c>
      <c r="I66" s="4">
        <v>0</v>
      </c>
      <c r="J66" s="4">
        <v>0</v>
      </c>
      <c r="K66" s="4">
        <v>0</v>
      </c>
      <c r="L66" s="4">
        <v>0</v>
      </c>
      <c r="M66" s="4">
        <v>0</v>
      </c>
      <c r="N66" s="4">
        <v>0</v>
      </c>
      <c r="O66" s="4">
        <v>0</v>
      </c>
      <c r="P66" s="4"/>
      <c r="Q66" s="4">
        <v>0</v>
      </c>
      <c r="R66" s="4">
        <v>0</v>
      </c>
      <c r="S66" s="4">
        <v>0</v>
      </c>
      <c r="T66" s="4"/>
      <c r="U66" s="4">
        <v>350</v>
      </c>
      <c r="V66" s="4">
        <v>0</v>
      </c>
      <c r="W66" s="4">
        <v>0</v>
      </c>
      <c r="X66" s="4">
        <v>0</v>
      </c>
      <c r="Y66" s="4">
        <v>0</v>
      </c>
      <c r="Z66" s="4">
        <v>0</v>
      </c>
      <c r="AA66" s="4">
        <v>0</v>
      </c>
      <c r="AB66" s="4"/>
      <c r="AC66" s="4">
        <v>0</v>
      </c>
      <c r="AD66" s="4">
        <v>0</v>
      </c>
      <c r="AE66" s="4">
        <v>0</v>
      </c>
      <c r="AF66" s="4">
        <f t="shared" si="16"/>
        <v>350</v>
      </c>
      <c r="AG66">
        <v>64</v>
      </c>
    </row>
    <row r="67" spans="1:33" x14ac:dyDescent="0.25">
      <c r="C67">
        <v>392</v>
      </c>
      <c r="D67" t="s">
        <v>131</v>
      </c>
      <c r="E67" s="4">
        <v>0</v>
      </c>
      <c r="F67" s="4">
        <v>0</v>
      </c>
      <c r="G67" s="4">
        <v>0</v>
      </c>
      <c r="H67" s="4">
        <v>0</v>
      </c>
      <c r="I67" s="4">
        <v>0</v>
      </c>
      <c r="J67" s="4">
        <v>0</v>
      </c>
      <c r="K67" s="4">
        <v>0</v>
      </c>
      <c r="L67" s="4">
        <v>0</v>
      </c>
      <c r="M67" s="4">
        <v>0</v>
      </c>
      <c r="N67" s="4">
        <v>0</v>
      </c>
      <c r="O67" s="4">
        <v>0</v>
      </c>
      <c r="P67" s="4"/>
      <c r="Q67" s="4">
        <v>0</v>
      </c>
      <c r="R67" s="4">
        <v>0</v>
      </c>
      <c r="S67" s="4">
        <v>0</v>
      </c>
      <c r="T67" s="4"/>
      <c r="U67" s="4">
        <v>0</v>
      </c>
      <c r="V67" s="4">
        <v>0</v>
      </c>
      <c r="W67" s="4">
        <v>0</v>
      </c>
      <c r="X67" s="4">
        <v>0</v>
      </c>
      <c r="Y67" s="4">
        <v>0</v>
      </c>
      <c r="Z67" s="4">
        <v>0</v>
      </c>
      <c r="AA67" s="4">
        <v>0</v>
      </c>
      <c r="AB67" s="4"/>
      <c r="AC67" s="4">
        <v>0</v>
      </c>
      <c r="AD67" s="4">
        <v>0</v>
      </c>
      <c r="AE67" s="4">
        <v>0</v>
      </c>
      <c r="AF67" s="4">
        <f t="shared" si="16"/>
        <v>0</v>
      </c>
      <c r="AG67">
        <v>65</v>
      </c>
    </row>
    <row r="68" spans="1:33" x14ac:dyDescent="0.25">
      <c r="C68">
        <v>393</v>
      </c>
      <c r="D68" t="s">
        <v>132</v>
      </c>
      <c r="E68" s="4">
        <v>0</v>
      </c>
      <c r="F68" s="4">
        <v>0</v>
      </c>
      <c r="G68" s="4">
        <v>0</v>
      </c>
      <c r="H68" s="4">
        <v>0</v>
      </c>
      <c r="I68" s="4">
        <v>0</v>
      </c>
      <c r="J68" s="4">
        <v>0</v>
      </c>
      <c r="K68" s="4">
        <v>0</v>
      </c>
      <c r="L68" s="4">
        <v>0</v>
      </c>
      <c r="M68" s="4">
        <v>0</v>
      </c>
      <c r="N68" s="4">
        <v>0</v>
      </c>
      <c r="O68" s="4">
        <v>0</v>
      </c>
      <c r="P68" s="4"/>
      <c r="Q68" s="4">
        <v>0</v>
      </c>
      <c r="R68" s="4">
        <v>0</v>
      </c>
      <c r="S68" s="4">
        <v>0</v>
      </c>
      <c r="T68" s="4"/>
      <c r="U68" s="4">
        <v>0</v>
      </c>
      <c r="V68" s="4">
        <v>0</v>
      </c>
      <c r="W68" s="4">
        <v>0</v>
      </c>
      <c r="X68" s="4">
        <v>0</v>
      </c>
      <c r="Y68" s="4">
        <v>0</v>
      </c>
      <c r="Z68" s="4">
        <v>0</v>
      </c>
      <c r="AA68" s="4">
        <v>0</v>
      </c>
      <c r="AB68" s="4"/>
      <c r="AC68" s="4">
        <v>0</v>
      </c>
      <c r="AD68" s="4">
        <v>0</v>
      </c>
      <c r="AE68" s="4">
        <v>0</v>
      </c>
      <c r="AF68" s="4">
        <f t="shared" si="16"/>
        <v>0</v>
      </c>
      <c r="AG68">
        <v>66</v>
      </c>
    </row>
    <row r="69" spans="1:33" x14ac:dyDescent="0.25">
      <c r="C69">
        <v>394</v>
      </c>
      <c r="D69" t="s">
        <v>133</v>
      </c>
      <c r="E69" s="4">
        <v>0</v>
      </c>
      <c r="F69" s="4">
        <v>0</v>
      </c>
      <c r="G69" s="4">
        <v>0</v>
      </c>
      <c r="H69" s="4">
        <v>0</v>
      </c>
      <c r="I69" s="4">
        <v>0</v>
      </c>
      <c r="J69" s="4">
        <v>0</v>
      </c>
      <c r="K69" s="4">
        <v>0</v>
      </c>
      <c r="L69" s="4">
        <v>0</v>
      </c>
      <c r="M69" s="4">
        <v>0</v>
      </c>
      <c r="N69" s="4">
        <v>0</v>
      </c>
      <c r="O69" s="4">
        <v>0</v>
      </c>
      <c r="P69" s="4"/>
      <c r="Q69" s="4">
        <v>0</v>
      </c>
      <c r="R69" s="4">
        <v>0</v>
      </c>
      <c r="S69" s="4">
        <v>0</v>
      </c>
      <c r="T69" s="4"/>
      <c r="U69" s="4">
        <v>0</v>
      </c>
      <c r="V69" s="4">
        <v>0</v>
      </c>
      <c r="W69" s="4">
        <v>0</v>
      </c>
      <c r="X69" s="4">
        <v>0</v>
      </c>
      <c r="Y69" s="4">
        <v>0</v>
      </c>
      <c r="Z69" s="4">
        <v>15829.95</v>
      </c>
      <c r="AA69" s="4">
        <v>0</v>
      </c>
      <c r="AB69" s="4"/>
      <c r="AC69" s="4">
        <v>0</v>
      </c>
      <c r="AD69" s="4">
        <v>0</v>
      </c>
      <c r="AE69" s="4">
        <v>0</v>
      </c>
      <c r="AF69" s="4">
        <f t="shared" si="16"/>
        <v>15829.95</v>
      </c>
      <c r="AG69">
        <v>67</v>
      </c>
    </row>
    <row r="70" spans="1:33" x14ac:dyDescent="0.25">
      <c r="C70">
        <v>395</v>
      </c>
      <c r="D70" t="s">
        <v>134</v>
      </c>
      <c r="E70" s="4">
        <v>0</v>
      </c>
      <c r="F70" s="4">
        <v>0</v>
      </c>
      <c r="G70" s="4">
        <v>0</v>
      </c>
      <c r="H70" s="4">
        <v>0</v>
      </c>
      <c r="I70" s="4">
        <v>0</v>
      </c>
      <c r="J70" s="4">
        <v>0</v>
      </c>
      <c r="K70" s="4">
        <v>0</v>
      </c>
      <c r="L70" s="4">
        <v>0</v>
      </c>
      <c r="M70" s="4">
        <v>0</v>
      </c>
      <c r="N70" s="4">
        <v>0</v>
      </c>
      <c r="O70" s="4">
        <v>0</v>
      </c>
      <c r="P70" s="4"/>
      <c r="Q70" s="4">
        <v>0</v>
      </c>
      <c r="R70" s="4">
        <v>0</v>
      </c>
      <c r="S70" s="4">
        <v>0</v>
      </c>
      <c r="T70" s="4"/>
      <c r="U70" s="4">
        <v>0</v>
      </c>
      <c r="V70" s="4">
        <v>0</v>
      </c>
      <c r="W70" s="4">
        <v>0</v>
      </c>
      <c r="X70" s="4">
        <v>0</v>
      </c>
      <c r="Y70" s="4">
        <v>0</v>
      </c>
      <c r="Z70" s="4">
        <v>0</v>
      </c>
      <c r="AA70" s="4">
        <v>0</v>
      </c>
      <c r="AB70" s="4"/>
      <c r="AC70" s="4">
        <v>0</v>
      </c>
      <c r="AD70" s="4">
        <v>0</v>
      </c>
      <c r="AE70" s="4">
        <v>0</v>
      </c>
      <c r="AF70" s="4">
        <f t="shared" si="16"/>
        <v>0</v>
      </c>
      <c r="AG70">
        <v>68</v>
      </c>
    </row>
    <row r="71" spans="1:33" x14ac:dyDescent="0.25">
      <c r="C71">
        <v>398</v>
      </c>
      <c r="D71" t="s">
        <v>135</v>
      </c>
      <c r="E71" s="4">
        <v>0</v>
      </c>
      <c r="F71" s="4">
        <v>0</v>
      </c>
      <c r="G71" s="4">
        <v>0</v>
      </c>
      <c r="H71" s="4">
        <v>0</v>
      </c>
      <c r="I71" s="4">
        <v>0</v>
      </c>
      <c r="J71" s="4">
        <v>0</v>
      </c>
      <c r="K71" s="4">
        <v>0</v>
      </c>
      <c r="L71" s="4">
        <v>0</v>
      </c>
      <c r="M71" s="4">
        <v>0</v>
      </c>
      <c r="N71" s="4">
        <v>0</v>
      </c>
      <c r="O71" s="4">
        <v>0</v>
      </c>
      <c r="P71" s="4"/>
      <c r="Q71" s="4">
        <v>0</v>
      </c>
      <c r="R71" s="4">
        <v>0</v>
      </c>
      <c r="S71" s="4">
        <v>0</v>
      </c>
      <c r="T71" s="4"/>
      <c r="U71" s="4">
        <v>0</v>
      </c>
      <c r="V71" s="4">
        <v>176047.54</v>
      </c>
      <c r="W71" s="4">
        <v>0</v>
      </c>
      <c r="X71" s="4">
        <v>0</v>
      </c>
      <c r="Y71" s="4">
        <v>0</v>
      </c>
      <c r="Z71" s="4">
        <v>0</v>
      </c>
      <c r="AA71" s="4">
        <v>0</v>
      </c>
      <c r="AB71" s="4"/>
      <c r="AC71" s="4">
        <v>0</v>
      </c>
      <c r="AD71" s="4">
        <v>0</v>
      </c>
      <c r="AE71" s="4">
        <v>0</v>
      </c>
      <c r="AF71" s="4">
        <f t="shared" si="16"/>
        <v>176047.54</v>
      </c>
      <c r="AG71">
        <v>69</v>
      </c>
    </row>
    <row r="72" spans="1:33" x14ac:dyDescent="0.25">
      <c r="C72">
        <v>399</v>
      </c>
      <c r="D72" t="s">
        <v>136</v>
      </c>
      <c r="E72" s="4">
        <v>0</v>
      </c>
      <c r="F72" s="4">
        <v>0</v>
      </c>
      <c r="G72" s="4">
        <v>0</v>
      </c>
      <c r="H72" s="4">
        <v>0</v>
      </c>
      <c r="I72" s="4">
        <v>0</v>
      </c>
      <c r="J72" s="4">
        <v>0</v>
      </c>
      <c r="K72" s="4">
        <v>0</v>
      </c>
      <c r="L72" s="4">
        <v>0</v>
      </c>
      <c r="M72" s="4">
        <v>0</v>
      </c>
      <c r="N72" s="4">
        <v>0</v>
      </c>
      <c r="O72" s="4">
        <v>0</v>
      </c>
      <c r="P72" s="4"/>
      <c r="Q72" s="4">
        <v>0</v>
      </c>
      <c r="R72" s="4">
        <v>0</v>
      </c>
      <c r="S72" s="4">
        <v>0</v>
      </c>
      <c r="T72" s="4"/>
      <c r="U72" s="4">
        <v>0</v>
      </c>
      <c r="V72" s="4">
        <v>0</v>
      </c>
      <c r="W72" s="4">
        <v>0</v>
      </c>
      <c r="X72" s="4">
        <v>0</v>
      </c>
      <c r="Y72" s="4">
        <v>0</v>
      </c>
      <c r="Z72" s="4">
        <v>0</v>
      </c>
      <c r="AA72" s="4">
        <v>0</v>
      </c>
      <c r="AB72" s="4"/>
      <c r="AC72" s="4">
        <v>0</v>
      </c>
      <c r="AD72" s="4">
        <v>0</v>
      </c>
      <c r="AE72" s="4">
        <v>0</v>
      </c>
      <c r="AF72" s="4">
        <f t="shared" si="16"/>
        <v>0</v>
      </c>
      <c r="AG72">
        <v>70</v>
      </c>
    </row>
    <row r="73" spans="1:33" x14ac:dyDescent="0.25">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v>71</v>
      </c>
    </row>
    <row r="74" spans="1:33" x14ac:dyDescent="0.25">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v>72</v>
      </c>
    </row>
    <row r="75" spans="1:33" ht="21" x14ac:dyDescent="0.35">
      <c r="A75" s="80">
        <v>4</v>
      </c>
      <c r="B75" s="80"/>
      <c r="C75" s="80"/>
      <c r="D75" s="80" t="s">
        <v>137</v>
      </c>
      <c r="E75" s="79">
        <f>E76+E82+E88+E99+E105+E117+E121+E128+E131+E140</f>
        <v>698743.39</v>
      </c>
      <c r="F75" s="79">
        <f t="shared" ref="F75:AF75" si="17">F76+F82+F88+F99+F105+F117+F121+F128+F131+F140</f>
        <v>3073878.0900000003</v>
      </c>
      <c r="G75" s="79">
        <f t="shared" si="17"/>
        <v>83199.53</v>
      </c>
      <c r="H75" s="79">
        <f t="shared" si="17"/>
        <v>9526759.3399999999</v>
      </c>
      <c r="I75" s="79">
        <f t="shared" si="17"/>
        <v>103325</v>
      </c>
      <c r="J75" s="79">
        <f t="shared" si="17"/>
        <v>1032237.59</v>
      </c>
      <c r="K75" s="79">
        <f t="shared" si="17"/>
        <v>2264676.19</v>
      </c>
      <c r="L75" s="79">
        <f t="shared" si="17"/>
        <v>647627.51</v>
      </c>
      <c r="M75" s="79">
        <f t="shared" si="17"/>
        <v>248144.80000000002</v>
      </c>
      <c r="N75" s="79">
        <f t="shared" si="17"/>
        <v>281929.3</v>
      </c>
      <c r="O75" s="79">
        <f t="shared" si="17"/>
        <v>2414308.08</v>
      </c>
      <c r="P75" s="79">
        <f t="shared" si="17"/>
        <v>0</v>
      </c>
      <c r="Q75" s="79">
        <f t="shared" si="17"/>
        <v>7320.95</v>
      </c>
      <c r="R75" s="79">
        <f t="shared" si="17"/>
        <v>45102.85</v>
      </c>
      <c r="S75" s="79">
        <f t="shared" si="17"/>
        <v>6063</v>
      </c>
      <c r="T75" s="79">
        <f t="shared" si="17"/>
        <v>0</v>
      </c>
      <c r="U75" s="79">
        <f t="shared" si="17"/>
        <v>219211.12</v>
      </c>
      <c r="V75" s="79">
        <f t="shared" si="17"/>
        <v>627017.58000000007</v>
      </c>
      <c r="W75" s="79">
        <f t="shared" si="17"/>
        <v>46043.1</v>
      </c>
      <c r="X75" s="79">
        <f t="shared" si="17"/>
        <v>968367.12000000011</v>
      </c>
      <c r="Y75" s="79">
        <f t="shared" si="17"/>
        <v>4583774.67</v>
      </c>
      <c r="Z75" s="79">
        <f t="shared" si="17"/>
        <v>347730.54000000004</v>
      </c>
      <c r="AA75" s="79">
        <f t="shared" si="17"/>
        <v>1734019.7599999998</v>
      </c>
      <c r="AB75" s="79">
        <f t="shared" si="17"/>
        <v>0</v>
      </c>
      <c r="AC75" s="79">
        <f t="shared" si="17"/>
        <v>132117.85</v>
      </c>
      <c r="AD75" s="79">
        <f t="shared" si="17"/>
        <v>3138006.2499999995</v>
      </c>
      <c r="AE75" s="79">
        <f t="shared" si="17"/>
        <v>325122.65000000002</v>
      </c>
      <c r="AF75" s="79">
        <f t="shared" si="17"/>
        <v>32554726.260000002</v>
      </c>
      <c r="AG75">
        <v>73</v>
      </c>
    </row>
    <row r="76" spans="1:33" x14ac:dyDescent="0.25">
      <c r="A76" s="7"/>
      <c r="B76" s="78">
        <v>40</v>
      </c>
      <c r="C76" s="78"/>
      <c r="D76" s="78" t="s">
        <v>79</v>
      </c>
      <c r="E76" s="73">
        <f>E77+E78+E79+E80</f>
        <v>0</v>
      </c>
      <c r="F76" s="73">
        <f t="shared" ref="F76:AF76" si="18">F77+F78+F79+F80</f>
        <v>0</v>
      </c>
      <c r="G76" s="73">
        <f t="shared" si="18"/>
        <v>0</v>
      </c>
      <c r="H76" s="73">
        <f t="shared" si="18"/>
        <v>0</v>
      </c>
      <c r="I76" s="73">
        <f t="shared" si="18"/>
        <v>0</v>
      </c>
      <c r="J76" s="73">
        <f t="shared" si="18"/>
        <v>0</v>
      </c>
      <c r="K76" s="73">
        <f t="shared" si="18"/>
        <v>0</v>
      </c>
      <c r="L76" s="73">
        <f t="shared" si="18"/>
        <v>0</v>
      </c>
      <c r="M76" s="73">
        <f t="shared" si="18"/>
        <v>0</v>
      </c>
      <c r="N76" s="73">
        <f t="shared" si="18"/>
        <v>0</v>
      </c>
      <c r="O76" s="73">
        <f t="shared" si="18"/>
        <v>0</v>
      </c>
      <c r="P76" s="73">
        <f t="shared" si="18"/>
        <v>0</v>
      </c>
      <c r="Q76" s="73">
        <f t="shared" si="18"/>
        <v>0</v>
      </c>
      <c r="R76" s="73">
        <f t="shared" si="18"/>
        <v>0</v>
      </c>
      <c r="S76" s="73">
        <f t="shared" si="18"/>
        <v>0</v>
      </c>
      <c r="T76" s="73">
        <f t="shared" si="18"/>
        <v>0</v>
      </c>
      <c r="U76" s="73">
        <f t="shared" si="18"/>
        <v>0</v>
      </c>
      <c r="V76" s="73">
        <f t="shared" si="18"/>
        <v>0</v>
      </c>
      <c r="W76" s="73">
        <f t="shared" si="18"/>
        <v>0</v>
      </c>
      <c r="X76" s="73">
        <f t="shared" si="18"/>
        <v>0</v>
      </c>
      <c r="Y76" s="73">
        <f t="shared" si="18"/>
        <v>0</v>
      </c>
      <c r="Z76" s="73">
        <f t="shared" si="18"/>
        <v>0</v>
      </c>
      <c r="AA76" s="73">
        <f t="shared" si="18"/>
        <v>0</v>
      </c>
      <c r="AB76" s="73">
        <f t="shared" si="18"/>
        <v>0</v>
      </c>
      <c r="AC76" s="73">
        <f t="shared" si="18"/>
        <v>0</v>
      </c>
      <c r="AD76" s="73">
        <f t="shared" si="18"/>
        <v>0</v>
      </c>
      <c r="AE76" s="73">
        <f t="shared" si="18"/>
        <v>0</v>
      </c>
      <c r="AF76" s="73">
        <f t="shared" si="18"/>
        <v>0</v>
      </c>
      <c r="AG76">
        <v>74</v>
      </c>
    </row>
    <row r="77" spans="1:33" x14ac:dyDescent="0.25">
      <c r="C77">
        <v>400</v>
      </c>
      <c r="D77" t="s">
        <v>138</v>
      </c>
      <c r="E77" s="4">
        <v>0</v>
      </c>
      <c r="F77" s="4">
        <v>0</v>
      </c>
      <c r="G77" s="4">
        <v>0</v>
      </c>
      <c r="H77" s="4">
        <v>0</v>
      </c>
      <c r="I77" s="4">
        <v>0</v>
      </c>
      <c r="J77" s="4">
        <v>0</v>
      </c>
      <c r="K77" s="4">
        <v>0</v>
      </c>
      <c r="L77" s="4">
        <v>0</v>
      </c>
      <c r="M77" s="4">
        <v>0</v>
      </c>
      <c r="N77" s="4">
        <v>0</v>
      </c>
      <c r="O77" s="4">
        <v>0</v>
      </c>
      <c r="P77" s="4"/>
      <c r="Q77" s="4">
        <v>0</v>
      </c>
      <c r="R77" s="4">
        <v>0</v>
      </c>
      <c r="S77" s="4">
        <v>0</v>
      </c>
      <c r="T77" s="4"/>
      <c r="U77" s="4">
        <v>0</v>
      </c>
      <c r="V77" s="4">
        <v>0</v>
      </c>
      <c r="W77" s="4">
        <v>0</v>
      </c>
      <c r="X77" s="4">
        <v>0</v>
      </c>
      <c r="Y77" s="4">
        <v>0</v>
      </c>
      <c r="Z77" s="4">
        <v>0</v>
      </c>
      <c r="AA77" s="4">
        <v>0</v>
      </c>
      <c r="AB77" s="4"/>
      <c r="AC77" s="4">
        <v>0</v>
      </c>
      <c r="AD77" s="4">
        <v>0</v>
      </c>
      <c r="AE77" s="4">
        <v>0</v>
      </c>
      <c r="AF77" s="4">
        <f>SUM(E77:AE77)</f>
        <v>0</v>
      </c>
      <c r="AG77">
        <v>75</v>
      </c>
    </row>
    <row r="78" spans="1:33" x14ac:dyDescent="0.25">
      <c r="C78">
        <v>401</v>
      </c>
      <c r="D78" t="s">
        <v>139</v>
      </c>
      <c r="E78" s="4">
        <v>0</v>
      </c>
      <c r="F78" s="4">
        <v>0</v>
      </c>
      <c r="G78" s="4">
        <v>0</v>
      </c>
      <c r="H78" s="4">
        <v>0</v>
      </c>
      <c r="I78" s="4">
        <v>0</v>
      </c>
      <c r="J78" s="4">
        <v>0</v>
      </c>
      <c r="K78" s="4">
        <v>0</v>
      </c>
      <c r="L78" s="4">
        <v>0</v>
      </c>
      <c r="M78" s="4">
        <v>0</v>
      </c>
      <c r="N78" s="4">
        <v>0</v>
      </c>
      <c r="O78" s="4">
        <v>0</v>
      </c>
      <c r="P78" s="4"/>
      <c r="Q78" s="4">
        <v>0</v>
      </c>
      <c r="R78" s="4">
        <v>0</v>
      </c>
      <c r="S78" s="4">
        <v>0</v>
      </c>
      <c r="T78" s="4"/>
      <c r="U78" s="4">
        <v>0</v>
      </c>
      <c r="V78" s="4">
        <v>0</v>
      </c>
      <c r="W78" s="4">
        <v>0</v>
      </c>
      <c r="X78" s="4">
        <v>0</v>
      </c>
      <c r="Y78" s="4">
        <v>0</v>
      </c>
      <c r="Z78" s="4">
        <v>0</v>
      </c>
      <c r="AA78" s="4">
        <v>0</v>
      </c>
      <c r="AB78" s="4"/>
      <c r="AC78" s="4">
        <v>0</v>
      </c>
      <c r="AD78" s="4">
        <v>0</v>
      </c>
      <c r="AE78" s="4">
        <v>0</v>
      </c>
      <c r="AF78" s="4">
        <f>SUM(E78:AE78)</f>
        <v>0</v>
      </c>
      <c r="AG78">
        <v>76</v>
      </c>
    </row>
    <row r="79" spans="1:33" x14ac:dyDescent="0.25">
      <c r="C79">
        <v>402</v>
      </c>
      <c r="D79" t="s">
        <v>140</v>
      </c>
      <c r="E79" s="4">
        <v>0</v>
      </c>
      <c r="F79" s="4">
        <v>0</v>
      </c>
      <c r="G79" s="4">
        <v>0</v>
      </c>
      <c r="H79" s="4">
        <v>0</v>
      </c>
      <c r="I79" s="4">
        <v>0</v>
      </c>
      <c r="J79" s="4">
        <v>0</v>
      </c>
      <c r="K79" s="4">
        <v>0</v>
      </c>
      <c r="L79" s="4">
        <v>0</v>
      </c>
      <c r="M79" s="4">
        <v>0</v>
      </c>
      <c r="N79" s="4">
        <v>0</v>
      </c>
      <c r="O79" s="4">
        <v>0</v>
      </c>
      <c r="P79" s="4"/>
      <c r="Q79" s="4">
        <v>0</v>
      </c>
      <c r="R79" s="4">
        <v>0</v>
      </c>
      <c r="S79" s="4">
        <v>0</v>
      </c>
      <c r="T79" s="4"/>
      <c r="U79" s="4">
        <v>0</v>
      </c>
      <c r="V79" s="4">
        <v>0</v>
      </c>
      <c r="W79" s="4">
        <v>0</v>
      </c>
      <c r="X79" s="4">
        <v>0</v>
      </c>
      <c r="Y79" s="4">
        <v>0</v>
      </c>
      <c r="Z79" s="4">
        <v>0</v>
      </c>
      <c r="AA79" s="4">
        <v>0</v>
      </c>
      <c r="AB79" s="4"/>
      <c r="AC79" s="4">
        <v>0</v>
      </c>
      <c r="AD79" s="4">
        <v>0</v>
      </c>
      <c r="AE79" s="4">
        <v>0</v>
      </c>
      <c r="AF79" s="4">
        <f>SUM(E79:AE79)</f>
        <v>0</v>
      </c>
      <c r="AG79">
        <v>77</v>
      </c>
    </row>
    <row r="80" spans="1:33" x14ac:dyDescent="0.25">
      <c r="C80">
        <v>403</v>
      </c>
      <c r="D80" t="s">
        <v>141</v>
      </c>
      <c r="E80" s="4">
        <v>0</v>
      </c>
      <c r="F80" s="4">
        <v>0</v>
      </c>
      <c r="G80" s="4">
        <v>0</v>
      </c>
      <c r="H80" s="4">
        <v>0</v>
      </c>
      <c r="I80" s="4">
        <v>0</v>
      </c>
      <c r="J80" s="4">
        <v>0</v>
      </c>
      <c r="K80" s="4">
        <v>0</v>
      </c>
      <c r="L80" s="4">
        <v>0</v>
      </c>
      <c r="M80" s="4">
        <v>0</v>
      </c>
      <c r="N80" s="4">
        <v>0</v>
      </c>
      <c r="O80" s="4">
        <v>0</v>
      </c>
      <c r="P80" s="4"/>
      <c r="Q80" s="4">
        <v>0</v>
      </c>
      <c r="R80" s="4">
        <v>0</v>
      </c>
      <c r="S80" s="4">
        <v>0</v>
      </c>
      <c r="T80" s="4"/>
      <c r="U80" s="4">
        <v>0</v>
      </c>
      <c r="V80" s="4">
        <v>0</v>
      </c>
      <c r="W80" s="4">
        <v>0</v>
      </c>
      <c r="X80" s="4">
        <v>0</v>
      </c>
      <c r="Y80" s="4">
        <v>0</v>
      </c>
      <c r="Z80" s="4">
        <v>0</v>
      </c>
      <c r="AA80" s="4">
        <v>0</v>
      </c>
      <c r="AB80" s="4"/>
      <c r="AC80" s="4">
        <v>0</v>
      </c>
      <c r="AD80" s="4">
        <v>0</v>
      </c>
      <c r="AE80" s="4">
        <v>0</v>
      </c>
      <c r="AF80" s="4">
        <f>SUM(E80:AE80)</f>
        <v>0</v>
      </c>
      <c r="AG80">
        <v>78</v>
      </c>
    </row>
    <row r="81" spans="2:33" x14ac:dyDescent="0.25">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v>79</v>
      </c>
    </row>
    <row r="82" spans="2:33" x14ac:dyDescent="0.25">
      <c r="B82" s="78">
        <v>41</v>
      </c>
      <c r="C82" s="78"/>
      <c r="D82" s="78" t="s">
        <v>142</v>
      </c>
      <c r="E82" s="73">
        <f>E83+E84+E85+E86</f>
        <v>0</v>
      </c>
      <c r="F82" s="73">
        <f t="shared" ref="F82:AF82" si="19">F83+F84+F85+F86</f>
        <v>0</v>
      </c>
      <c r="G82" s="73">
        <f t="shared" si="19"/>
        <v>0</v>
      </c>
      <c r="H82" s="73">
        <f t="shared" si="19"/>
        <v>0</v>
      </c>
      <c r="I82" s="73">
        <f t="shared" si="19"/>
        <v>0</v>
      </c>
      <c r="J82" s="73">
        <f t="shared" si="19"/>
        <v>0</v>
      </c>
      <c r="K82" s="73">
        <f t="shared" si="19"/>
        <v>0</v>
      </c>
      <c r="L82" s="73">
        <f t="shared" si="19"/>
        <v>0</v>
      </c>
      <c r="M82" s="73">
        <f t="shared" si="19"/>
        <v>0</v>
      </c>
      <c r="N82" s="73">
        <f t="shared" si="19"/>
        <v>0</v>
      </c>
      <c r="O82" s="73">
        <f t="shared" si="19"/>
        <v>0</v>
      </c>
      <c r="P82" s="73">
        <f t="shared" si="19"/>
        <v>0</v>
      </c>
      <c r="Q82" s="73">
        <f t="shared" si="19"/>
        <v>0</v>
      </c>
      <c r="R82" s="73">
        <f t="shared" si="19"/>
        <v>0</v>
      </c>
      <c r="S82" s="73">
        <f t="shared" si="19"/>
        <v>0</v>
      </c>
      <c r="T82" s="73">
        <f t="shared" si="19"/>
        <v>0</v>
      </c>
      <c r="U82" s="73">
        <f t="shared" si="19"/>
        <v>0</v>
      </c>
      <c r="V82" s="73">
        <f t="shared" si="19"/>
        <v>0</v>
      </c>
      <c r="W82" s="73">
        <f t="shared" si="19"/>
        <v>0</v>
      </c>
      <c r="X82" s="73">
        <f t="shared" si="19"/>
        <v>0</v>
      </c>
      <c r="Y82" s="73">
        <f t="shared" si="19"/>
        <v>0</v>
      </c>
      <c r="Z82" s="73">
        <f t="shared" si="19"/>
        <v>0</v>
      </c>
      <c r="AA82" s="73">
        <f t="shared" si="19"/>
        <v>0</v>
      </c>
      <c r="AB82" s="73">
        <f t="shared" si="19"/>
        <v>0</v>
      </c>
      <c r="AC82" s="73">
        <f t="shared" si="19"/>
        <v>0</v>
      </c>
      <c r="AD82" s="73">
        <f t="shared" si="19"/>
        <v>0</v>
      </c>
      <c r="AE82" s="73">
        <f t="shared" si="19"/>
        <v>0</v>
      </c>
      <c r="AF82" s="73">
        <f t="shared" si="19"/>
        <v>0</v>
      </c>
      <c r="AG82">
        <v>80</v>
      </c>
    </row>
    <row r="83" spans="2:33" x14ac:dyDescent="0.25">
      <c r="C83">
        <v>410</v>
      </c>
      <c r="D83" t="s">
        <v>143</v>
      </c>
      <c r="E83" s="4">
        <v>0</v>
      </c>
      <c r="F83" s="4">
        <v>0</v>
      </c>
      <c r="G83" s="4">
        <v>0</v>
      </c>
      <c r="H83" s="4">
        <v>0</v>
      </c>
      <c r="I83" s="4">
        <v>0</v>
      </c>
      <c r="J83" s="4">
        <v>0</v>
      </c>
      <c r="K83" s="4">
        <v>0</v>
      </c>
      <c r="L83" s="4">
        <v>0</v>
      </c>
      <c r="M83" s="4">
        <v>0</v>
      </c>
      <c r="N83" s="4">
        <v>0</v>
      </c>
      <c r="O83" s="4">
        <v>0</v>
      </c>
      <c r="P83" s="4"/>
      <c r="Q83" s="4">
        <v>0</v>
      </c>
      <c r="R83" s="4">
        <v>0</v>
      </c>
      <c r="S83" s="4">
        <v>0</v>
      </c>
      <c r="T83" s="4"/>
      <c r="U83" s="4">
        <v>0</v>
      </c>
      <c r="V83" s="4">
        <v>0</v>
      </c>
      <c r="W83" s="4">
        <v>0</v>
      </c>
      <c r="X83" s="4">
        <v>0</v>
      </c>
      <c r="Y83" s="4">
        <v>0</v>
      </c>
      <c r="Z83" s="4">
        <v>0</v>
      </c>
      <c r="AA83" s="4">
        <v>0</v>
      </c>
      <c r="AB83" s="4"/>
      <c r="AC83" s="4">
        <v>0</v>
      </c>
      <c r="AD83" s="4">
        <v>0</v>
      </c>
      <c r="AE83" s="4">
        <v>0</v>
      </c>
      <c r="AF83" s="4">
        <f>SUM(E83:AE83)</f>
        <v>0</v>
      </c>
      <c r="AG83">
        <v>81</v>
      </c>
    </row>
    <row r="84" spans="2:33" x14ac:dyDescent="0.25">
      <c r="C84">
        <v>411</v>
      </c>
      <c r="D84" t="s">
        <v>144</v>
      </c>
      <c r="E84" s="4">
        <v>0</v>
      </c>
      <c r="F84" s="4">
        <v>0</v>
      </c>
      <c r="G84" s="4">
        <v>0</v>
      </c>
      <c r="H84" s="4">
        <v>0</v>
      </c>
      <c r="I84" s="4">
        <v>0</v>
      </c>
      <c r="J84" s="4">
        <v>0</v>
      </c>
      <c r="K84" s="4">
        <v>0</v>
      </c>
      <c r="L84" s="4">
        <v>0</v>
      </c>
      <c r="M84" s="4">
        <v>0</v>
      </c>
      <c r="N84" s="4">
        <v>0</v>
      </c>
      <c r="O84" s="4">
        <v>0</v>
      </c>
      <c r="P84" s="4"/>
      <c r="Q84" s="4">
        <v>0</v>
      </c>
      <c r="R84" s="4">
        <v>0</v>
      </c>
      <c r="S84" s="4">
        <v>0</v>
      </c>
      <c r="T84" s="4"/>
      <c r="U84" s="4">
        <v>0</v>
      </c>
      <c r="V84" s="4">
        <v>0</v>
      </c>
      <c r="W84" s="4">
        <v>0</v>
      </c>
      <c r="X84" s="4">
        <v>0</v>
      </c>
      <c r="Y84" s="4">
        <v>0</v>
      </c>
      <c r="Z84" s="4">
        <v>0</v>
      </c>
      <c r="AA84" s="4">
        <v>0</v>
      </c>
      <c r="AB84" s="4"/>
      <c r="AC84" s="4">
        <v>0</v>
      </c>
      <c r="AD84" s="4">
        <v>0</v>
      </c>
      <c r="AE84" s="4">
        <v>0</v>
      </c>
      <c r="AF84" s="4">
        <f>SUM(E84:AE84)</f>
        <v>0</v>
      </c>
      <c r="AG84">
        <v>82</v>
      </c>
    </row>
    <row r="85" spans="2:33" x14ac:dyDescent="0.25">
      <c r="C85">
        <v>412</v>
      </c>
      <c r="D85" t="s">
        <v>145</v>
      </c>
      <c r="E85" s="4">
        <v>0</v>
      </c>
      <c r="F85" s="4">
        <v>0</v>
      </c>
      <c r="G85" s="4">
        <v>0</v>
      </c>
      <c r="H85" s="4">
        <v>0</v>
      </c>
      <c r="I85" s="4">
        <v>0</v>
      </c>
      <c r="J85" s="4">
        <v>0</v>
      </c>
      <c r="K85" s="4">
        <v>0</v>
      </c>
      <c r="L85" s="4">
        <v>0</v>
      </c>
      <c r="M85" s="4">
        <v>0</v>
      </c>
      <c r="N85" s="4">
        <v>0</v>
      </c>
      <c r="O85" s="4">
        <v>0</v>
      </c>
      <c r="P85" s="4"/>
      <c r="Q85" s="4">
        <v>0</v>
      </c>
      <c r="R85" s="4">
        <v>0</v>
      </c>
      <c r="S85" s="4">
        <v>0</v>
      </c>
      <c r="T85" s="4"/>
      <c r="U85" s="4">
        <v>0</v>
      </c>
      <c r="V85" s="4">
        <v>0</v>
      </c>
      <c r="W85" s="4">
        <v>0</v>
      </c>
      <c r="X85" s="4">
        <v>0</v>
      </c>
      <c r="Y85" s="4">
        <v>0</v>
      </c>
      <c r="Z85" s="4">
        <v>0</v>
      </c>
      <c r="AA85" s="4">
        <v>0</v>
      </c>
      <c r="AB85" s="4"/>
      <c r="AC85" s="4">
        <v>0</v>
      </c>
      <c r="AD85" s="4">
        <v>0</v>
      </c>
      <c r="AE85" s="4">
        <v>0</v>
      </c>
      <c r="AF85" s="4">
        <f>SUM(E85:AE85)</f>
        <v>0</v>
      </c>
      <c r="AG85">
        <v>83</v>
      </c>
    </row>
    <row r="86" spans="2:33" x14ac:dyDescent="0.25">
      <c r="C86">
        <v>413</v>
      </c>
      <c r="D86" t="s">
        <v>146</v>
      </c>
      <c r="E86" s="4">
        <v>0</v>
      </c>
      <c r="F86" s="4">
        <v>0</v>
      </c>
      <c r="G86" s="4">
        <v>0</v>
      </c>
      <c r="H86" s="4">
        <v>0</v>
      </c>
      <c r="I86" s="4">
        <v>0</v>
      </c>
      <c r="J86" s="4">
        <v>0</v>
      </c>
      <c r="K86" s="4">
        <v>0</v>
      </c>
      <c r="L86" s="4">
        <v>0</v>
      </c>
      <c r="M86" s="4">
        <v>0</v>
      </c>
      <c r="N86" s="4">
        <v>0</v>
      </c>
      <c r="O86" s="4">
        <v>0</v>
      </c>
      <c r="P86" s="4"/>
      <c r="Q86" s="4">
        <v>0</v>
      </c>
      <c r="R86" s="4">
        <v>0</v>
      </c>
      <c r="S86" s="4">
        <v>0</v>
      </c>
      <c r="T86" s="4"/>
      <c r="U86" s="4">
        <v>0</v>
      </c>
      <c r="V86" s="4">
        <v>0</v>
      </c>
      <c r="W86" s="4">
        <v>0</v>
      </c>
      <c r="X86" s="4">
        <v>0</v>
      </c>
      <c r="Y86" s="4">
        <v>0</v>
      </c>
      <c r="Z86" s="4">
        <v>0</v>
      </c>
      <c r="AA86" s="4">
        <v>0</v>
      </c>
      <c r="AB86" s="4"/>
      <c r="AC86" s="4">
        <v>0</v>
      </c>
      <c r="AD86" s="4">
        <v>0</v>
      </c>
      <c r="AE86" s="4">
        <v>0</v>
      </c>
      <c r="AF86" s="4">
        <f>SUM(E86:AE86)</f>
        <v>0</v>
      </c>
      <c r="AG86">
        <v>84</v>
      </c>
    </row>
    <row r="87" spans="2:33" x14ac:dyDescent="0.25">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v>85</v>
      </c>
    </row>
    <row r="88" spans="2:33" x14ac:dyDescent="0.25">
      <c r="B88" s="78">
        <v>42</v>
      </c>
      <c r="C88" s="78"/>
      <c r="D88" s="78" t="s">
        <v>147</v>
      </c>
      <c r="E88" s="73">
        <f>E89+E90+E91+E92+E93+E94+E95+E96+E97</f>
        <v>12636.55</v>
      </c>
      <c r="F88" s="73">
        <f t="shared" ref="F88:AF88" si="20">F89+F90+F91+F92+F93+F94+F95+F96+F97</f>
        <v>195739.63</v>
      </c>
      <c r="G88" s="73">
        <f t="shared" si="20"/>
        <v>19770</v>
      </c>
      <c r="H88" s="73">
        <f t="shared" si="20"/>
        <v>5957216.3899999997</v>
      </c>
      <c r="I88" s="73">
        <f t="shared" si="20"/>
        <v>0</v>
      </c>
      <c r="J88" s="73">
        <f t="shared" si="20"/>
        <v>12311.25</v>
      </c>
      <c r="K88" s="73">
        <f t="shared" si="20"/>
        <v>51232</v>
      </c>
      <c r="L88" s="73">
        <f t="shared" si="20"/>
        <v>647621.65</v>
      </c>
      <c r="M88" s="73">
        <f t="shared" si="20"/>
        <v>34654.6</v>
      </c>
      <c r="N88" s="73">
        <f t="shared" si="20"/>
        <v>0</v>
      </c>
      <c r="O88" s="73">
        <f t="shared" si="20"/>
        <v>2405358</v>
      </c>
      <c r="P88" s="73">
        <f t="shared" si="20"/>
        <v>0</v>
      </c>
      <c r="Q88" s="73">
        <f t="shared" si="20"/>
        <v>2400</v>
      </c>
      <c r="R88" s="73">
        <f t="shared" si="20"/>
        <v>25302</v>
      </c>
      <c r="S88" s="73">
        <f t="shared" si="20"/>
        <v>4345</v>
      </c>
      <c r="T88" s="73">
        <f t="shared" si="20"/>
        <v>0</v>
      </c>
      <c r="U88" s="73">
        <f t="shared" si="20"/>
        <v>33993.449999999997</v>
      </c>
      <c r="V88" s="73">
        <f t="shared" si="20"/>
        <v>6234</v>
      </c>
      <c r="W88" s="73">
        <f t="shared" si="20"/>
        <v>0</v>
      </c>
      <c r="X88" s="73">
        <f t="shared" si="20"/>
        <v>718177.56</v>
      </c>
      <c r="Y88" s="73">
        <f t="shared" si="20"/>
        <v>1906618.5999999999</v>
      </c>
      <c r="Z88" s="73">
        <f t="shared" si="20"/>
        <v>331879.15000000002</v>
      </c>
      <c r="AA88" s="73">
        <f t="shared" si="20"/>
        <v>165877.22</v>
      </c>
      <c r="AB88" s="73">
        <f t="shared" si="20"/>
        <v>0</v>
      </c>
      <c r="AC88" s="73">
        <f t="shared" si="20"/>
        <v>270</v>
      </c>
      <c r="AD88" s="73">
        <f t="shared" si="20"/>
        <v>314830.2</v>
      </c>
      <c r="AE88" s="73">
        <f t="shared" si="20"/>
        <v>0</v>
      </c>
      <c r="AF88" s="73">
        <f t="shared" si="20"/>
        <v>12846467.250000002</v>
      </c>
      <c r="AG88">
        <v>86</v>
      </c>
    </row>
    <row r="89" spans="2:33" x14ac:dyDescent="0.25">
      <c r="C89">
        <v>420</v>
      </c>
      <c r="D89" t="s">
        <v>148</v>
      </c>
      <c r="E89" s="4">
        <v>0</v>
      </c>
      <c r="F89" s="4">
        <v>0</v>
      </c>
      <c r="G89" s="4">
        <v>0</v>
      </c>
      <c r="H89" s="4">
        <v>0</v>
      </c>
      <c r="I89" s="4">
        <v>0</v>
      </c>
      <c r="J89" s="4">
        <v>0</v>
      </c>
      <c r="K89" s="4">
        <v>0</v>
      </c>
      <c r="L89" s="4">
        <v>0</v>
      </c>
      <c r="M89" s="4">
        <v>0</v>
      </c>
      <c r="N89" s="4">
        <v>0</v>
      </c>
      <c r="O89" s="4">
        <v>0</v>
      </c>
      <c r="P89" s="4"/>
      <c r="Q89" s="4">
        <v>0</v>
      </c>
      <c r="R89" s="4">
        <v>0</v>
      </c>
      <c r="S89" s="4">
        <v>0</v>
      </c>
      <c r="T89" s="4"/>
      <c r="U89" s="4">
        <v>0</v>
      </c>
      <c r="V89" s="4">
        <v>0</v>
      </c>
      <c r="W89" s="4">
        <v>0</v>
      </c>
      <c r="X89" s="4">
        <v>0</v>
      </c>
      <c r="Y89" s="4">
        <v>0</v>
      </c>
      <c r="Z89" s="4">
        <v>0</v>
      </c>
      <c r="AA89" s="4">
        <v>0</v>
      </c>
      <c r="AB89" s="4"/>
      <c r="AC89" s="4">
        <v>0</v>
      </c>
      <c r="AD89" s="4">
        <v>0</v>
      </c>
      <c r="AE89" s="4">
        <v>0</v>
      </c>
      <c r="AF89" s="4">
        <f t="shared" ref="AF89:AF97" si="21">SUM(E89:AE89)</f>
        <v>0</v>
      </c>
      <c r="AG89">
        <v>87</v>
      </c>
    </row>
    <row r="90" spans="2:33" x14ac:dyDescent="0.25">
      <c r="C90">
        <v>421</v>
      </c>
      <c r="D90" t="s">
        <v>149</v>
      </c>
      <c r="E90" s="4">
        <v>0</v>
      </c>
      <c r="F90" s="4">
        <v>0</v>
      </c>
      <c r="G90" s="4">
        <v>0</v>
      </c>
      <c r="H90" s="4">
        <v>707.64</v>
      </c>
      <c r="I90" s="4">
        <v>0</v>
      </c>
      <c r="J90" s="4">
        <v>0</v>
      </c>
      <c r="K90" s="4">
        <v>0</v>
      </c>
      <c r="L90" s="4">
        <v>5291.5</v>
      </c>
      <c r="M90" s="4">
        <v>0</v>
      </c>
      <c r="N90" s="4">
        <v>0</v>
      </c>
      <c r="O90" s="4">
        <v>259349.05</v>
      </c>
      <c r="P90" s="4"/>
      <c r="Q90" s="4">
        <v>0</v>
      </c>
      <c r="R90" s="4">
        <v>0</v>
      </c>
      <c r="S90" s="4">
        <v>0</v>
      </c>
      <c r="T90" s="4"/>
      <c r="U90" s="4">
        <v>0</v>
      </c>
      <c r="V90" s="4">
        <v>0</v>
      </c>
      <c r="W90" s="4">
        <v>0</v>
      </c>
      <c r="X90" s="4">
        <v>0</v>
      </c>
      <c r="Y90" s="4">
        <v>0</v>
      </c>
      <c r="Z90" s="4">
        <v>0</v>
      </c>
      <c r="AA90" s="4">
        <v>4800</v>
      </c>
      <c r="AB90" s="4"/>
      <c r="AC90" s="4">
        <v>0</v>
      </c>
      <c r="AD90" s="4">
        <v>0</v>
      </c>
      <c r="AE90" s="4">
        <v>0</v>
      </c>
      <c r="AF90" s="4">
        <f t="shared" si="21"/>
        <v>270148.19</v>
      </c>
      <c r="AG90">
        <v>88</v>
      </c>
    </row>
    <row r="91" spans="2:33" x14ac:dyDescent="0.25">
      <c r="C91">
        <v>422</v>
      </c>
      <c r="D91" t="s">
        <v>150</v>
      </c>
      <c r="E91" s="4">
        <v>0</v>
      </c>
      <c r="F91" s="4">
        <v>0</v>
      </c>
      <c r="G91" s="4">
        <v>0</v>
      </c>
      <c r="H91" s="4">
        <v>0</v>
      </c>
      <c r="I91" s="4">
        <v>0</v>
      </c>
      <c r="J91" s="4">
        <v>0</v>
      </c>
      <c r="K91" s="4">
        <v>0</v>
      </c>
      <c r="L91" s="4">
        <v>0</v>
      </c>
      <c r="M91" s="4">
        <v>0</v>
      </c>
      <c r="N91" s="4">
        <v>0</v>
      </c>
      <c r="O91" s="4">
        <v>0</v>
      </c>
      <c r="P91" s="4"/>
      <c r="Q91" s="4">
        <v>0</v>
      </c>
      <c r="R91" s="4">
        <v>0</v>
      </c>
      <c r="S91" s="4">
        <v>0</v>
      </c>
      <c r="T91" s="4"/>
      <c r="U91" s="4">
        <v>0</v>
      </c>
      <c r="V91" s="4">
        <v>0</v>
      </c>
      <c r="W91" s="4">
        <v>0</v>
      </c>
      <c r="X91" s="4">
        <v>0</v>
      </c>
      <c r="Y91" s="4">
        <v>0</v>
      </c>
      <c r="Z91" s="4">
        <v>0</v>
      </c>
      <c r="AA91" s="4">
        <v>0</v>
      </c>
      <c r="AB91" s="4"/>
      <c r="AC91" s="4">
        <v>0</v>
      </c>
      <c r="AD91" s="4">
        <v>0</v>
      </c>
      <c r="AE91" s="4">
        <v>0</v>
      </c>
      <c r="AF91" s="4">
        <f t="shared" si="21"/>
        <v>0</v>
      </c>
      <c r="AG91">
        <v>89</v>
      </c>
    </row>
    <row r="92" spans="2:33" x14ac:dyDescent="0.25">
      <c r="C92">
        <v>423</v>
      </c>
      <c r="D92" t="s">
        <v>151</v>
      </c>
      <c r="E92" s="4">
        <v>0</v>
      </c>
      <c r="F92" s="4">
        <v>0</v>
      </c>
      <c r="G92" s="4">
        <v>0</v>
      </c>
      <c r="H92" s="4">
        <v>0</v>
      </c>
      <c r="I92" s="4">
        <v>0</v>
      </c>
      <c r="J92" s="4">
        <v>0</v>
      </c>
      <c r="K92" s="4">
        <v>0</v>
      </c>
      <c r="L92" s="4">
        <v>0</v>
      </c>
      <c r="M92" s="4">
        <v>0</v>
      </c>
      <c r="N92" s="4">
        <v>0</v>
      </c>
      <c r="O92" s="4">
        <v>0</v>
      </c>
      <c r="P92" s="4"/>
      <c r="Q92" s="4">
        <v>0</v>
      </c>
      <c r="R92" s="4">
        <v>0</v>
      </c>
      <c r="S92" s="4">
        <v>0</v>
      </c>
      <c r="T92" s="4"/>
      <c r="U92" s="4">
        <v>0</v>
      </c>
      <c r="V92" s="4">
        <v>2940</v>
      </c>
      <c r="W92" s="4">
        <v>0</v>
      </c>
      <c r="X92" s="4">
        <v>0</v>
      </c>
      <c r="Y92" s="4">
        <v>0</v>
      </c>
      <c r="Z92" s="4">
        <v>0</v>
      </c>
      <c r="AA92" s="4">
        <v>0</v>
      </c>
      <c r="AB92" s="4"/>
      <c r="AC92" s="4">
        <v>0</v>
      </c>
      <c r="AD92" s="4">
        <v>0</v>
      </c>
      <c r="AE92" s="4">
        <v>0</v>
      </c>
      <c r="AF92" s="4">
        <f t="shared" si="21"/>
        <v>2940</v>
      </c>
      <c r="AG92">
        <v>90</v>
      </c>
    </row>
    <row r="93" spans="2:33" x14ac:dyDescent="0.25">
      <c r="C93">
        <v>424</v>
      </c>
      <c r="D93" t="s">
        <v>152</v>
      </c>
      <c r="E93" s="4">
        <v>0</v>
      </c>
      <c r="F93" s="4">
        <v>11653.4</v>
      </c>
      <c r="G93" s="4">
        <v>19770</v>
      </c>
      <c r="H93" s="4">
        <v>5953857.4500000002</v>
      </c>
      <c r="I93" s="4">
        <v>0</v>
      </c>
      <c r="J93" s="4">
        <v>0</v>
      </c>
      <c r="K93" s="4">
        <v>42360</v>
      </c>
      <c r="L93" s="4">
        <v>639655.9</v>
      </c>
      <c r="M93" s="4">
        <v>0</v>
      </c>
      <c r="N93" s="4">
        <v>0</v>
      </c>
      <c r="O93" s="4">
        <v>2146008.9500000002</v>
      </c>
      <c r="P93" s="4"/>
      <c r="Q93" s="4">
        <v>2400</v>
      </c>
      <c r="R93" s="4">
        <v>25302</v>
      </c>
      <c r="S93" s="4">
        <v>4345</v>
      </c>
      <c r="T93" s="4"/>
      <c r="U93" s="4">
        <v>0</v>
      </c>
      <c r="V93" s="4">
        <v>0</v>
      </c>
      <c r="W93" s="4">
        <v>0</v>
      </c>
      <c r="X93" s="4">
        <v>718177.56</v>
      </c>
      <c r="Y93" s="4">
        <v>785073.1</v>
      </c>
      <c r="Z93" s="4">
        <v>331879.15000000002</v>
      </c>
      <c r="AA93" s="4">
        <v>4232.75</v>
      </c>
      <c r="AB93" s="4"/>
      <c r="AC93" s="4">
        <v>0</v>
      </c>
      <c r="AD93" s="4">
        <v>264339.40000000002</v>
      </c>
      <c r="AE93" s="4">
        <v>0</v>
      </c>
      <c r="AF93" s="4">
        <f t="shared" si="21"/>
        <v>10949054.660000002</v>
      </c>
      <c r="AG93">
        <v>91</v>
      </c>
    </row>
    <row r="94" spans="2:33" x14ac:dyDescent="0.25">
      <c r="C94">
        <v>425</v>
      </c>
      <c r="D94" t="s">
        <v>153</v>
      </c>
      <c r="E94" s="4">
        <v>0</v>
      </c>
      <c r="F94" s="4">
        <v>151666.23000000001</v>
      </c>
      <c r="G94" s="4">
        <v>0</v>
      </c>
      <c r="H94" s="4">
        <v>0</v>
      </c>
      <c r="I94" s="4">
        <v>0</v>
      </c>
      <c r="J94" s="4">
        <v>0</v>
      </c>
      <c r="K94" s="4">
        <v>0</v>
      </c>
      <c r="L94" s="4">
        <v>0</v>
      </c>
      <c r="M94" s="4">
        <v>0</v>
      </c>
      <c r="N94" s="4">
        <v>0</v>
      </c>
      <c r="O94" s="4">
        <v>0</v>
      </c>
      <c r="P94" s="4"/>
      <c r="Q94" s="4">
        <v>0</v>
      </c>
      <c r="R94" s="4">
        <v>0</v>
      </c>
      <c r="S94" s="4">
        <v>0</v>
      </c>
      <c r="T94" s="4"/>
      <c r="U94" s="4">
        <v>22255.45</v>
      </c>
      <c r="V94" s="4">
        <v>0</v>
      </c>
      <c r="W94" s="4">
        <v>0</v>
      </c>
      <c r="X94" s="4">
        <v>0</v>
      </c>
      <c r="Y94" s="4">
        <v>1117469.55</v>
      </c>
      <c r="Z94" s="4">
        <v>0</v>
      </c>
      <c r="AA94" s="4">
        <v>8912.9500000000007</v>
      </c>
      <c r="AB94" s="4"/>
      <c r="AC94" s="4">
        <v>0</v>
      </c>
      <c r="AD94" s="4">
        <v>0</v>
      </c>
      <c r="AE94" s="4">
        <v>0</v>
      </c>
      <c r="AF94" s="4">
        <f t="shared" si="21"/>
        <v>1300304.18</v>
      </c>
      <c r="AG94">
        <v>92</v>
      </c>
    </row>
    <row r="95" spans="2:33" x14ac:dyDescent="0.25">
      <c r="C95">
        <v>426</v>
      </c>
      <c r="D95" t="s">
        <v>154</v>
      </c>
      <c r="E95" s="4">
        <v>12161.55</v>
      </c>
      <c r="F95" s="4">
        <v>17000</v>
      </c>
      <c r="G95" s="4">
        <v>0</v>
      </c>
      <c r="H95" s="4">
        <v>2651.3</v>
      </c>
      <c r="I95" s="4">
        <v>0</v>
      </c>
      <c r="J95" s="4">
        <v>11951.25</v>
      </c>
      <c r="K95" s="4">
        <v>8872</v>
      </c>
      <c r="L95" s="4">
        <v>2674.25</v>
      </c>
      <c r="M95" s="4">
        <v>34634.6</v>
      </c>
      <c r="N95" s="4">
        <v>0</v>
      </c>
      <c r="O95" s="4">
        <v>0</v>
      </c>
      <c r="P95" s="4"/>
      <c r="Q95" s="4">
        <v>0</v>
      </c>
      <c r="R95" s="4">
        <v>0</v>
      </c>
      <c r="S95" s="4">
        <v>0</v>
      </c>
      <c r="T95" s="4"/>
      <c r="U95" s="4">
        <v>11738</v>
      </c>
      <c r="V95" s="4">
        <v>3294</v>
      </c>
      <c r="W95" s="4">
        <v>0</v>
      </c>
      <c r="X95" s="4">
        <v>0</v>
      </c>
      <c r="Y95" s="4">
        <v>4075.95</v>
      </c>
      <c r="Z95" s="4">
        <v>0</v>
      </c>
      <c r="AA95" s="4">
        <v>147931.51999999999</v>
      </c>
      <c r="AB95" s="4"/>
      <c r="AC95" s="4">
        <v>270</v>
      </c>
      <c r="AD95" s="4">
        <v>50490.8</v>
      </c>
      <c r="AE95" s="4">
        <v>0</v>
      </c>
      <c r="AF95" s="4">
        <f t="shared" si="21"/>
        <v>307745.21999999997</v>
      </c>
      <c r="AG95">
        <v>93</v>
      </c>
    </row>
    <row r="96" spans="2:33" x14ac:dyDescent="0.25">
      <c r="C96">
        <v>427</v>
      </c>
      <c r="D96" t="s">
        <v>155</v>
      </c>
      <c r="E96" s="4">
        <v>475</v>
      </c>
      <c r="F96" s="4">
        <v>0</v>
      </c>
      <c r="G96" s="4">
        <v>0</v>
      </c>
      <c r="H96" s="4">
        <v>0</v>
      </c>
      <c r="I96" s="4">
        <v>0</v>
      </c>
      <c r="J96" s="4">
        <v>360</v>
      </c>
      <c r="K96" s="4">
        <v>0</v>
      </c>
      <c r="L96" s="4">
        <v>0</v>
      </c>
      <c r="M96" s="4">
        <v>20</v>
      </c>
      <c r="N96" s="4">
        <v>0</v>
      </c>
      <c r="O96" s="4">
        <v>0</v>
      </c>
      <c r="P96" s="4"/>
      <c r="Q96" s="4">
        <v>0</v>
      </c>
      <c r="R96" s="4">
        <v>0</v>
      </c>
      <c r="S96" s="4">
        <v>0</v>
      </c>
      <c r="T96" s="4"/>
      <c r="U96" s="4">
        <v>0</v>
      </c>
      <c r="V96" s="4">
        <v>0</v>
      </c>
      <c r="W96" s="4">
        <v>0</v>
      </c>
      <c r="X96" s="4">
        <v>0</v>
      </c>
      <c r="Y96" s="4">
        <v>0</v>
      </c>
      <c r="Z96" s="4">
        <v>0</v>
      </c>
      <c r="AA96" s="4">
        <v>0</v>
      </c>
      <c r="AB96" s="4"/>
      <c r="AC96" s="4">
        <v>0</v>
      </c>
      <c r="AD96" s="4">
        <v>0</v>
      </c>
      <c r="AE96" s="4">
        <v>0</v>
      </c>
      <c r="AF96" s="4">
        <f t="shared" si="21"/>
        <v>855</v>
      </c>
      <c r="AG96">
        <v>94</v>
      </c>
    </row>
    <row r="97" spans="2:33" x14ac:dyDescent="0.25">
      <c r="C97">
        <v>429</v>
      </c>
      <c r="D97" t="s">
        <v>156</v>
      </c>
      <c r="E97" s="4">
        <v>0</v>
      </c>
      <c r="F97" s="4">
        <v>15420</v>
      </c>
      <c r="G97" s="4">
        <v>0</v>
      </c>
      <c r="H97" s="4">
        <v>0</v>
      </c>
      <c r="I97" s="4">
        <v>0</v>
      </c>
      <c r="J97" s="4">
        <v>0</v>
      </c>
      <c r="K97" s="4">
        <v>0</v>
      </c>
      <c r="L97" s="4">
        <v>0</v>
      </c>
      <c r="M97" s="4">
        <v>0</v>
      </c>
      <c r="N97" s="4">
        <v>0</v>
      </c>
      <c r="O97" s="4">
        <v>0</v>
      </c>
      <c r="P97" s="4"/>
      <c r="Q97" s="4">
        <v>0</v>
      </c>
      <c r="R97" s="4">
        <v>0</v>
      </c>
      <c r="S97" s="4">
        <v>0</v>
      </c>
      <c r="T97" s="4"/>
      <c r="U97" s="4">
        <v>0</v>
      </c>
      <c r="V97" s="4"/>
      <c r="W97" s="4">
        <v>0</v>
      </c>
      <c r="X97" s="4">
        <v>0</v>
      </c>
      <c r="Y97" s="4">
        <v>0</v>
      </c>
      <c r="Z97" s="4">
        <v>0</v>
      </c>
      <c r="AA97" s="4">
        <v>0</v>
      </c>
      <c r="AB97" s="4"/>
      <c r="AC97" s="4">
        <v>0</v>
      </c>
      <c r="AD97" s="4">
        <v>0</v>
      </c>
      <c r="AE97" s="4">
        <v>0</v>
      </c>
      <c r="AF97" s="4">
        <f t="shared" si="21"/>
        <v>15420</v>
      </c>
      <c r="AG97">
        <v>95</v>
      </c>
    </row>
    <row r="98" spans="2:33" x14ac:dyDescent="0.25">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v>96</v>
      </c>
    </row>
    <row r="99" spans="2:33" x14ac:dyDescent="0.25">
      <c r="B99" s="78">
        <v>43</v>
      </c>
      <c r="C99" s="78"/>
      <c r="D99" s="78" t="s">
        <v>157</v>
      </c>
      <c r="E99" s="73">
        <f>E100+E101+E102+E103</f>
        <v>0</v>
      </c>
      <c r="F99" s="73">
        <f t="shared" ref="F99:AF99" si="22">F100+F101+F102+F103</f>
        <v>0</v>
      </c>
      <c r="G99" s="73">
        <f t="shared" si="22"/>
        <v>0</v>
      </c>
      <c r="H99" s="73">
        <f t="shared" si="22"/>
        <v>0</v>
      </c>
      <c r="I99" s="73">
        <f t="shared" si="22"/>
        <v>0</v>
      </c>
      <c r="J99" s="73">
        <f t="shared" si="22"/>
        <v>480</v>
      </c>
      <c r="K99" s="73">
        <f t="shared" si="22"/>
        <v>0</v>
      </c>
      <c r="L99" s="73">
        <f t="shared" si="22"/>
        <v>0</v>
      </c>
      <c r="M99" s="73">
        <f t="shared" si="22"/>
        <v>0</v>
      </c>
      <c r="N99" s="73">
        <f t="shared" si="22"/>
        <v>0</v>
      </c>
      <c r="O99" s="73">
        <f t="shared" si="22"/>
        <v>0</v>
      </c>
      <c r="P99" s="73">
        <f t="shared" si="22"/>
        <v>0</v>
      </c>
      <c r="Q99" s="73">
        <f t="shared" si="22"/>
        <v>0</v>
      </c>
      <c r="R99" s="73">
        <f t="shared" si="22"/>
        <v>0</v>
      </c>
      <c r="S99" s="73">
        <f t="shared" si="22"/>
        <v>0</v>
      </c>
      <c r="T99" s="73">
        <f t="shared" si="22"/>
        <v>0</v>
      </c>
      <c r="U99" s="73">
        <f t="shared" si="22"/>
        <v>0</v>
      </c>
      <c r="V99" s="73">
        <f t="shared" si="22"/>
        <v>0</v>
      </c>
      <c r="W99" s="73">
        <f t="shared" si="22"/>
        <v>0</v>
      </c>
      <c r="X99" s="73">
        <f t="shared" si="22"/>
        <v>0</v>
      </c>
      <c r="Y99" s="73">
        <f t="shared" si="22"/>
        <v>66040.44</v>
      </c>
      <c r="Z99" s="73">
        <f t="shared" si="22"/>
        <v>0</v>
      </c>
      <c r="AA99" s="73">
        <f t="shared" si="22"/>
        <v>25635</v>
      </c>
      <c r="AB99" s="73">
        <f t="shared" si="22"/>
        <v>0</v>
      </c>
      <c r="AC99" s="73">
        <f t="shared" si="22"/>
        <v>0</v>
      </c>
      <c r="AD99" s="73">
        <f t="shared" si="22"/>
        <v>0</v>
      </c>
      <c r="AE99" s="73">
        <f t="shared" si="22"/>
        <v>0</v>
      </c>
      <c r="AF99" s="73">
        <f t="shared" si="22"/>
        <v>92155.44</v>
      </c>
      <c r="AG99">
        <v>97</v>
      </c>
    </row>
    <row r="100" spans="2:33" x14ac:dyDescent="0.25">
      <c r="C100">
        <v>430</v>
      </c>
      <c r="D100" t="s">
        <v>158</v>
      </c>
      <c r="E100" s="4">
        <v>0</v>
      </c>
      <c r="F100" s="4">
        <v>0</v>
      </c>
      <c r="G100" s="4">
        <v>0</v>
      </c>
      <c r="H100" s="4">
        <v>0</v>
      </c>
      <c r="I100" s="4">
        <v>0</v>
      </c>
      <c r="J100" s="4">
        <v>0</v>
      </c>
      <c r="K100" s="4">
        <v>0</v>
      </c>
      <c r="L100" s="4">
        <v>0</v>
      </c>
      <c r="M100" s="4">
        <v>0</v>
      </c>
      <c r="N100" s="4">
        <v>0</v>
      </c>
      <c r="O100" s="4">
        <v>0</v>
      </c>
      <c r="P100" s="4"/>
      <c r="Q100" s="4">
        <v>0</v>
      </c>
      <c r="R100" s="4">
        <v>0</v>
      </c>
      <c r="S100" s="4">
        <v>0</v>
      </c>
      <c r="T100" s="4"/>
      <c r="U100" s="4">
        <v>0</v>
      </c>
      <c r="V100" s="4">
        <v>0</v>
      </c>
      <c r="W100" s="4">
        <v>0</v>
      </c>
      <c r="X100" s="4">
        <v>0</v>
      </c>
      <c r="Y100" s="4">
        <v>0</v>
      </c>
      <c r="Z100" s="4">
        <v>0</v>
      </c>
      <c r="AA100" s="4">
        <v>25635</v>
      </c>
      <c r="AB100" s="4"/>
      <c r="AC100" s="4">
        <v>0</v>
      </c>
      <c r="AD100" s="4">
        <v>0</v>
      </c>
      <c r="AE100" s="4">
        <v>0</v>
      </c>
      <c r="AF100" s="4">
        <f>SUM(E100:AE100)</f>
        <v>25635</v>
      </c>
      <c r="AG100">
        <v>98</v>
      </c>
    </row>
    <row r="101" spans="2:33" x14ac:dyDescent="0.25">
      <c r="C101">
        <v>431</v>
      </c>
      <c r="D101" t="s">
        <v>159</v>
      </c>
      <c r="E101" s="4">
        <v>0</v>
      </c>
      <c r="F101" s="4">
        <v>0</v>
      </c>
      <c r="G101" s="4">
        <v>0</v>
      </c>
      <c r="H101" s="4">
        <v>0</v>
      </c>
      <c r="I101" s="4">
        <v>0</v>
      </c>
      <c r="J101" s="4">
        <v>0</v>
      </c>
      <c r="K101" s="4">
        <v>0</v>
      </c>
      <c r="L101" s="4">
        <v>0</v>
      </c>
      <c r="M101" s="4">
        <v>0</v>
      </c>
      <c r="N101" s="4">
        <v>0</v>
      </c>
      <c r="O101" s="4">
        <v>0</v>
      </c>
      <c r="P101" s="4"/>
      <c r="Q101" s="4">
        <v>0</v>
      </c>
      <c r="R101" s="4">
        <v>0</v>
      </c>
      <c r="S101" s="4">
        <v>0</v>
      </c>
      <c r="T101" s="4"/>
      <c r="U101" s="4">
        <v>0</v>
      </c>
      <c r="V101" s="4">
        <v>0</v>
      </c>
      <c r="W101" s="4">
        <v>0</v>
      </c>
      <c r="X101" s="4">
        <v>0</v>
      </c>
      <c r="Y101" s="4">
        <v>63743.44</v>
      </c>
      <c r="Z101" s="4">
        <v>0</v>
      </c>
      <c r="AA101" s="4">
        <v>0</v>
      </c>
      <c r="AB101" s="4"/>
      <c r="AC101" s="4">
        <v>0</v>
      </c>
      <c r="AD101" s="4">
        <v>0</v>
      </c>
      <c r="AE101" s="4">
        <v>0</v>
      </c>
      <c r="AF101" s="4">
        <f>SUM(E101:AE101)</f>
        <v>63743.44</v>
      </c>
      <c r="AG101">
        <v>99</v>
      </c>
    </row>
    <row r="102" spans="2:33" x14ac:dyDescent="0.25">
      <c r="C102">
        <v>432</v>
      </c>
      <c r="D102" t="s">
        <v>160</v>
      </c>
      <c r="E102" s="4">
        <v>0</v>
      </c>
      <c r="F102" s="4">
        <v>0</v>
      </c>
      <c r="G102" s="4">
        <v>0</v>
      </c>
      <c r="H102" s="4">
        <v>0</v>
      </c>
      <c r="I102" s="4">
        <v>0</v>
      </c>
      <c r="J102" s="4">
        <v>0</v>
      </c>
      <c r="K102" s="4">
        <v>0</v>
      </c>
      <c r="L102" s="4">
        <v>0</v>
      </c>
      <c r="M102" s="4">
        <v>0</v>
      </c>
      <c r="N102" s="4">
        <v>0</v>
      </c>
      <c r="O102" s="4">
        <v>0</v>
      </c>
      <c r="P102" s="4"/>
      <c r="Q102" s="4">
        <v>0</v>
      </c>
      <c r="R102" s="4">
        <v>0</v>
      </c>
      <c r="S102" s="4">
        <v>0</v>
      </c>
      <c r="T102" s="4"/>
      <c r="U102" s="4">
        <v>0</v>
      </c>
      <c r="V102" s="4">
        <v>0</v>
      </c>
      <c r="W102" s="4">
        <v>0</v>
      </c>
      <c r="X102" s="4">
        <v>0</v>
      </c>
      <c r="Y102" s="4">
        <v>0</v>
      </c>
      <c r="Z102" s="4">
        <v>0</v>
      </c>
      <c r="AA102" s="4">
        <v>0</v>
      </c>
      <c r="AB102" s="4"/>
      <c r="AC102" s="4">
        <v>0</v>
      </c>
      <c r="AD102" s="4">
        <v>0</v>
      </c>
      <c r="AE102" s="4">
        <v>0</v>
      </c>
      <c r="AF102" s="4">
        <f>SUM(E102:AE102)</f>
        <v>0</v>
      </c>
      <c r="AG102">
        <v>100</v>
      </c>
    </row>
    <row r="103" spans="2:33" x14ac:dyDescent="0.25">
      <c r="C103">
        <v>439</v>
      </c>
      <c r="D103" t="s">
        <v>161</v>
      </c>
      <c r="E103" s="4">
        <v>0</v>
      </c>
      <c r="F103" s="4">
        <v>0</v>
      </c>
      <c r="G103" s="4">
        <v>0</v>
      </c>
      <c r="H103" s="4">
        <v>0</v>
      </c>
      <c r="I103" s="4">
        <v>0</v>
      </c>
      <c r="J103" s="4">
        <v>480</v>
      </c>
      <c r="K103" s="4">
        <v>0</v>
      </c>
      <c r="L103" s="4">
        <v>0</v>
      </c>
      <c r="M103" s="4">
        <v>0</v>
      </c>
      <c r="N103" s="4">
        <v>0</v>
      </c>
      <c r="O103" s="4">
        <v>0</v>
      </c>
      <c r="P103" s="4"/>
      <c r="Q103" s="4">
        <v>0</v>
      </c>
      <c r="R103" s="4">
        <v>0</v>
      </c>
      <c r="S103" s="4">
        <v>0</v>
      </c>
      <c r="T103" s="4"/>
      <c r="U103" s="4">
        <v>0</v>
      </c>
      <c r="V103" s="4">
        <v>0</v>
      </c>
      <c r="W103" s="4">
        <v>0</v>
      </c>
      <c r="X103" s="4">
        <v>0</v>
      </c>
      <c r="Y103" s="4">
        <v>2297</v>
      </c>
      <c r="Z103" s="4">
        <v>0</v>
      </c>
      <c r="AA103" s="4">
        <v>0</v>
      </c>
      <c r="AB103" s="4"/>
      <c r="AC103" s="4">
        <v>0</v>
      </c>
      <c r="AD103" s="4">
        <v>0</v>
      </c>
      <c r="AE103" s="4">
        <v>0</v>
      </c>
      <c r="AF103" s="4">
        <f>SUM(E103:AE103)</f>
        <v>2777</v>
      </c>
      <c r="AG103">
        <v>101</v>
      </c>
    </row>
    <row r="104" spans="2:33" x14ac:dyDescent="0.25">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v>102</v>
      </c>
    </row>
    <row r="105" spans="2:33" x14ac:dyDescent="0.25">
      <c r="B105" s="78">
        <v>44</v>
      </c>
      <c r="C105" s="78"/>
      <c r="D105" s="78" t="s">
        <v>162</v>
      </c>
      <c r="E105" s="73">
        <f>E106+E107+E108+E109+E110+E111+E112+E113+E114+E115</f>
        <v>1760</v>
      </c>
      <c r="F105" s="73">
        <f t="shared" ref="F105:AF105" si="23">F106+F107+F108+F109+F110+F111+F112+F113+F114+F115</f>
        <v>0</v>
      </c>
      <c r="G105" s="73">
        <f t="shared" si="23"/>
        <v>5205.53</v>
      </c>
      <c r="H105" s="73">
        <f t="shared" si="23"/>
        <v>0</v>
      </c>
      <c r="I105" s="73">
        <f t="shared" si="23"/>
        <v>0</v>
      </c>
      <c r="J105" s="73">
        <f t="shared" si="23"/>
        <v>13200.45</v>
      </c>
      <c r="K105" s="73">
        <f t="shared" si="23"/>
        <v>14372</v>
      </c>
      <c r="L105" s="73">
        <f t="shared" si="23"/>
        <v>5.86</v>
      </c>
      <c r="M105" s="73">
        <f t="shared" si="23"/>
        <v>0</v>
      </c>
      <c r="N105" s="73">
        <f t="shared" si="23"/>
        <v>0</v>
      </c>
      <c r="O105" s="73">
        <f t="shared" si="23"/>
        <v>8832.73</v>
      </c>
      <c r="P105" s="73">
        <f t="shared" si="23"/>
        <v>0</v>
      </c>
      <c r="Q105" s="73">
        <f t="shared" si="23"/>
        <v>0</v>
      </c>
      <c r="R105" s="73">
        <f t="shared" si="23"/>
        <v>0</v>
      </c>
      <c r="S105" s="73">
        <f t="shared" si="23"/>
        <v>0</v>
      </c>
      <c r="T105" s="73">
        <f t="shared" si="23"/>
        <v>0</v>
      </c>
      <c r="U105" s="73">
        <f t="shared" si="23"/>
        <v>146754.87</v>
      </c>
      <c r="V105" s="73">
        <f t="shared" si="23"/>
        <v>0</v>
      </c>
      <c r="W105" s="73">
        <f t="shared" si="23"/>
        <v>0</v>
      </c>
      <c r="X105" s="73">
        <f t="shared" si="23"/>
        <v>4221.2700000000004</v>
      </c>
      <c r="Y105" s="73">
        <f t="shared" si="23"/>
        <v>443166.15</v>
      </c>
      <c r="Z105" s="73">
        <f t="shared" si="23"/>
        <v>21.44</v>
      </c>
      <c r="AA105" s="73">
        <f t="shared" si="23"/>
        <v>0</v>
      </c>
      <c r="AB105" s="73">
        <f t="shared" si="23"/>
        <v>0</v>
      </c>
      <c r="AC105" s="73">
        <f t="shared" si="23"/>
        <v>3.25</v>
      </c>
      <c r="AD105" s="73">
        <f t="shared" si="23"/>
        <v>16400.95</v>
      </c>
      <c r="AE105" s="73">
        <f t="shared" si="23"/>
        <v>0</v>
      </c>
      <c r="AF105" s="73">
        <f t="shared" si="23"/>
        <v>653944.5</v>
      </c>
      <c r="AG105">
        <v>103</v>
      </c>
    </row>
    <row r="106" spans="2:33" x14ac:dyDescent="0.25">
      <c r="C106">
        <v>440</v>
      </c>
      <c r="D106" t="s">
        <v>163</v>
      </c>
      <c r="E106" s="4">
        <v>0</v>
      </c>
      <c r="F106" s="4">
        <v>0</v>
      </c>
      <c r="G106" s="4">
        <v>5.53</v>
      </c>
      <c r="H106" s="4">
        <v>0</v>
      </c>
      <c r="I106" s="4">
        <v>0</v>
      </c>
      <c r="J106" s="4">
        <v>12.2</v>
      </c>
      <c r="K106" s="4">
        <v>0</v>
      </c>
      <c r="L106" s="4">
        <v>5.86</v>
      </c>
      <c r="M106" s="4">
        <v>0</v>
      </c>
      <c r="N106" s="4">
        <v>0</v>
      </c>
      <c r="O106" s="4">
        <v>8832.73</v>
      </c>
      <c r="P106" s="4"/>
      <c r="Q106" s="4">
        <v>0</v>
      </c>
      <c r="R106" s="4">
        <v>0</v>
      </c>
      <c r="S106" s="4">
        <v>0</v>
      </c>
      <c r="T106" s="4"/>
      <c r="U106" s="4">
        <v>4.87</v>
      </c>
      <c r="V106" s="4">
        <v>0</v>
      </c>
      <c r="W106" s="4">
        <v>0</v>
      </c>
      <c r="X106" s="4">
        <v>3091.27</v>
      </c>
      <c r="Y106" s="4">
        <v>0</v>
      </c>
      <c r="Z106" s="4">
        <v>21.44</v>
      </c>
      <c r="AA106" s="4">
        <v>0</v>
      </c>
      <c r="AB106" s="4"/>
      <c r="AC106" s="4">
        <v>3.25</v>
      </c>
      <c r="AD106" s="4">
        <v>0</v>
      </c>
      <c r="AE106" s="4">
        <v>0</v>
      </c>
      <c r="AF106" s="4">
        <f t="shared" ref="AF106:AF115" si="24">SUM(E106:AE106)</f>
        <v>11977.150000000001</v>
      </c>
      <c r="AG106">
        <v>104</v>
      </c>
    </row>
    <row r="107" spans="2:33" x14ac:dyDescent="0.25">
      <c r="C107">
        <v>441</v>
      </c>
      <c r="D107" t="s">
        <v>164</v>
      </c>
      <c r="E107" s="4">
        <v>0</v>
      </c>
      <c r="F107" s="4">
        <v>0</v>
      </c>
      <c r="G107" s="4">
        <v>0</v>
      </c>
      <c r="H107" s="4">
        <v>0</v>
      </c>
      <c r="I107" s="4">
        <v>0</v>
      </c>
      <c r="J107" s="4">
        <v>0</v>
      </c>
      <c r="K107" s="4">
        <v>0</v>
      </c>
      <c r="L107" s="4">
        <v>0</v>
      </c>
      <c r="M107" s="4">
        <v>0</v>
      </c>
      <c r="N107" s="4">
        <v>0</v>
      </c>
      <c r="O107" s="4">
        <v>0</v>
      </c>
      <c r="P107" s="4"/>
      <c r="Q107" s="4">
        <v>0</v>
      </c>
      <c r="R107" s="4">
        <v>0</v>
      </c>
      <c r="S107" s="4">
        <v>0</v>
      </c>
      <c r="T107" s="4"/>
      <c r="U107" s="4">
        <v>0</v>
      </c>
      <c r="V107" s="4">
        <v>0</v>
      </c>
      <c r="W107" s="4">
        <v>0</v>
      </c>
      <c r="X107" s="4">
        <v>0</v>
      </c>
      <c r="Y107" s="4">
        <v>0</v>
      </c>
      <c r="Z107" s="4">
        <v>0</v>
      </c>
      <c r="AA107" s="4">
        <v>0</v>
      </c>
      <c r="AB107" s="4"/>
      <c r="AC107" s="4">
        <v>0</v>
      </c>
      <c r="AD107" s="4">
        <v>0</v>
      </c>
      <c r="AE107" s="4">
        <v>0</v>
      </c>
      <c r="AF107" s="4">
        <f t="shared" si="24"/>
        <v>0</v>
      </c>
      <c r="AG107">
        <v>105</v>
      </c>
    </row>
    <row r="108" spans="2:33" x14ac:dyDescent="0.25">
      <c r="C108">
        <v>442</v>
      </c>
      <c r="D108" t="s">
        <v>165</v>
      </c>
      <c r="E108" s="4">
        <v>0</v>
      </c>
      <c r="F108" s="4">
        <v>0</v>
      </c>
      <c r="G108" s="4">
        <v>0</v>
      </c>
      <c r="H108" s="4">
        <v>0</v>
      </c>
      <c r="I108" s="4">
        <v>0</v>
      </c>
      <c r="J108" s="4">
        <v>0</v>
      </c>
      <c r="K108" s="4">
        <v>0</v>
      </c>
      <c r="L108" s="4">
        <v>0</v>
      </c>
      <c r="M108" s="4">
        <v>0</v>
      </c>
      <c r="N108" s="4">
        <v>0</v>
      </c>
      <c r="O108" s="4">
        <v>0</v>
      </c>
      <c r="P108" s="4"/>
      <c r="Q108" s="4">
        <v>0</v>
      </c>
      <c r="R108" s="4">
        <v>0</v>
      </c>
      <c r="S108" s="4">
        <v>0</v>
      </c>
      <c r="T108" s="4"/>
      <c r="U108" s="4">
        <v>0</v>
      </c>
      <c r="V108" s="4">
        <v>0</v>
      </c>
      <c r="W108" s="4">
        <v>0</v>
      </c>
      <c r="X108" s="4">
        <v>0</v>
      </c>
      <c r="Y108" s="4">
        <v>0</v>
      </c>
      <c r="Z108" s="4">
        <v>0</v>
      </c>
      <c r="AA108" s="4">
        <v>0</v>
      </c>
      <c r="AB108" s="4"/>
      <c r="AC108" s="4">
        <v>0</v>
      </c>
      <c r="AD108" s="4">
        <v>0</v>
      </c>
      <c r="AE108" s="4">
        <v>0</v>
      </c>
      <c r="AF108" s="4">
        <f t="shared" si="24"/>
        <v>0</v>
      </c>
      <c r="AG108">
        <v>106</v>
      </c>
    </row>
    <row r="109" spans="2:33" x14ac:dyDescent="0.25">
      <c r="C109">
        <v>443</v>
      </c>
      <c r="D109" t="s">
        <v>166</v>
      </c>
      <c r="E109" s="4">
        <v>0</v>
      </c>
      <c r="F109" s="4">
        <v>0</v>
      </c>
      <c r="G109" s="4">
        <v>0</v>
      </c>
      <c r="H109" s="4">
        <v>0</v>
      </c>
      <c r="I109" s="4">
        <v>0</v>
      </c>
      <c r="J109" s="4">
        <v>0</v>
      </c>
      <c r="K109" s="4">
        <v>0</v>
      </c>
      <c r="L109" s="4">
        <v>0</v>
      </c>
      <c r="M109" s="4">
        <v>0</v>
      </c>
      <c r="N109" s="4">
        <v>0</v>
      </c>
      <c r="O109" s="4">
        <v>0</v>
      </c>
      <c r="P109" s="4"/>
      <c r="Q109" s="4">
        <v>0</v>
      </c>
      <c r="R109" s="4">
        <v>0</v>
      </c>
      <c r="S109" s="4">
        <v>0</v>
      </c>
      <c r="T109" s="4"/>
      <c r="U109" s="4">
        <v>146750</v>
      </c>
      <c r="V109" s="4">
        <v>0</v>
      </c>
      <c r="W109" s="4">
        <v>0</v>
      </c>
      <c r="X109" s="4">
        <v>0</v>
      </c>
      <c r="Y109" s="4">
        <v>0</v>
      </c>
      <c r="Z109" s="4">
        <v>0</v>
      </c>
      <c r="AA109" s="4">
        <v>0</v>
      </c>
      <c r="AB109" s="4"/>
      <c r="AC109" s="4">
        <v>0</v>
      </c>
      <c r="AD109" s="4">
        <v>0</v>
      </c>
      <c r="AE109" s="4">
        <v>0</v>
      </c>
      <c r="AF109" s="4">
        <f t="shared" si="24"/>
        <v>146750</v>
      </c>
      <c r="AG109">
        <v>107</v>
      </c>
    </row>
    <row r="110" spans="2:33" x14ac:dyDescent="0.25">
      <c r="C110">
        <v>444</v>
      </c>
      <c r="D110" t="s">
        <v>106</v>
      </c>
      <c r="E110" s="4">
        <v>0</v>
      </c>
      <c r="F110" s="4">
        <v>0</v>
      </c>
      <c r="G110" s="4">
        <v>0</v>
      </c>
      <c r="H110" s="4">
        <v>0</v>
      </c>
      <c r="I110" s="4">
        <v>0</v>
      </c>
      <c r="J110" s="4">
        <v>0</v>
      </c>
      <c r="K110" s="4">
        <v>0</v>
      </c>
      <c r="L110" s="4">
        <v>0</v>
      </c>
      <c r="M110" s="4">
        <v>0</v>
      </c>
      <c r="N110" s="4">
        <v>0</v>
      </c>
      <c r="O110" s="4">
        <v>0</v>
      </c>
      <c r="P110" s="4"/>
      <c r="Q110" s="4">
        <v>0</v>
      </c>
      <c r="R110" s="4">
        <v>0</v>
      </c>
      <c r="S110" s="4">
        <v>0</v>
      </c>
      <c r="T110" s="4"/>
      <c r="U110" s="4">
        <v>0</v>
      </c>
      <c r="V110" s="4">
        <v>0</v>
      </c>
      <c r="W110" s="4">
        <v>0</v>
      </c>
      <c r="X110" s="4">
        <v>0</v>
      </c>
      <c r="Y110" s="4">
        <v>0</v>
      </c>
      <c r="Z110" s="4">
        <v>0</v>
      </c>
      <c r="AA110" s="4">
        <v>0</v>
      </c>
      <c r="AB110" s="4"/>
      <c r="AC110" s="4">
        <v>0</v>
      </c>
      <c r="AD110" s="4">
        <v>0</v>
      </c>
      <c r="AE110" s="4">
        <v>0</v>
      </c>
      <c r="AF110" s="4">
        <f t="shared" si="24"/>
        <v>0</v>
      </c>
      <c r="AG110">
        <v>108</v>
      </c>
    </row>
    <row r="111" spans="2:33" x14ac:dyDescent="0.25">
      <c r="C111">
        <v>445</v>
      </c>
      <c r="D111" t="s">
        <v>167</v>
      </c>
      <c r="E111" s="4">
        <v>0</v>
      </c>
      <c r="F111" s="4">
        <v>0</v>
      </c>
      <c r="G111" s="4">
        <v>0</v>
      </c>
      <c r="H111" s="4">
        <v>0</v>
      </c>
      <c r="I111" s="4">
        <v>0</v>
      </c>
      <c r="J111" s="4">
        <v>0</v>
      </c>
      <c r="K111" s="4">
        <v>0</v>
      </c>
      <c r="L111" s="4">
        <v>0</v>
      </c>
      <c r="M111" s="4">
        <v>0</v>
      </c>
      <c r="N111" s="4">
        <v>0</v>
      </c>
      <c r="O111" s="4">
        <v>0</v>
      </c>
      <c r="P111" s="4"/>
      <c r="Q111" s="4">
        <v>0</v>
      </c>
      <c r="R111" s="4">
        <v>0</v>
      </c>
      <c r="S111" s="4">
        <v>0</v>
      </c>
      <c r="T111" s="4"/>
      <c r="U111" s="4">
        <v>0</v>
      </c>
      <c r="V111" s="4">
        <v>0</v>
      </c>
      <c r="W111" s="4">
        <v>0</v>
      </c>
      <c r="X111" s="4">
        <v>0</v>
      </c>
      <c r="Y111" s="4">
        <v>0</v>
      </c>
      <c r="Z111" s="4">
        <v>0</v>
      </c>
      <c r="AA111" s="4">
        <v>0</v>
      </c>
      <c r="AB111" s="4"/>
      <c r="AC111" s="4">
        <v>0</v>
      </c>
      <c r="AD111" s="4">
        <v>0</v>
      </c>
      <c r="AE111" s="4">
        <v>0</v>
      </c>
      <c r="AF111" s="4">
        <f t="shared" si="24"/>
        <v>0</v>
      </c>
      <c r="AG111">
        <v>109</v>
      </c>
    </row>
    <row r="112" spans="2:33" x14ac:dyDescent="0.25">
      <c r="C112">
        <v>446</v>
      </c>
      <c r="D112" t="s">
        <v>168</v>
      </c>
      <c r="E112" s="4">
        <v>0</v>
      </c>
      <c r="F112" s="4">
        <v>0</v>
      </c>
      <c r="G112" s="4">
        <v>0</v>
      </c>
      <c r="H112" s="4">
        <v>0</v>
      </c>
      <c r="I112" s="4">
        <v>0</v>
      </c>
      <c r="J112" s="4">
        <v>0</v>
      </c>
      <c r="K112" s="4">
        <v>0</v>
      </c>
      <c r="L112" s="4">
        <v>0</v>
      </c>
      <c r="M112" s="4">
        <v>0</v>
      </c>
      <c r="N112" s="4">
        <v>0</v>
      </c>
      <c r="O112" s="4">
        <v>0</v>
      </c>
      <c r="P112" s="4"/>
      <c r="Q112" s="4">
        <v>0</v>
      </c>
      <c r="R112" s="4">
        <v>0</v>
      </c>
      <c r="S112" s="4">
        <v>0</v>
      </c>
      <c r="T112" s="4"/>
      <c r="U112" s="4">
        <v>0</v>
      </c>
      <c r="V112" s="4">
        <v>0</v>
      </c>
      <c r="W112" s="4">
        <v>0</v>
      </c>
      <c r="X112" s="4">
        <v>0</v>
      </c>
      <c r="Y112" s="4">
        <v>0</v>
      </c>
      <c r="Z112" s="4">
        <v>0</v>
      </c>
      <c r="AA112" s="4">
        <v>0</v>
      </c>
      <c r="AB112" s="4"/>
      <c r="AC112" s="4">
        <v>0</v>
      </c>
      <c r="AD112" s="4">
        <v>0</v>
      </c>
      <c r="AE112" s="4">
        <v>0</v>
      </c>
      <c r="AF112" s="4">
        <f t="shared" si="24"/>
        <v>0</v>
      </c>
      <c r="AG112">
        <v>110</v>
      </c>
    </row>
    <row r="113" spans="2:33" x14ac:dyDescent="0.25">
      <c r="C113">
        <v>447</v>
      </c>
      <c r="D113" t="s">
        <v>169</v>
      </c>
      <c r="E113" s="4">
        <v>1760</v>
      </c>
      <c r="F113" s="4">
        <v>0</v>
      </c>
      <c r="G113" s="4">
        <v>5200</v>
      </c>
      <c r="H113" s="4">
        <v>0</v>
      </c>
      <c r="I113" s="4">
        <v>0</v>
      </c>
      <c r="J113" s="4">
        <v>13188.25</v>
      </c>
      <c r="K113" s="4">
        <v>14372</v>
      </c>
      <c r="L113" s="4">
        <v>0</v>
      </c>
      <c r="M113" s="4">
        <v>0</v>
      </c>
      <c r="N113" s="4">
        <v>0</v>
      </c>
      <c r="O113" s="4">
        <v>0</v>
      </c>
      <c r="P113" s="4"/>
      <c r="Q113" s="4">
        <v>0</v>
      </c>
      <c r="R113" s="4">
        <v>0</v>
      </c>
      <c r="S113" s="4">
        <v>0</v>
      </c>
      <c r="T113" s="4"/>
      <c r="U113" s="4">
        <v>0</v>
      </c>
      <c r="V113" s="4">
        <v>0</v>
      </c>
      <c r="W113" s="4">
        <v>0</v>
      </c>
      <c r="X113" s="4">
        <v>1130</v>
      </c>
      <c r="Y113" s="4">
        <v>443166.15</v>
      </c>
      <c r="Z113" s="4">
        <v>0</v>
      </c>
      <c r="AA113" s="4">
        <v>0</v>
      </c>
      <c r="AB113" s="4"/>
      <c r="AC113" s="4">
        <v>0</v>
      </c>
      <c r="AD113" s="4">
        <v>16400.95</v>
      </c>
      <c r="AE113" s="4">
        <v>0</v>
      </c>
      <c r="AF113" s="4">
        <f t="shared" si="24"/>
        <v>495217.35000000003</v>
      </c>
      <c r="AG113">
        <v>111</v>
      </c>
    </row>
    <row r="114" spans="2:33" x14ac:dyDescent="0.25">
      <c r="C114">
        <v>448</v>
      </c>
      <c r="D114" t="s">
        <v>170</v>
      </c>
      <c r="E114" s="4">
        <v>0</v>
      </c>
      <c r="F114" s="4">
        <v>0</v>
      </c>
      <c r="G114" s="4">
        <v>0</v>
      </c>
      <c r="H114" s="4">
        <v>0</v>
      </c>
      <c r="I114" s="4">
        <v>0</v>
      </c>
      <c r="J114" s="4">
        <v>0</v>
      </c>
      <c r="K114" s="4">
        <v>0</v>
      </c>
      <c r="L114" s="4">
        <v>0</v>
      </c>
      <c r="M114" s="4">
        <v>0</v>
      </c>
      <c r="N114" s="4">
        <v>0</v>
      </c>
      <c r="O114" s="4">
        <v>0</v>
      </c>
      <c r="P114" s="4"/>
      <c r="Q114" s="4">
        <v>0</v>
      </c>
      <c r="R114" s="4">
        <v>0</v>
      </c>
      <c r="S114" s="4">
        <v>0</v>
      </c>
      <c r="T114" s="4"/>
      <c r="U114" s="4">
        <v>0</v>
      </c>
      <c r="V114" s="4">
        <v>0</v>
      </c>
      <c r="W114" s="4">
        <v>0</v>
      </c>
      <c r="X114" s="4">
        <v>0</v>
      </c>
      <c r="Y114" s="4">
        <v>0</v>
      </c>
      <c r="Z114" s="4">
        <v>0</v>
      </c>
      <c r="AA114" s="4">
        <v>0</v>
      </c>
      <c r="AB114" s="4"/>
      <c r="AC114" s="4">
        <v>0</v>
      </c>
      <c r="AD114" s="4">
        <v>0</v>
      </c>
      <c r="AE114" s="4">
        <v>0</v>
      </c>
      <c r="AF114" s="4">
        <f t="shared" si="24"/>
        <v>0</v>
      </c>
      <c r="AG114">
        <v>112</v>
      </c>
    </row>
    <row r="115" spans="2:33" x14ac:dyDescent="0.25">
      <c r="C115">
        <v>449</v>
      </c>
      <c r="D115" t="s">
        <v>171</v>
      </c>
      <c r="E115" s="4">
        <v>0</v>
      </c>
      <c r="F115" s="4">
        <v>0</v>
      </c>
      <c r="G115" s="4">
        <v>0</v>
      </c>
      <c r="H115" s="4">
        <v>0</v>
      </c>
      <c r="I115" s="4">
        <v>0</v>
      </c>
      <c r="J115" s="4">
        <v>0</v>
      </c>
      <c r="K115" s="4">
        <v>0</v>
      </c>
      <c r="L115" s="4">
        <v>0</v>
      </c>
      <c r="M115" s="4">
        <v>0</v>
      </c>
      <c r="N115" s="4">
        <v>0</v>
      </c>
      <c r="O115" s="4">
        <v>0</v>
      </c>
      <c r="P115" s="4"/>
      <c r="Q115" s="4">
        <v>0</v>
      </c>
      <c r="R115" s="4">
        <v>0</v>
      </c>
      <c r="S115" s="4">
        <v>0</v>
      </c>
      <c r="T115" s="4"/>
      <c r="U115" s="4">
        <v>0</v>
      </c>
      <c r="V115" s="4">
        <v>0</v>
      </c>
      <c r="W115" s="4">
        <v>0</v>
      </c>
      <c r="X115" s="4">
        <v>0</v>
      </c>
      <c r="Y115" s="4">
        <v>0</v>
      </c>
      <c r="Z115" s="4">
        <v>0</v>
      </c>
      <c r="AA115" s="4">
        <v>0</v>
      </c>
      <c r="AB115" s="4"/>
      <c r="AC115" s="4">
        <v>0</v>
      </c>
      <c r="AD115" s="4">
        <v>0</v>
      </c>
      <c r="AE115" s="4">
        <v>0</v>
      </c>
      <c r="AF115" s="4">
        <f t="shared" si="24"/>
        <v>0</v>
      </c>
      <c r="AG115">
        <v>113</v>
      </c>
    </row>
    <row r="116" spans="2:33" x14ac:dyDescent="0.25">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v>114</v>
      </c>
    </row>
    <row r="117" spans="2:33" x14ac:dyDescent="0.25">
      <c r="B117" s="78">
        <v>45</v>
      </c>
      <c r="C117" s="78"/>
      <c r="D117" s="78" t="s">
        <v>174</v>
      </c>
      <c r="E117" s="73">
        <f>E118+E119</f>
        <v>0</v>
      </c>
      <c r="F117" s="73">
        <f t="shared" ref="F117:AF117" si="25">F118+F119</f>
        <v>531301.05000000005</v>
      </c>
      <c r="G117" s="73">
        <f t="shared" si="25"/>
        <v>20000</v>
      </c>
      <c r="H117" s="73">
        <f t="shared" si="25"/>
        <v>3492910.35</v>
      </c>
      <c r="I117" s="73">
        <f t="shared" si="25"/>
        <v>0</v>
      </c>
      <c r="J117" s="73">
        <f t="shared" si="25"/>
        <v>70037.55</v>
      </c>
      <c r="K117" s="73">
        <f t="shared" si="25"/>
        <v>0</v>
      </c>
      <c r="L117" s="73">
        <f t="shared" si="25"/>
        <v>0</v>
      </c>
      <c r="M117" s="73">
        <f t="shared" si="25"/>
        <v>0</v>
      </c>
      <c r="N117" s="73">
        <f t="shared" si="25"/>
        <v>0</v>
      </c>
      <c r="O117" s="73">
        <f t="shared" si="25"/>
        <v>0</v>
      </c>
      <c r="P117" s="73">
        <f t="shared" si="25"/>
        <v>0</v>
      </c>
      <c r="Q117" s="73">
        <f t="shared" si="25"/>
        <v>0</v>
      </c>
      <c r="R117" s="73">
        <f t="shared" si="25"/>
        <v>0.85</v>
      </c>
      <c r="S117" s="73">
        <f t="shared" si="25"/>
        <v>0</v>
      </c>
      <c r="T117" s="73">
        <f t="shared" si="25"/>
        <v>0</v>
      </c>
      <c r="U117" s="73">
        <f t="shared" si="25"/>
        <v>0</v>
      </c>
      <c r="V117" s="73">
        <f t="shared" si="25"/>
        <v>16386.650000000001</v>
      </c>
      <c r="W117" s="73">
        <f t="shared" si="25"/>
        <v>0</v>
      </c>
      <c r="X117" s="73">
        <f t="shared" si="25"/>
        <v>230015.29</v>
      </c>
      <c r="Y117" s="73">
        <f t="shared" si="25"/>
        <v>0</v>
      </c>
      <c r="Z117" s="73">
        <f t="shared" si="25"/>
        <v>0</v>
      </c>
      <c r="AA117" s="73">
        <f t="shared" si="25"/>
        <v>132986.89000000001</v>
      </c>
      <c r="AB117" s="73">
        <f t="shared" si="25"/>
        <v>0</v>
      </c>
      <c r="AC117" s="73">
        <f t="shared" si="25"/>
        <v>0</v>
      </c>
      <c r="AD117" s="73">
        <f t="shared" si="25"/>
        <v>0</v>
      </c>
      <c r="AE117" s="73">
        <f t="shared" si="25"/>
        <v>125096</v>
      </c>
      <c r="AF117" s="73">
        <f t="shared" si="25"/>
        <v>4618734.63</v>
      </c>
      <c r="AG117">
        <v>115</v>
      </c>
    </row>
    <row r="118" spans="2:33" x14ac:dyDescent="0.25">
      <c r="C118">
        <v>450</v>
      </c>
      <c r="D118" t="s">
        <v>172</v>
      </c>
      <c r="E118" s="4">
        <v>0</v>
      </c>
      <c r="F118" s="4">
        <v>0</v>
      </c>
      <c r="G118" s="4">
        <v>20000</v>
      </c>
      <c r="H118" s="4">
        <v>0</v>
      </c>
      <c r="I118" s="4">
        <v>0</v>
      </c>
      <c r="J118" s="4">
        <v>0</v>
      </c>
      <c r="K118" s="4">
        <v>0</v>
      </c>
      <c r="L118" s="4">
        <v>0</v>
      </c>
      <c r="M118" s="4">
        <v>0</v>
      </c>
      <c r="N118" s="4">
        <v>0</v>
      </c>
      <c r="O118" s="4">
        <v>0</v>
      </c>
      <c r="P118" s="4"/>
      <c r="Q118" s="4">
        <v>0</v>
      </c>
      <c r="R118" s="4">
        <v>0</v>
      </c>
      <c r="S118" s="4">
        <v>0</v>
      </c>
      <c r="T118" s="4"/>
      <c r="U118" s="4">
        <v>0</v>
      </c>
      <c r="V118" s="4">
        <v>0</v>
      </c>
      <c r="W118" s="4">
        <v>0</v>
      </c>
      <c r="X118" s="4">
        <v>0</v>
      </c>
      <c r="Y118" s="4">
        <v>0</v>
      </c>
      <c r="Z118" s="4">
        <v>0</v>
      </c>
      <c r="AA118" s="4">
        <v>0</v>
      </c>
      <c r="AB118" s="4"/>
      <c r="AC118" s="4">
        <v>0</v>
      </c>
      <c r="AD118" s="4">
        <v>0</v>
      </c>
      <c r="AE118" s="4">
        <v>0</v>
      </c>
      <c r="AF118" s="4">
        <f>SUM(E118:AE118)</f>
        <v>20000</v>
      </c>
      <c r="AG118">
        <v>116</v>
      </c>
    </row>
    <row r="119" spans="2:33" x14ac:dyDescent="0.25">
      <c r="C119">
        <v>451</v>
      </c>
      <c r="D119" t="s">
        <v>173</v>
      </c>
      <c r="E119" s="4">
        <v>0</v>
      </c>
      <c r="F119" s="4">
        <v>531301.05000000005</v>
      </c>
      <c r="G119" s="4">
        <v>0</v>
      </c>
      <c r="H119" s="4">
        <v>3492910.35</v>
      </c>
      <c r="I119" s="4">
        <v>0</v>
      </c>
      <c r="J119" s="4">
        <v>70037.55</v>
      </c>
      <c r="K119" s="4">
        <v>0</v>
      </c>
      <c r="L119" s="4">
        <v>0</v>
      </c>
      <c r="M119" s="4">
        <v>0</v>
      </c>
      <c r="N119" s="4">
        <v>0</v>
      </c>
      <c r="O119" s="4">
        <v>0</v>
      </c>
      <c r="P119" s="4"/>
      <c r="Q119" s="4">
        <v>0</v>
      </c>
      <c r="R119" s="4">
        <v>0.85</v>
      </c>
      <c r="S119" s="4">
        <v>0</v>
      </c>
      <c r="T119" s="4"/>
      <c r="U119" s="4">
        <v>0</v>
      </c>
      <c r="V119" s="4">
        <v>16386.650000000001</v>
      </c>
      <c r="W119" s="4">
        <v>0</v>
      </c>
      <c r="X119" s="4">
        <v>230015.29</v>
      </c>
      <c r="Y119" s="4">
        <v>0</v>
      </c>
      <c r="Z119" s="4">
        <v>0</v>
      </c>
      <c r="AA119" s="4">
        <v>132986.89000000001</v>
      </c>
      <c r="AB119" s="4"/>
      <c r="AC119" s="4">
        <v>0</v>
      </c>
      <c r="AD119" s="4">
        <v>0</v>
      </c>
      <c r="AE119" s="4">
        <v>125096</v>
      </c>
      <c r="AF119" s="4">
        <f>SUM(E119:AE119)</f>
        <v>4598734.63</v>
      </c>
      <c r="AG119">
        <v>117</v>
      </c>
    </row>
    <row r="120" spans="2:33" x14ac:dyDescent="0.25">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v>118</v>
      </c>
    </row>
    <row r="121" spans="2:33" x14ac:dyDescent="0.25">
      <c r="B121" s="78">
        <v>46</v>
      </c>
      <c r="C121" s="78"/>
      <c r="D121" s="78" t="s">
        <v>175</v>
      </c>
      <c r="E121" s="73">
        <f>E122+E123+E124+E125+E126</f>
        <v>684346.84</v>
      </c>
      <c r="F121" s="73">
        <f t="shared" ref="F121:AF121" si="26">F122+F123+F124+F125+F126</f>
        <v>2346837.41</v>
      </c>
      <c r="G121" s="73">
        <f t="shared" si="26"/>
        <v>38224</v>
      </c>
      <c r="H121" s="73">
        <f t="shared" si="26"/>
        <v>76632.600000000006</v>
      </c>
      <c r="I121" s="73">
        <f t="shared" si="26"/>
        <v>103325</v>
      </c>
      <c r="J121" s="73">
        <f t="shared" si="26"/>
        <v>936208.34</v>
      </c>
      <c r="K121" s="73">
        <f t="shared" si="26"/>
        <v>2199072.19</v>
      </c>
      <c r="L121" s="73">
        <f t="shared" si="26"/>
        <v>0</v>
      </c>
      <c r="M121" s="73">
        <f t="shared" si="26"/>
        <v>213490.2</v>
      </c>
      <c r="N121" s="73">
        <f t="shared" si="26"/>
        <v>281929.3</v>
      </c>
      <c r="O121" s="73">
        <f t="shared" si="26"/>
        <v>117.35</v>
      </c>
      <c r="P121" s="73">
        <f t="shared" si="26"/>
        <v>0</v>
      </c>
      <c r="Q121" s="73">
        <f t="shared" si="26"/>
        <v>4920.95</v>
      </c>
      <c r="R121" s="73">
        <f t="shared" si="26"/>
        <v>19800</v>
      </c>
      <c r="S121" s="73">
        <f t="shared" si="26"/>
        <v>1718</v>
      </c>
      <c r="T121" s="73">
        <f t="shared" si="26"/>
        <v>0</v>
      </c>
      <c r="U121" s="73">
        <f t="shared" si="26"/>
        <v>38112.800000000003</v>
      </c>
      <c r="V121" s="73">
        <f t="shared" si="26"/>
        <v>428349.39</v>
      </c>
      <c r="W121" s="73">
        <f t="shared" si="26"/>
        <v>46043.1</v>
      </c>
      <c r="X121" s="73">
        <f t="shared" si="26"/>
        <v>15953</v>
      </c>
      <c r="Y121" s="73">
        <f t="shared" si="26"/>
        <v>2164541.1800000002</v>
      </c>
      <c r="Z121" s="73">
        <f t="shared" si="26"/>
        <v>0</v>
      </c>
      <c r="AA121" s="73">
        <f t="shared" si="26"/>
        <v>1409520.65</v>
      </c>
      <c r="AB121" s="73">
        <f t="shared" si="26"/>
        <v>0</v>
      </c>
      <c r="AC121" s="73">
        <f t="shared" si="26"/>
        <v>131844.6</v>
      </c>
      <c r="AD121" s="73">
        <f t="shared" si="26"/>
        <v>2806775.0999999996</v>
      </c>
      <c r="AE121" s="73">
        <f t="shared" si="26"/>
        <v>200026.65</v>
      </c>
      <c r="AF121" s="73">
        <f t="shared" si="26"/>
        <v>14147788.650000002</v>
      </c>
      <c r="AG121">
        <v>119</v>
      </c>
    </row>
    <row r="122" spans="2:33" x14ac:dyDescent="0.25">
      <c r="C122">
        <v>460</v>
      </c>
      <c r="D122" t="s">
        <v>176</v>
      </c>
      <c r="E122" s="4">
        <v>0</v>
      </c>
      <c r="F122" s="4">
        <v>0</v>
      </c>
      <c r="G122" s="4">
        <v>0</v>
      </c>
      <c r="H122" s="4">
        <v>0</v>
      </c>
      <c r="I122" s="4">
        <v>0</v>
      </c>
      <c r="J122" s="4">
        <v>0</v>
      </c>
      <c r="K122" s="4">
        <v>0</v>
      </c>
      <c r="L122" s="4">
        <v>0</v>
      </c>
      <c r="M122" s="4">
        <v>0</v>
      </c>
      <c r="N122" s="4">
        <v>0</v>
      </c>
      <c r="O122" s="4">
        <v>0</v>
      </c>
      <c r="P122" s="4"/>
      <c r="Q122" s="4">
        <v>0</v>
      </c>
      <c r="R122" s="4">
        <v>0</v>
      </c>
      <c r="S122" s="4">
        <v>0</v>
      </c>
      <c r="T122" s="4"/>
      <c r="U122" s="4">
        <v>0</v>
      </c>
      <c r="V122" s="4">
        <v>0</v>
      </c>
      <c r="W122" s="4">
        <v>0</v>
      </c>
      <c r="X122" s="4">
        <v>0</v>
      </c>
      <c r="Y122" s="4">
        <v>0</v>
      </c>
      <c r="Z122" s="4">
        <v>0</v>
      </c>
      <c r="AA122" s="4">
        <v>0</v>
      </c>
      <c r="AB122" s="4"/>
      <c r="AC122" s="4">
        <v>0</v>
      </c>
      <c r="AD122" s="4">
        <v>0</v>
      </c>
      <c r="AE122" s="4">
        <v>0</v>
      </c>
      <c r="AF122" s="4">
        <f>SUM(E122:AE122)</f>
        <v>0</v>
      </c>
      <c r="AG122">
        <v>120</v>
      </c>
    </row>
    <row r="123" spans="2:33" x14ac:dyDescent="0.25">
      <c r="C123">
        <v>461</v>
      </c>
      <c r="D123" t="s">
        <v>177</v>
      </c>
      <c r="E123" s="4">
        <v>684298.44</v>
      </c>
      <c r="F123" s="4">
        <v>2346837.41</v>
      </c>
      <c r="G123" s="4">
        <v>38224</v>
      </c>
      <c r="H123" s="4">
        <v>0</v>
      </c>
      <c r="I123" s="4">
        <v>103325</v>
      </c>
      <c r="J123" s="4">
        <v>936169.19</v>
      </c>
      <c r="K123" s="4">
        <v>2177720.19</v>
      </c>
      <c r="L123" s="4">
        <v>0</v>
      </c>
      <c r="M123" s="4">
        <v>213490.2</v>
      </c>
      <c r="N123" s="4">
        <v>276929.3</v>
      </c>
      <c r="O123" s="4">
        <v>0</v>
      </c>
      <c r="P123" s="4"/>
      <c r="Q123" s="4">
        <v>4920.95</v>
      </c>
      <c r="R123" s="4">
        <v>19800</v>
      </c>
      <c r="S123" s="4">
        <v>1718</v>
      </c>
      <c r="T123" s="4"/>
      <c r="U123" s="4">
        <v>15000</v>
      </c>
      <c r="V123" s="4">
        <v>428326.44</v>
      </c>
      <c r="W123" s="4">
        <v>46043.1</v>
      </c>
      <c r="X123" s="4">
        <v>0</v>
      </c>
      <c r="Y123" s="4">
        <v>1884038.23</v>
      </c>
      <c r="Z123" s="4">
        <v>0</v>
      </c>
      <c r="AA123" s="4">
        <v>1409420</v>
      </c>
      <c r="AB123" s="4"/>
      <c r="AC123" s="4">
        <v>131844.6</v>
      </c>
      <c r="AD123" s="4">
        <v>2568236.2999999998</v>
      </c>
      <c r="AE123" s="4">
        <v>190414.65</v>
      </c>
      <c r="AF123" s="4">
        <f>SUM(E123:AE123)</f>
        <v>13476756.000000002</v>
      </c>
      <c r="AG123">
        <v>121</v>
      </c>
    </row>
    <row r="124" spans="2:33" x14ac:dyDescent="0.25">
      <c r="C124">
        <v>462</v>
      </c>
      <c r="D124" t="s">
        <v>113</v>
      </c>
      <c r="E124" s="4">
        <v>0</v>
      </c>
      <c r="F124" s="4">
        <v>0</v>
      </c>
      <c r="G124" s="4">
        <v>0</v>
      </c>
      <c r="H124" s="4">
        <v>0</v>
      </c>
      <c r="I124" s="4">
        <v>0</v>
      </c>
      <c r="J124" s="4">
        <v>0</v>
      </c>
      <c r="K124" s="4">
        <v>0</v>
      </c>
      <c r="L124" s="4">
        <v>0</v>
      </c>
      <c r="M124" s="4">
        <v>0</v>
      </c>
      <c r="N124" s="4">
        <v>0</v>
      </c>
      <c r="O124" s="4">
        <v>0</v>
      </c>
      <c r="P124" s="4"/>
      <c r="Q124" s="4">
        <v>0</v>
      </c>
      <c r="R124" s="4">
        <v>0</v>
      </c>
      <c r="S124" s="4">
        <v>0</v>
      </c>
      <c r="T124" s="4"/>
      <c r="U124" s="4">
        <v>0</v>
      </c>
      <c r="V124" s="4">
        <v>0</v>
      </c>
      <c r="W124" s="4">
        <v>0</v>
      </c>
      <c r="X124" s="4">
        <v>0</v>
      </c>
      <c r="Y124" s="4">
        <v>0</v>
      </c>
      <c r="Z124" s="4">
        <v>0</v>
      </c>
      <c r="AA124" s="4">
        <v>0</v>
      </c>
      <c r="AB124" s="4"/>
      <c r="AC124" s="4">
        <v>0</v>
      </c>
      <c r="AD124" s="4">
        <v>0</v>
      </c>
      <c r="AE124" s="4">
        <v>0</v>
      </c>
      <c r="AF124" s="4">
        <f>SUM(E124:AE124)</f>
        <v>0</v>
      </c>
      <c r="AG124">
        <v>122</v>
      </c>
    </row>
    <row r="125" spans="2:33" x14ac:dyDescent="0.25">
      <c r="C125">
        <v>463</v>
      </c>
      <c r="D125" t="s">
        <v>178</v>
      </c>
      <c r="E125" s="4">
        <v>0</v>
      </c>
      <c r="F125" s="4">
        <v>0</v>
      </c>
      <c r="G125" s="4">
        <v>0</v>
      </c>
      <c r="H125" s="4">
        <v>76560</v>
      </c>
      <c r="I125" s="4">
        <v>0</v>
      </c>
      <c r="J125" s="4">
        <v>0</v>
      </c>
      <c r="K125" s="4">
        <v>21352</v>
      </c>
      <c r="L125" s="4">
        <v>0</v>
      </c>
      <c r="M125" s="4">
        <v>0</v>
      </c>
      <c r="N125" s="4">
        <v>5000</v>
      </c>
      <c r="O125" s="4">
        <v>0</v>
      </c>
      <c r="P125" s="4"/>
      <c r="Q125" s="4">
        <v>0</v>
      </c>
      <c r="R125" s="4">
        <v>0</v>
      </c>
      <c r="S125" s="4">
        <v>0</v>
      </c>
      <c r="T125" s="4"/>
      <c r="U125" s="4">
        <v>23112.799999999999</v>
      </c>
      <c r="V125" s="4">
        <v>0</v>
      </c>
      <c r="W125" s="4">
        <v>0</v>
      </c>
      <c r="X125" s="4">
        <v>15953</v>
      </c>
      <c r="Y125" s="4">
        <v>244502.95</v>
      </c>
      <c r="Z125" s="4">
        <v>0</v>
      </c>
      <c r="AA125" s="4">
        <v>0</v>
      </c>
      <c r="AB125" s="4"/>
      <c r="AC125" s="4">
        <v>0</v>
      </c>
      <c r="AD125" s="4">
        <v>238380</v>
      </c>
      <c r="AE125" s="4">
        <v>0</v>
      </c>
      <c r="AF125" s="4">
        <f>SUM(E125:AE125)</f>
        <v>624860.75</v>
      </c>
      <c r="AG125">
        <v>123</v>
      </c>
    </row>
    <row r="126" spans="2:33" x14ac:dyDescent="0.25">
      <c r="C126">
        <v>469</v>
      </c>
      <c r="D126" t="s">
        <v>179</v>
      </c>
      <c r="E126" s="4">
        <v>48.4</v>
      </c>
      <c r="F126" s="4">
        <v>0</v>
      </c>
      <c r="G126" s="4">
        <v>0</v>
      </c>
      <c r="H126" s="4">
        <v>72.599999999999994</v>
      </c>
      <c r="I126" s="4">
        <v>0</v>
      </c>
      <c r="J126" s="4">
        <v>39.15</v>
      </c>
      <c r="K126" s="4">
        <v>0</v>
      </c>
      <c r="L126" s="4">
        <v>0</v>
      </c>
      <c r="M126" s="4">
        <v>0</v>
      </c>
      <c r="N126" s="4">
        <v>0</v>
      </c>
      <c r="O126" s="4">
        <v>117.35</v>
      </c>
      <c r="P126" s="4"/>
      <c r="Q126" s="4">
        <v>0</v>
      </c>
      <c r="R126" s="4">
        <v>0</v>
      </c>
      <c r="S126" s="4">
        <v>0</v>
      </c>
      <c r="T126" s="4"/>
      <c r="U126" s="4">
        <v>0</v>
      </c>
      <c r="V126" s="4">
        <v>22.95</v>
      </c>
      <c r="W126" s="4">
        <v>0</v>
      </c>
      <c r="X126" s="4">
        <v>0</v>
      </c>
      <c r="Y126" s="4">
        <v>36000</v>
      </c>
      <c r="Z126" s="4">
        <v>0</v>
      </c>
      <c r="AA126" s="4">
        <v>100.65</v>
      </c>
      <c r="AB126" s="4"/>
      <c r="AC126" s="4">
        <v>0</v>
      </c>
      <c r="AD126" s="4">
        <v>158.80000000000001</v>
      </c>
      <c r="AE126" s="4">
        <v>9612</v>
      </c>
      <c r="AF126" s="4">
        <f>SUM(E126:AE126)</f>
        <v>46171.9</v>
      </c>
      <c r="AG126">
        <v>124</v>
      </c>
    </row>
    <row r="127" spans="2:33" x14ac:dyDescent="0.25">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v>125</v>
      </c>
    </row>
    <row r="128" spans="2:33" x14ac:dyDescent="0.25">
      <c r="B128" s="78">
        <v>47</v>
      </c>
      <c r="C128" s="78"/>
      <c r="D128" s="78" t="s">
        <v>119</v>
      </c>
      <c r="E128" s="73">
        <f>E129</f>
        <v>0</v>
      </c>
      <c r="F128" s="73">
        <f t="shared" ref="F128:AF128" si="27">F129</f>
        <v>0</v>
      </c>
      <c r="G128" s="73">
        <f t="shared" si="27"/>
        <v>0</v>
      </c>
      <c r="H128" s="73">
        <f t="shared" si="27"/>
        <v>0</v>
      </c>
      <c r="I128" s="73">
        <f t="shared" si="27"/>
        <v>0</v>
      </c>
      <c r="J128" s="73">
        <f t="shared" si="27"/>
        <v>0</v>
      </c>
      <c r="K128" s="73">
        <f t="shared" si="27"/>
        <v>0</v>
      </c>
      <c r="L128" s="73">
        <f t="shared" si="27"/>
        <v>0</v>
      </c>
      <c r="M128" s="73">
        <f t="shared" si="27"/>
        <v>0</v>
      </c>
      <c r="N128" s="73">
        <f t="shared" si="27"/>
        <v>0</v>
      </c>
      <c r="O128" s="73">
        <f t="shared" si="27"/>
        <v>0</v>
      </c>
      <c r="P128" s="73">
        <f t="shared" si="27"/>
        <v>0</v>
      </c>
      <c r="Q128" s="73">
        <f t="shared" si="27"/>
        <v>0</v>
      </c>
      <c r="R128" s="73">
        <f t="shared" si="27"/>
        <v>0</v>
      </c>
      <c r="S128" s="73">
        <f t="shared" si="27"/>
        <v>0</v>
      </c>
      <c r="T128" s="73">
        <f t="shared" si="27"/>
        <v>0</v>
      </c>
      <c r="U128" s="73">
        <f t="shared" si="27"/>
        <v>0</v>
      </c>
      <c r="V128" s="73">
        <f t="shared" si="27"/>
        <v>0</v>
      </c>
      <c r="W128" s="73">
        <f t="shared" si="27"/>
        <v>0</v>
      </c>
      <c r="X128" s="73">
        <f t="shared" si="27"/>
        <v>0</v>
      </c>
      <c r="Y128" s="73">
        <f t="shared" si="27"/>
        <v>0</v>
      </c>
      <c r="Z128" s="73">
        <f t="shared" si="27"/>
        <v>0</v>
      </c>
      <c r="AA128" s="73">
        <f t="shared" si="27"/>
        <v>0</v>
      </c>
      <c r="AB128" s="73">
        <f t="shared" si="27"/>
        <v>0</v>
      </c>
      <c r="AC128" s="73">
        <f t="shared" si="27"/>
        <v>0</v>
      </c>
      <c r="AD128" s="73">
        <f t="shared" si="27"/>
        <v>0</v>
      </c>
      <c r="AE128" s="73">
        <f t="shared" si="27"/>
        <v>0</v>
      </c>
      <c r="AF128" s="73">
        <f t="shared" si="27"/>
        <v>0</v>
      </c>
      <c r="AG128">
        <v>126</v>
      </c>
    </row>
    <row r="129" spans="2:33" x14ac:dyDescent="0.25">
      <c r="C129">
        <v>470</v>
      </c>
      <c r="D129" t="s">
        <v>180</v>
      </c>
      <c r="E129" s="4">
        <v>0</v>
      </c>
      <c r="F129" s="4">
        <v>0</v>
      </c>
      <c r="G129" s="4">
        <v>0</v>
      </c>
      <c r="H129" s="4">
        <v>0</v>
      </c>
      <c r="I129" s="4">
        <v>0</v>
      </c>
      <c r="J129" s="4">
        <v>0</v>
      </c>
      <c r="K129" s="4">
        <v>0</v>
      </c>
      <c r="L129" s="4">
        <v>0</v>
      </c>
      <c r="M129" s="4">
        <v>0</v>
      </c>
      <c r="N129" s="4">
        <v>0</v>
      </c>
      <c r="O129" s="4">
        <v>0</v>
      </c>
      <c r="P129" s="4"/>
      <c r="Q129" s="4">
        <v>0</v>
      </c>
      <c r="R129" s="4">
        <v>0</v>
      </c>
      <c r="S129" s="4">
        <v>0</v>
      </c>
      <c r="T129" s="4"/>
      <c r="U129" s="4">
        <v>0</v>
      </c>
      <c r="V129" s="4">
        <v>0</v>
      </c>
      <c r="W129" s="4">
        <v>0</v>
      </c>
      <c r="X129" s="4">
        <v>0</v>
      </c>
      <c r="Y129" s="4">
        <v>0</v>
      </c>
      <c r="Z129" s="4">
        <v>0</v>
      </c>
      <c r="AA129" s="4">
        <v>0</v>
      </c>
      <c r="AB129" s="4"/>
      <c r="AC129" s="4">
        <v>0</v>
      </c>
      <c r="AD129" s="4">
        <v>0</v>
      </c>
      <c r="AE129" s="4">
        <v>0</v>
      </c>
      <c r="AF129" s="4">
        <f>SUM(E129:AE129)</f>
        <v>0</v>
      </c>
      <c r="AG129">
        <v>127</v>
      </c>
    </row>
    <row r="130" spans="2:33" x14ac:dyDescent="0.25">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v>128</v>
      </c>
    </row>
    <row r="131" spans="2:33" x14ac:dyDescent="0.25">
      <c r="B131" s="78">
        <v>48</v>
      </c>
      <c r="C131" s="78"/>
      <c r="D131" s="78" t="s">
        <v>181</v>
      </c>
      <c r="E131" s="73">
        <f>E132+E133+E134+E135+E136+E137+E138</f>
        <v>0</v>
      </c>
      <c r="F131" s="73">
        <f t="shared" ref="F131:AF131" si="28">F132+F133+F134+F135+F136+F137+F138</f>
        <v>0</v>
      </c>
      <c r="G131" s="73">
        <f t="shared" si="28"/>
        <v>0</v>
      </c>
      <c r="H131" s="73">
        <f t="shared" si="28"/>
        <v>0</v>
      </c>
      <c r="I131" s="73">
        <f t="shared" si="28"/>
        <v>0</v>
      </c>
      <c r="J131" s="73">
        <f t="shared" si="28"/>
        <v>0</v>
      </c>
      <c r="K131" s="73">
        <f t="shared" si="28"/>
        <v>0</v>
      </c>
      <c r="L131" s="73">
        <f t="shared" si="28"/>
        <v>0</v>
      </c>
      <c r="M131" s="73">
        <f t="shared" si="28"/>
        <v>0</v>
      </c>
      <c r="N131" s="73">
        <f t="shared" si="28"/>
        <v>0</v>
      </c>
      <c r="O131" s="73">
        <f t="shared" si="28"/>
        <v>0</v>
      </c>
      <c r="P131" s="73">
        <f t="shared" si="28"/>
        <v>0</v>
      </c>
      <c r="Q131" s="73">
        <f t="shared" si="28"/>
        <v>0</v>
      </c>
      <c r="R131" s="73">
        <f t="shared" si="28"/>
        <v>0</v>
      </c>
      <c r="S131" s="73">
        <f t="shared" si="28"/>
        <v>0</v>
      </c>
      <c r="T131" s="73">
        <f t="shared" si="28"/>
        <v>0</v>
      </c>
      <c r="U131" s="73">
        <f t="shared" si="28"/>
        <v>0</v>
      </c>
      <c r="V131" s="73">
        <f t="shared" si="28"/>
        <v>0</v>
      </c>
      <c r="W131" s="73">
        <f t="shared" si="28"/>
        <v>0</v>
      </c>
      <c r="X131" s="73">
        <f t="shared" si="28"/>
        <v>0</v>
      </c>
      <c r="Y131" s="73">
        <f t="shared" si="28"/>
        <v>3408.3</v>
      </c>
      <c r="Z131" s="73">
        <f t="shared" si="28"/>
        <v>0</v>
      </c>
      <c r="AA131" s="73">
        <f t="shared" si="28"/>
        <v>0</v>
      </c>
      <c r="AB131" s="73">
        <f t="shared" si="28"/>
        <v>0</v>
      </c>
      <c r="AC131" s="73">
        <f t="shared" si="28"/>
        <v>0</v>
      </c>
      <c r="AD131" s="73">
        <f t="shared" si="28"/>
        <v>0</v>
      </c>
      <c r="AE131" s="73">
        <f t="shared" si="28"/>
        <v>0</v>
      </c>
      <c r="AF131" s="73">
        <f t="shared" si="28"/>
        <v>3408.3</v>
      </c>
      <c r="AG131">
        <v>129</v>
      </c>
    </row>
    <row r="132" spans="2:33" x14ac:dyDescent="0.25">
      <c r="C132">
        <v>481</v>
      </c>
      <c r="D132" t="s">
        <v>182</v>
      </c>
      <c r="E132" s="4">
        <v>0</v>
      </c>
      <c r="F132" s="4">
        <v>0</v>
      </c>
      <c r="G132" s="4">
        <v>0</v>
      </c>
      <c r="H132" s="4">
        <v>0</v>
      </c>
      <c r="I132" s="4">
        <v>0</v>
      </c>
      <c r="J132" s="4">
        <v>0</v>
      </c>
      <c r="K132" s="4">
        <v>0</v>
      </c>
      <c r="L132" s="4">
        <v>0</v>
      </c>
      <c r="M132" s="4">
        <v>0</v>
      </c>
      <c r="N132" s="4">
        <v>0</v>
      </c>
      <c r="O132" s="4">
        <v>0</v>
      </c>
      <c r="P132" s="4"/>
      <c r="Q132" s="4">
        <v>0</v>
      </c>
      <c r="R132" s="4">
        <v>0</v>
      </c>
      <c r="S132" s="4">
        <v>0</v>
      </c>
      <c r="T132" s="4"/>
      <c r="U132" s="4">
        <v>0</v>
      </c>
      <c r="V132" s="4">
        <v>0</v>
      </c>
      <c r="W132" s="4">
        <v>0</v>
      </c>
      <c r="X132" s="4">
        <v>0</v>
      </c>
      <c r="Y132" s="4">
        <v>0</v>
      </c>
      <c r="Z132" s="4">
        <v>0</v>
      </c>
      <c r="AA132" s="4">
        <v>0</v>
      </c>
      <c r="AB132" s="4"/>
      <c r="AC132" s="4">
        <v>0</v>
      </c>
      <c r="AD132" s="4">
        <v>0</v>
      </c>
      <c r="AE132" s="4">
        <v>0</v>
      </c>
      <c r="AF132" s="4">
        <f t="shared" ref="AF132:AF138" si="29">SUM(E132:AE132)</f>
        <v>0</v>
      </c>
      <c r="AG132">
        <v>130</v>
      </c>
    </row>
    <row r="133" spans="2:33" x14ac:dyDescent="0.25">
      <c r="C133">
        <v>482</v>
      </c>
      <c r="D133" t="s">
        <v>183</v>
      </c>
      <c r="E133" s="4">
        <v>0</v>
      </c>
      <c r="F133" s="4">
        <v>0</v>
      </c>
      <c r="G133" s="4">
        <v>0</v>
      </c>
      <c r="H133" s="4">
        <v>0</v>
      </c>
      <c r="I133" s="4">
        <v>0</v>
      </c>
      <c r="J133" s="4">
        <v>0</v>
      </c>
      <c r="K133" s="4">
        <v>0</v>
      </c>
      <c r="L133" s="4">
        <v>0</v>
      </c>
      <c r="M133" s="4">
        <v>0</v>
      </c>
      <c r="N133" s="4">
        <v>0</v>
      </c>
      <c r="O133" s="4">
        <v>0</v>
      </c>
      <c r="P133" s="4"/>
      <c r="Q133" s="4">
        <v>0</v>
      </c>
      <c r="R133" s="4">
        <v>0</v>
      </c>
      <c r="S133" s="4">
        <v>0</v>
      </c>
      <c r="T133" s="4"/>
      <c r="U133" s="4">
        <v>0</v>
      </c>
      <c r="V133" s="4">
        <v>0</v>
      </c>
      <c r="W133" s="4">
        <v>0</v>
      </c>
      <c r="X133" s="4">
        <v>0</v>
      </c>
      <c r="Y133" s="4">
        <v>0</v>
      </c>
      <c r="Z133" s="4">
        <v>0</v>
      </c>
      <c r="AA133" s="4">
        <v>0</v>
      </c>
      <c r="AB133" s="4"/>
      <c r="AC133" s="4">
        <v>0</v>
      </c>
      <c r="AD133" s="4">
        <v>0</v>
      </c>
      <c r="AE133" s="4">
        <v>0</v>
      </c>
      <c r="AF133" s="4">
        <f t="shared" si="29"/>
        <v>0</v>
      </c>
      <c r="AG133">
        <v>131</v>
      </c>
    </row>
    <row r="134" spans="2:33" x14ac:dyDescent="0.25">
      <c r="C134">
        <v>483</v>
      </c>
      <c r="D134" t="s">
        <v>184</v>
      </c>
      <c r="E134" s="4">
        <v>0</v>
      </c>
      <c r="F134" s="4">
        <v>0</v>
      </c>
      <c r="G134" s="4">
        <v>0</v>
      </c>
      <c r="H134" s="4">
        <v>0</v>
      </c>
      <c r="I134" s="4">
        <v>0</v>
      </c>
      <c r="J134" s="4">
        <v>0</v>
      </c>
      <c r="K134" s="4">
        <v>0</v>
      </c>
      <c r="L134" s="4">
        <v>0</v>
      </c>
      <c r="M134" s="4">
        <v>0</v>
      </c>
      <c r="N134" s="4">
        <v>0</v>
      </c>
      <c r="O134" s="4">
        <v>0</v>
      </c>
      <c r="P134" s="4"/>
      <c r="Q134" s="4">
        <v>0</v>
      </c>
      <c r="R134" s="4">
        <v>0</v>
      </c>
      <c r="S134" s="4">
        <v>0</v>
      </c>
      <c r="T134" s="4"/>
      <c r="U134" s="4">
        <v>0</v>
      </c>
      <c r="V134" s="4">
        <v>0</v>
      </c>
      <c r="W134" s="4">
        <v>0</v>
      </c>
      <c r="X134" s="4">
        <v>0</v>
      </c>
      <c r="Y134" s="4">
        <v>3408.3</v>
      </c>
      <c r="Z134" s="4">
        <v>0</v>
      </c>
      <c r="AA134" s="4">
        <v>0</v>
      </c>
      <c r="AB134" s="4"/>
      <c r="AC134" s="4">
        <v>0</v>
      </c>
      <c r="AD134" s="4">
        <v>0</v>
      </c>
      <c r="AE134" s="4">
        <v>0</v>
      </c>
      <c r="AF134" s="4">
        <f t="shared" si="29"/>
        <v>3408.3</v>
      </c>
      <c r="AG134">
        <v>132</v>
      </c>
    </row>
    <row r="135" spans="2:33" x14ac:dyDescent="0.25">
      <c r="C135">
        <v>484</v>
      </c>
      <c r="D135" t="s">
        <v>185</v>
      </c>
      <c r="E135" s="4">
        <v>0</v>
      </c>
      <c r="F135" s="4">
        <v>0</v>
      </c>
      <c r="G135" s="4">
        <v>0</v>
      </c>
      <c r="H135" s="4">
        <v>0</v>
      </c>
      <c r="I135" s="4">
        <v>0</v>
      </c>
      <c r="J135" s="4">
        <v>0</v>
      </c>
      <c r="K135" s="4">
        <v>0</v>
      </c>
      <c r="L135" s="4">
        <v>0</v>
      </c>
      <c r="M135" s="4">
        <v>0</v>
      </c>
      <c r="N135" s="4">
        <v>0</v>
      </c>
      <c r="O135" s="4">
        <v>0</v>
      </c>
      <c r="P135" s="4"/>
      <c r="Q135" s="4">
        <v>0</v>
      </c>
      <c r="R135" s="4">
        <v>0</v>
      </c>
      <c r="S135" s="4">
        <v>0</v>
      </c>
      <c r="T135" s="4"/>
      <c r="U135" s="4">
        <v>0</v>
      </c>
      <c r="V135" s="4">
        <v>0</v>
      </c>
      <c r="W135" s="4">
        <v>0</v>
      </c>
      <c r="X135" s="4">
        <v>0</v>
      </c>
      <c r="Y135" s="4">
        <v>0</v>
      </c>
      <c r="Z135" s="4">
        <v>0</v>
      </c>
      <c r="AA135" s="4">
        <v>0</v>
      </c>
      <c r="AB135" s="4"/>
      <c r="AC135" s="4">
        <v>0</v>
      </c>
      <c r="AD135" s="4">
        <v>0</v>
      </c>
      <c r="AE135" s="4">
        <v>0</v>
      </c>
      <c r="AF135" s="4">
        <f t="shared" si="29"/>
        <v>0</v>
      </c>
      <c r="AG135">
        <v>133</v>
      </c>
    </row>
    <row r="136" spans="2:33" x14ac:dyDescent="0.25">
      <c r="C136">
        <v>485</v>
      </c>
      <c r="D136" t="s">
        <v>186</v>
      </c>
      <c r="E136" s="4">
        <v>0</v>
      </c>
      <c r="F136" s="4">
        <v>0</v>
      </c>
      <c r="G136" s="4">
        <v>0</v>
      </c>
      <c r="H136" s="4">
        <v>0</v>
      </c>
      <c r="I136" s="4">
        <v>0</v>
      </c>
      <c r="J136" s="4">
        <v>0</v>
      </c>
      <c r="K136" s="4">
        <v>0</v>
      </c>
      <c r="L136" s="4">
        <v>0</v>
      </c>
      <c r="M136" s="4">
        <v>0</v>
      </c>
      <c r="N136" s="4">
        <v>0</v>
      </c>
      <c r="O136" s="4">
        <v>0</v>
      </c>
      <c r="P136" s="4"/>
      <c r="Q136" s="4">
        <v>0</v>
      </c>
      <c r="R136" s="4">
        <v>0</v>
      </c>
      <c r="S136" s="4">
        <v>0</v>
      </c>
      <c r="T136" s="4"/>
      <c r="U136" s="4">
        <v>0</v>
      </c>
      <c r="V136" s="4">
        <v>0</v>
      </c>
      <c r="W136" s="4">
        <v>0</v>
      </c>
      <c r="X136" s="4">
        <v>0</v>
      </c>
      <c r="Y136" s="4">
        <v>0</v>
      </c>
      <c r="Z136" s="4">
        <v>0</v>
      </c>
      <c r="AA136" s="4">
        <v>0</v>
      </c>
      <c r="AB136" s="4"/>
      <c r="AC136" s="4">
        <v>0</v>
      </c>
      <c r="AD136" s="4">
        <v>0</v>
      </c>
      <c r="AE136" s="4">
        <v>0</v>
      </c>
      <c r="AF136" s="4">
        <f t="shared" si="29"/>
        <v>0</v>
      </c>
      <c r="AG136">
        <v>134</v>
      </c>
    </row>
    <row r="137" spans="2:33" x14ac:dyDescent="0.25">
      <c r="C137">
        <v>486</v>
      </c>
      <c r="D137" t="s">
        <v>187</v>
      </c>
      <c r="E137" s="4">
        <v>0</v>
      </c>
      <c r="F137" s="4">
        <v>0</v>
      </c>
      <c r="G137" s="4">
        <v>0</v>
      </c>
      <c r="H137" s="4">
        <v>0</v>
      </c>
      <c r="I137" s="4">
        <v>0</v>
      </c>
      <c r="J137" s="4">
        <v>0</v>
      </c>
      <c r="K137" s="4">
        <v>0</v>
      </c>
      <c r="L137" s="4">
        <v>0</v>
      </c>
      <c r="M137" s="4">
        <v>0</v>
      </c>
      <c r="N137" s="4">
        <v>0</v>
      </c>
      <c r="O137" s="4">
        <v>0</v>
      </c>
      <c r="P137" s="4"/>
      <c r="Q137" s="4">
        <v>0</v>
      </c>
      <c r="R137" s="4">
        <v>0</v>
      </c>
      <c r="S137" s="4">
        <v>0</v>
      </c>
      <c r="T137" s="4"/>
      <c r="U137" s="4">
        <v>0</v>
      </c>
      <c r="V137" s="4">
        <v>0</v>
      </c>
      <c r="W137" s="4">
        <v>0</v>
      </c>
      <c r="X137" s="4">
        <v>0</v>
      </c>
      <c r="Y137" s="4">
        <v>0</v>
      </c>
      <c r="Z137" s="4">
        <v>0</v>
      </c>
      <c r="AA137" s="4">
        <v>0</v>
      </c>
      <c r="AB137" s="4"/>
      <c r="AC137" s="4">
        <v>0</v>
      </c>
      <c r="AD137" s="4">
        <v>0</v>
      </c>
      <c r="AE137" s="4">
        <v>0</v>
      </c>
      <c r="AF137" s="4">
        <f t="shared" si="29"/>
        <v>0</v>
      </c>
      <c r="AG137">
        <v>135</v>
      </c>
    </row>
    <row r="138" spans="2:33" x14ac:dyDescent="0.25">
      <c r="C138">
        <v>489</v>
      </c>
      <c r="D138" t="s">
        <v>188</v>
      </c>
      <c r="E138" s="4">
        <v>0</v>
      </c>
      <c r="F138" s="4">
        <v>0</v>
      </c>
      <c r="G138" s="4">
        <v>0</v>
      </c>
      <c r="H138" s="4">
        <v>0</v>
      </c>
      <c r="I138" s="4">
        <v>0</v>
      </c>
      <c r="J138" s="4">
        <v>0</v>
      </c>
      <c r="K138" s="4">
        <v>0</v>
      </c>
      <c r="L138" s="4">
        <v>0</v>
      </c>
      <c r="M138" s="4">
        <v>0</v>
      </c>
      <c r="N138" s="4">
        <v>0</v>
      </c>
      <c r="O138" s="4">
        <v>0</v>
      </c>
      <c r="P138" s="4"/>
      <c r="Q138" s="4">
        <v>0</v>
      </c>
      <c r="R138" s="4">
        <v>0</v>
      </c>
      <c r="S138" s="4">
        <v>0</v>
      </c>
      <c r="T138" s="4"/>
      <c r="U138" s="4">
        <v>0</v>
      </c>
      <c r="V138" s="4">
        <v>0</v>
      </c>
      <c r="W138" s="4">
        <v>0</v>
      </c>
      <c r="X138" s="4">
        <v>0</v>
      </c>
      <c r="Y138" s="4">
        <v>0</v>
      </c>
      <c r="Z138" s="4">
        <v>0</v>
      </c>
      <c r="AA138" s="4">
        <v>0</v>
      </c>
      <c r="AB138" s="4"/>
      <c r="AC138" s="4">
        <v>0</v>
      </c>
      <c r="AD138" s="4">
        <v>0</v>
      </c>
      <c r="AE138" s="4">
        <v>0</v>
      </c>
      <c r="AF138" s="4">
        <f t="shared" si="29"/>
        <v>0</v>
      </c>
      <c r="AG138">
        <v>136</v>
      </c>
    </row>
    <row r="139" spans="2:33" x14ac:dyDescent="0.25">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v>137</v>
      </c>
    </row>
    <row r="140" spans="2:33" x14ac:dyDescent="0.25">
      <c r="B140" s="78">
        <v>49</v>
      </c>
      <c r="C140" s="78"/>
      <c r="D140" s="78" t="s">
        <v>128</v>
      </c>
      <c r="E140" s="73">
        <f>E141+E142+E143+E144+E145+E146+E147+E148</f>
        <v>0</v>
      </c>
      <c r="F140" s="73">
        <f t="shared" ref="F140:AF140" si="30">F141+F142+F143+F144+F145+F146+F147+F148</f>
        <v>0</v>
      </c>
      <c r="G140" s="73">
        <f t="shared" si="30"/>
        <v>0</v>
      </c>
      <c r="H140" s="73">
        <f t="shared" si="30"/>
        <v>0</v>
      </c>
      <c r="I140" s="73">
        <f t="shared" si="30"/>
        <v>0</v>
      </c>
      <c r="J140" s="73">
        <f t="shared" si="30"/>
        <v>0</v>
      </c>
      <c r="K140" s="73">
        <f t="shared" si="30"/>
        <v>0</v>
      </c>
      <c r="L140" s="73">
        <f t="shared" si="30"/>
        <v>0</v>
      </c>
      <c r="M140" s="73">
        <f t="shared" si="30"/>
        <v>0</v>
      </c>
      <c r="N140" s="73">
        <f t="shared" si="30"/>
        <v>0</v>
      </c>
      <c r="O140" s="73">
        <f t="shared" si="30"/>
        <v>0</v>
      </c>
      <c r="P140" s="73">
        <f t="shared" si="30"/>
        <v>0</v>
      </c>
      <c r="Q140" s="73">
        <f t="shared" si="30"/>
        <v>0</v>
      </c>
      <c r="R140" s="73">
        <f t="shared" si="30"/>
        <v>0</v>
      </c>
      <c r="S140" s="73">
        <f t="shared" si="30"/>
        <v>0</v>
      </c>
      <c r="T140" s="73">
        <f t="shared" si="30"/>
        <v>0</v>
      </c>
      <c r="U140" s="73">
        <f t="shared" si="30"/>
        <v>350</v>
      </c>
      <c r="V140" s="73">
        <f t="shared" si="30"/>
        <v>176047.54</v>
      </c>
      <c r="W140" s="73">
        <f t="shared" si="30"/>
        <v>0</v>
      </c>
      <c r="X140" s="73">
        <f t="shared" si="30"/>
        <v>0</v>
      </c>
      <c r="Y140" s="73">
        <f t="shared" si="30"/>
        <v>0</v>
      </c>
      <c r="Z140" s="73">
        <f t="shared" si="30"/>
        <v>15829.95</v>
      </c>
      <c r="AA140" s="73">
        <f t="shared" si="30"/>
        <v>0</v>
      </c>
      <c r="AB140" s="73">
        <f t="shared" si="30"/>
        <v>0</v>
      </c>
      <c r="AC140" s="73">
        <f t="shared" si="30"/>
        <v>0</v>
      </c>
      <c r="AD140" s="73">
        <f t="shared" si="30"/>
        <v>0</v>
      </c>
      <c r="AE140" s="73">
        <f t="shared" si="30"/>
        <v>0</v>
      </c>
      <c r="AF140" s="73">
        <f t="shared" si="30"/>
        <v>192227.49000000002</v>
      </c>
      <c r="AG140">
        <v>138</v>
      </c>
    </row>
    <row r="141" spans="2:33" x14ac:dyDescent="0.25">
      <c r="C141">
        <v>490</v>
      </c>
      <c r="D141" t="s">
        <v>129</v>
      </c>
      <c r="E141" s="4">
        <v>0</v>
      </c>
      <c r="F141" s="4">
        <v>0</v>
      </c>
      <c r="G141" s="4">
        <v>0</v>
      </c>
      <c r="H141" s="4">
        <v>0</v>
      </c>
      <c r="I141" s="4">
        <v>0</v>
      </c>
      <c r="J141" s="4">
        <v>0</v>
      </c>
      <c r="K141" s="4">
        <v>0</v>
      </c>
      <c r="L141" s="4">
        <v>0</v>
      </c>
      <c r="M141" s="4">
        <v>0</v>
      </c>
      <c r="N141" s="4">
        <v>0</v>
      </c>
      <c r="O141" s="4">
        <v>0</v>
      </c>
      <c r="P141" s="4"/>
      <c r="Q141" s="4">
        <v>0</v>
      </c>
      <c r="R141" s="4">
        <v>0</v>
      </c>
      <c r="S141" s="4">
        <v>0</v>
      </c>
      <c r="T141" s="4"/>
      <c r="U141" s="4">
        <v>0</v>
      </c>
      <c r="V141" s="4">
        <v>0</v>
      </c>
      <c r="W141" s="4">
        <v>0</v>
      </c>
      <c r="X141" s="4">
        <v>0</v>
      </c>
      <c r="Y141" s="4">
        <v>0</v>
      </c>
      <c r="Z141" s="4">
        <v>0</v>
      </c>
      <c r="AA141" s="4">
        <v>0</v>
      </c>
      <c r="AB141" s="4"/>
      <c r="AC141" s="4">
        <v>0</v>
      </c>
      <c r="AD141" s="4">
        <v>0</v>
      </c>
      <c r="AE141" s="4">
        <v>0</v>
      </c>
      <c r="AF141" s="4">
        <f t="shared" ref="AF141:AF148" si="31">SUM(E141:AE141)</f>
        <v>0</v>
      </c>
      <c r="AG141">
        <v>139</v>
      </c>
    </row>
    <row r="142" spans="2:33" x14ac:dyDescent="0.25">
      <c r="C142">
        <v>491</v>
      </c>
      <c r="D142" t="s">
        <v>130</v>
      </c>
      <c r="E142" s="4">
        <v>0</v>
      </c>
      <c r="F142" s="4">
        <v>0</v>
      </c>
      <c r="G142" s="4">
        <v>0</v>
      </c>
      <c r="H142" s="4">
        <v>0</v>
      </c>
      <c r="I142" s="4">
        <v>0</v>
      </c>
      <c r="J142" s="4">
        <v>0</v>
      </c>
      <c r="K142" s="4">
        <v>0</v>
      </c>
      <c r="L142" s="4">
        <v>0</v>
      </c>
      <c r="M142" s="4">
        <v>0</v>
      </c>
      <c r="N142" s="4">
        <v>0</v>
      </c>
      <c r="O142" s="4">
        <v>0</v>
      </c>
      <c r="P142" s="4"/>
      <c r="Q142" s="4">
        <v>0</v>
      </c>
      <c r="R142" s="4">
        <v>0</v>
      </c>
      <c r="S142" s="4">
        <v>0</v>
      </c>
      <c r="T142" s="4"/>
      <c r="U142" s="4">
        <v>350</v>
      </c>
      <c r="V142" s="4">
        <v>0</v>
      </c>
      <c r="W142" s="4">
        <v>0</v>
      </c>
      <c r="X142" s="4">
        <v>0</v>
      </c>
      <c r="Y142" s="4">
        <v>0</v>
      </c>
      <c r="Z142" s="4">
        <v>0</v>
      </c>
      <c r="AA142" s="4">
        <v>0</v>
      </c>
      <c r="AB142" s="4"/>
      <c r="AC142" s="4">
        <v>0</v>
      </c>
      <c r="AD142" s="4">
        <v>0</v>
      </c>
      <c r="AE142" s="4">
        <v>0</v>
      </c>
      <c r="AF142" s="4">
        <f t="shared" si="31"/>
        <v>350</v>
      </c>
      <c r="AG142">
        <v>140</v>
      </c>
    </row>
    <row r="143" spans="2:33" x14ac:dyDescent="0.25">
      <c r="C143">
        <v>492</v>
      </c>
      <c r="D143" t="s">
        <v>189</v>
      </c>
      <c r="E143" s="4">
        <v>0</v>
      </c>
      <c r="F143" s="4">
        <v>0</v>
      </c>
      <c r="G143" s="4">
        <v>0</v>
      </c>
      <c r="H143" s="4">
        <v>0</v>
      </c>
      <c r="I143" s="4">
        <v>0</v>
      </c>
      <c r="J143" s="4">
        <v>0</v>
      </c>
      <c r="K143" s="4">
        <v>0</v>
      </c>
      <c r="L143" s="4">
        <v>0</v>
      </c>
      <c r="M143" s="4">
        <v>0</v>
      </c>
      <c r="N143" s="4">
        <v>0</v>
      </c>
      <c r="O143" s="4">
        <v>0</v>
      </c>
      <c r="P143" s="4"/>
      <c r="Q143" s="4">
        <v>0</v>
      </c>
      <c r="R143" s="4">
        <v>0</v>
      </c>
      <c r="S143" s="4">
        <v>0</v>
      </c>
      <c r="T143" s="4"/>
      <c r="U143" s="4">
        <v>0</v>
      </c>
      <c r="V143" s="4">
        <v>0</v>
      </c>
      <c r="W143" s="4">
        <v>0</v>
      </c>
      <c r="X143" s="4">
        <v>0</v>
      </c>
      <c r="Y143" s="4">
        <v>0</v>
      </c>
      <c r="Z143" s="4">
        <v>0</v>
      </c>
      <c r="AA143" s="4">
        <v>0</v>
      </c>
      <c r="AB143" s="4"/>
      <c r="AC143" s="4">
        <v>0</v>
      </c>
      <c r="AD143" s="4">
        <v>0</v>
      </c>
      <c r="AE143" s="4">
        <v>0</v>
      </c>
      <c r="AF143" s="4">
        <f t="shared" si="31"/>
        <v>0</v>
      </c>
      <c r="AG143">
        <v>141</v>
      </c>
    </row>
    <row r="144" spans="2:33" x14ac:dyDescent="0.25">
      <c r="C144">
        <v>493</v>
      </c>
      <c r="D144" t="s">
        <v>190</v>
      </c>
      <c r="E144" s="4">
        <v>0</v>
      </c>
      <c r="F144" s="4">
        <v>0</v>
      </c>
      <c r="G144" s="4">
        <v>0</v>
      </c>
      <c r="H144" s="4">
        <v>0</v>
      </c>
      <c r="I144" s="4">
        <v>0</v>
      </c>
      <c r="J144" s="4">
        <v>0</v>
      </c>
      <c r="K144" s="4">
        <v>0</v>
      </c>
      <c r="L144" s="4">
        <v>0</v>
      </c>
      <c r="M144" s="4">
        <v>0</v>
      </c>
      <c r="N144" s="4">
        <v>0</v>
      </c>
      <c r="O144" s="4">
        <v>0</v>
      </c>
      <c r="P144" s="4"/>
      <c r="Q144" s="4">
        <v>0</v>
      </c>
      <c r="R144" s="4">
        <v>0</v>
      </c>
      <c r="S144" s="4">
        <v>0</v>
      </c>
      <c r="T144" s="4"/>
      <c r="U144" s="4">
        <v>0</v>
      </c>
      <c r="V144" s="4">
        <v>0</v>
      </c>
      <c r="W144" s="4">
        <v>0</v>
      </c>
      <c r="X144" s="4">
        <v>0</v>
      </c>
      <c r="Y144" s="4">
        <v>0</v>
      </c>
      <c r="Z144" s="4">
        <v>0</v>
      </c>
      <c r="AA144" s="4">
        <v>0</v>
      </c>
      <c r="AB144" s="4"/>
      <c r="AC144" s="4">
        <v>0</v>
      </c>
      <c r="AD144" s="4">
        <v>0</v>
      </c>
      <c r="AE144" s="4">
        <v>0</v>
      </c>
      <c r="AF144" s="4">
        <f t="shared" si="31"/>
        <v>0</v>
      </c>
      <c r="AG144">
        <v>142</v>
      </c>
    </row>
    <row r="145" spans="1:33" x14ac:dyDescent="0.25">
      <c r="C145">
        <v>494</v>
      </c>
      <c r="D145" t="s">
        <v>133</v>
      </c>
      <c r="E145" s="4">
        <v>0</v>
      </c>
      <c r="F145" s="4">
        <v>0</v>
      </c>
      <c r="G145" s="4">
        <v>0</v>
      </c>
      <c r="H145" s="4">
        <v>0</v>
      </c>
      <c r="I145" s="4">
        <v>0</v>
      </c>
      <c r="J145" s="4">
        <v>0</v>
      </c>
      <c r="K145" s="4">
        <v>0</v>
      </c>
      <c r="L145" s="4">
        <v>0</v>
      </c>
      <c r="M145" s="4">
        <v>0</v>
      </c>
      <c r="N145" s="4">
        <v>0</v>
      </c>
      <c r="O145" s="4">
        <v>0</v>
      </c>
      <c r="P145" s="4"/>
      <c r="Q145" s="4">
        <v>0</v>
      </c>
      <c r="R145" s="4">
        <v>0</v>
      </c>
      <c r="S145" s="4">
        <v>0</v>
      </c>
      <c r="T145" s="4"/>
      <c r="U145" s="4">
        <v>0</v>
      </c>
      <c r="V145" s="4">
        <v>0</v>
      </c>
      <c r="W145" s="4">
        <v>0</v>
      </c>
      <c r="X145" s="4">
        <v>0</v>
      </c>
      <c r="Y145" s="4">
        <v>0</v>
      </c>
      <c r="Z145" s="4">
        <v>15829.95</v>
      </c>
      <c r="AA145" s="4">
        <v>0</v>
      </c>
      <c r="AB145" s="4"/>
      <c r="AC145" s="4">
        <v>0</v>
      </c>
      <c r="AD145" s="4">
        <v>0</v>
      </c>
      <c r="AE145" s="4">
        <v>0</v>
      </c>
      <c r="AF145" s="4">
        <f t="shared" si="31"/>
        <v>15829.95</v>
      </c>
      <c r="AG145">
        <v>143</v>
      </c>
    </row>
    <row r="146" spans="1:33" x14ac:dyDescent="0.25">
      <c r="C146">
        <v>495</v>
      </c>
      <c r="D146" t="s">
        <v>191</v>
      </c>
      <c r="E146" s="4">
        <v>0</v>
      </c>
      <c r="F146" s="4">
        <v>0</v>
      </c>
      <c r="G146" s="4">
        <v>0</v>
      </c>
      <c r="H146" s="4">
        <v>0</v>
      </c>
      <c r="I146" s="4">
        <v>0</v>
      </c>
      <c r="J146" s="4">
        <v>0</v>
      </c>
      <c r="K146" s="4">
        <v>0</v>
      </c>
      <c r="L146" s="4">
        <v>0</v>
      </c>
      <c r="M146" s="4">
        <v>0</v>
      </c>
      <c r="N146" s="4">
        <v>0</v>
      </c>
      <c r="O146" s="4">
        <v>0</v>
      </c>
      <c r="P146" s="4"/>
      <c r="Q146" s="4">
        <v>0</v>
      </c>
      <c r="R146" s="4">
        <v>0</v>
      </c>
      <c r="S146" s="4">
        <v>0</v>
      </c>
      <c r="T146" s="4"/>
      <c r="U146" s="4">
        <v>0</v>
      </c>
      <c r="V146" s="4">
        <v>0</v>
      </c>
      <c r="W146" s="4">
        <v>0</v>
      </c>
      <c r="X146" s="4">
        <v>0</v>
      </c>
      <c r="Y146" s="4">
        <v>0</v>
      </c>
      <c r="Z146" s="4">
        <v>0</v>
      </c>
      <c r="AA146" s="4">
        <v>0</v>
      </c>
      <c r="AB146" s="4"/>
      <c r="AC146" s="4">
        <v>0</v>
      </c>
      <c r="AD146" s="4">
        <v>0</v>
      </c>
      <c r="AE146" s="4">
        <v>0</v>
      </c>
      <c r="AF146" s="4">
        <f t="shared" si="31"/>
        <v>0</v>
      </c>
      <c r="AG146">
        <v>144</v>
      </c>
    </row>
    <row r="147" spans="1:33" x14ac:dyDescent="0.25">
      <c r="C147">
        <v>498</v>
      </c>
      <c r="D147" t="s">
        <v>192</v>
      </c>
      <c r="E147" s="4">
        <v>0</v>
      </c>
      <c r="F147" s="4">
        <v>0</v>
      </c>
      <c r="G147" s="4">
        <v>0</v>
      </c>
      <c r="H147" s="4">
        <v>0</v>
      </c>
      <c r="I147" s="4">
        <v>0</v>
      </c>
      <c r="J147" s="4">
        <v>0</v>
      </c>
      <c r="K147" s="4">
        <v>0</v>
      </c>
      <c r="L147" s="4">
        <v>0</v>
      </c>
      <c r="M147" s="4">
        <v>0</v>
      </c>
      <c r="N147" s="4">
        <v>0</v>
      </c>
      <c r="O147" s="4">
        <v>0</v>
      </c>
      <c r="P147" s="4"/>
      <c r="Q147" s="4">
        <v>0</v>
      </c>
      <c r="R147" s="4">
        <v>0</v>
      </c>
      <c r="S147" s="4">
        <v>0</v>
      </c>
      <c r="T147" s="4"/>
      <c r="U147" s="4">
        <v>0</v>
      </c>
      <c r="V147" s="4">
        <v>176047.54</v>
      </c>
      <c r="W147" s="4">
        <v>0</v>
      </c>
      <c r="X147" s="4">
        <v>0</v>
      </c>
      <c r="Y147" s="4">
        <v>0</v>
      </c>
      <c r="Z147" s="4">
        <v>0</v>
      </c>
      <c r="AA147" s="4">
        <v>0</v>
      </c>
      <c r="AB147" s="4"/>
      <c r="AC147" s="4">
        <v>0</v>
      </c>
      <c r="AD147" s="4">
        <v>0</v>
      </c>
      <c r="AE147" s="4">
        <v>0</v>
      </c>
      <c r="AF147" s="4">
        <f t="shared" si="31"/>
        <v>176047.54</v>
      </c>
      <c r="AG147">
        <v>145</v>
      </c>
    </row>
    <row r="148" spans="1:33" x14ac:dyDescent="0.25">
      <c r="C148">
        <v>499</v>
      </c>
      <c r="D148" t="s">
        <v>136</v>
      </c>
      <c r="E148" s="4">
        <v>0</v>
      </c>
      <c r="F148" s="4">
        <v>0</v>
      </c>
      <c r="G148" s="4">
        <v>0</v>
      </c>
      <c r="H148" s="4">
        <v>0</v>
      </c>
      <c r="I148" s="4">
        <v>0</v>
      </c>
      <c r="J148" s="4">
        <v>0</v>
      </c>
      <c r="K148" s="4">
        <v>0</v>
      </c>
      <c r="L148" s="4">
        <v>0</v>
      </c>
      <c r="M148" s="4">
        <v>0</v>
      </c>
      <c r="N148" s="4">
        <v>0</v>
      </c>
      <c r="O148" s="4">
        <v>0</v>
      </c>
      <c r="P148" s="4"/>
      <c r="Q148" s="4">
        <v>0</v>
      </c>
      <c r="R148" s="4">
        <v>0</v>
      </c>
      <c r="S148" s="4">
        <v>0</v>
      </c>
      <c r="T148" s="4"/>
      <c r="U148" s="4">
        <v>0</v>
      </c>
      <c r="V148" s="4">
        <v>0</v>
      </c>
      <c r="W148" s="4">
        <v>0</v>
      </c>
      <c r="X148" s="4">
        <v>0</v>
      </c>
      <c r="Y148" s="4">
        <v>0</v>
      </c>
      <c r="Z148" s="4">
        <v>0</v>
      </c>
      <c r="AA148" s="4">
        <v>0</v>
      </c>
      <c r="AB148" s="4"/>
      <c r="AC148" s="4">
        <v>0</v>
      </c>
      <c r="AD148" s="4">
        <v>0</v>
      </c>
      <c r="AE148" s="4">
        <v>0</v>
      </c>
      <c r="AF148" s="4">
        <f t="shared" si="31"/>
        <v>0</v>
      </c>
      <c r="AG148">
        <v>146</v>
      </c>
    </row>
    <row r="149" spans="1:33" x14ac:dyDescent="0.25">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v>147</v>
      </c>
    </row>
    <row r="150" spans="1:33" x14ac:dyDescent="0.25">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v>148</v>
      </c>
    </row>
    <row r="151" spans="1:33" x14ac:dyDescent="0.25">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v>149</v>
      </c>
    </row>
    <row r="152" spans="1:33" x14ac:dyDescent="0.25">
      <c r="A152" s="88">
        <v>9</v>
      </c>
      <c r="B152" s="88"/>
      <c r="C152" s="88"/>
      <c r="D152" s="88" t="s">
        <v>194</v>
      </c>
      <c r="E152" s="89"/>
      <c r="F152" s="89"/>
      <c r="G152" s="89"/>
      <c r="H152" s="89"/>
      <c r="I152" s="89"/>
      <c r="J152" s="89"/>
      <c r="K152" s="89"/>
      <c r="L152" s="89"/>
      <c r="M152" s="89"/>
      <c r="N152" s="89"/>
      <c r="O152" s="89"/>
      <c r="P152" s="89"/>
      <c r="Q152" s="89"/>
      <c r="R152" s="89"/>
      <c r="S152" s="89"/>
      <c r="T152" s="89"/>
      <c r="U152" s="89"/>
      <c r="V152" s="89"/>
      <c r="W152" s="89"/>
      <c r="X152" s="89"/>
      <c r="Y152" s="89"/>
      <c r="Z152" s="89"/>
      <c r="AA152" s="89"/>
      <c r="AB152" s="89"/>
      <c r="AC152" s="89"/>
      <c r="AD152" s="89"/>
      <c r="AE152" s="89"/>
      <c r="AF152" s="89"/>
      <c r="AG152">
        <v>150</v>
      </c>
    </row>
    <row r="153" spans="1:33" x14ac:dyDescent="0.25">
      <c r="A153" s="88"/>
      <c r="B153" s="88">
        <v>90</v>
      </c>
      <c r="C153" s="88"/>
      <c r="D153" s="88" t="s">
        <v>195</v>
      </c>
      <c r="E153" s="90">
        <f>E154+E155</f>
        <v>0</v>
      </c>
      <c r="F153" s="90">
        <f t="shared" ref="F153:AF153" si="32">F154+F155</f>
        <v>0</v>
      </c>
      <c r="G153" s="90">
        <f t="shared" si="32"/>
        <v>-1314.47</v>
      </c>
      <c r="H153" s="90">
        <f t="shared" si="32"/>
        <v>0</v>
      </c>
      <c r="I153" s="90">
        <f t="shared" si="32"/>
        <v>0</v>
      </c>
      <c r="J153" s="90">
        <f t="shared" si="32"/>
        <v>0</v>
      </c>
      <c r="K153" s="90">
        <f t="shared" si="32"/>
        <v>0</v>
      </c>
      <c r="L153" s="90">
        <f t="shared" si="32"/>
        <v>107448.47</v>
      </c>
      <c r="M153" s="90">
        <f t="shared" si="32"/>
        <v>0</v>
      </c>
      <c r="N153" s="90">
        <f t="shared" si="32"/>
        <v>0</v>
      </c>
      <c r="O153" s="90">
        <f t="shared" si="32"/>
        <v>144824.95999999999</v>
      </c>
      <c r="P153" s="90">
        <f t="shared" si="32"/>
        <v>0</v>
      </c>
      <c r="Q153" s="90">
        <f t="shared" si="32"/>
        <v>0</v>
      </c>
      <c r="R153" s="90">
        <f t="shared" si="32"/>
        <v>1602.7</v>
      </c>
      <c r="S153" s="90">
        <f t="shared" si="32"/>
        <v>1464.7</v>
      </c>
      <c r="T153" s="90">
        <f t="shared" si="32"/>
        <v>0</v>
      </c>
      <c r="U153" s="90">
        <f t="shared" si="32"/>
        <v>34359.129999999997</v>
      </c>
      <c r="V153" s="90">
        <f t="shared" si="32"/>
        <v>0</v>
      </c>
      <c r="W153" s="90">
        <f t="shared" si="32"/>
        <v>3124.35</v>
      </c>
      <c r="X153" s="90">
        <f t="shared" si="32"/>
        <v>10069.08</v>
      </c>
      <c r="Y153" s="90">
        <f t="shared" si="32"/>
        <v>-136340.19</v>
      </c>
      <c r="Z153" s="90">
        <f t="shared" si="32"/>
        <v>-73122.55</v>
      </c>
      <c r="AA153" s="90">
        <f t="shared" si="32"/>
        <v>160618.54999999999</v>
      </c>
      <c r="AB153" s="90">
        <f t="shared" si="32"/>
        <v>0</v>
      </c>
      <c r="AC153" s="90">
        <f t="shared" si="32"/>
        <v>0</v>
      </c>
      <c r="AD153" s="90">
        <f t="shared" si="32"/>
        <v>36333.32</v>
      </c>
      <c r="AE153" s="90">
        <f t="shared" si="32"/>
        <v>-34288.879999999997</v>
      </c>
      <c r="AF153" s="90">
        <f t="shared" si="32"/>
        <v>254779.16999999995</v>
      </c>
      <c r="AG153">
        <v>151</v>
      </c>
    </row>
    <row r="154" spans="1:33" x14ac:dyDescent="0.25">
      <c r="C154">
        <v>900</v>
      </c>
      <c r="D154" t="s">
        <v>196</v>
      </c>
      <c r="E154" s="4">
        <v>0</v>
      </c>
      <c r="F154" s="4">
        <v>0</v>
      </c>
      <c r="G154" s="4">
        <v>-1314.47</v>
      </c>
      <c r="H154" s="4">
        <v>0</v>
      </c>
      <c r="I154" s="4">
        <v>0</v>
      </c>
      <c r="J154" s="4">
        <v>0</v>
      </c>
      <c r="K154" s="4">
        <v>0</v>
      </c>
      <c r="L154" s="4">
        <v>107448.47</v>
      </c>
      <c r="M154" s="4">
        <v>0</v>
      </c>
      <c r="N154" s="4">
        <v>0</v>
      </c>
      <c r="O154" s="4">
        <v>0</v>
      </c>
      <c r="P154" s="4"/>
      <c r="Q154" s="4">
        <v>0</v>
      </c>
      <c r="R154" s="4">
        <v>1602.7</v>
      </c>
      <c r="S154" s="4">
        <v>1464.7</v>
      </c>
      <c r="T154" s="4"/>
      <c r="U154" s="4">
        <v>34359.129999999997</v>
      </c>
      <c r="V154" s="4">
        <v>0</v>
      </c>
      <c r="W154" s="4">
        <v>3124.35</v>
      </c>
      <c r="X154" s="4">
        <v>10069.08</v>
      </c>
      <c r="Y154" s="4">
        <v>-75161</v>
      </c>
      <c r="Z154" s="4">
        <v>-73122.55</v>
      </c>
      <c r="AA154" s="4">
        <v>160618.54999999999</v>
      </c>
      <c r="AB154" s="4"/>
      <c r="AC154" s="4">
        <v>0</v>
      </c>
      <c r="AD154" s="4">
        <v>36333.32</v>
      </c>
      <c r="AE154" s="4">
        <v>-34288.879999999997</v>
      </c>
      <c r="AF154" s="4">
        <f>SUM(E154:AE154)</f>
        <v>171133.39999999997</v>
      </c>
      <c r="AG154">
        <v>152</v>
      </c>
    </row>
    <row r="155" spans="1:33" x14ac:dyDescent="0.25">
      <c r="C155">
        <v>901</v>
      </c>
      <c r="D155" t="s">
        <v>197</v>
      </c>
      <c r="E155" s="4">
        <v>0</v>
      </c>
      <c r="F155" s="4">
        <v>0</v>
      </c>
      <c r="G155" s="4">
        <v>0</v>
      </c>
      <c r="H155" s="4">
        <v>0</v>
      </c>
      <c r="I155" s="4">
        <v>0</v>
      </c>
      <c r="J155" s="4">
        <v>0</v>
      </c>
      <c r="K155" s="4">
        <v>0</v>
      </c>
      <c r="L155" s="4">
        <v>0</v>
      </c>
      <c r="M155" s="4">
        <v>0</v>
      </c>
      <c r="N155" s="4">
        <v>0</v>
      </c>
      <c r="O155" s="4">
        <v>144824.95999999999</v>
      </c>
      <c r="P155" s="4"/>
      <c r="Q155" s="4">
        <v>0</v>
      </c>
      <c r="R155" s="4">
        <v>0</v>
      </c>
      <c r="S155" s="4">
        <v>0</v>
      </c>
      <c r="T155" s="4"/>
      <c r="U155" s="4">
        <v>0</v>
      </c>
      <c r="V155" s="4">
        <v>0</v>
      </c>
      <c r="W155" s="4">
        <v>0</v>
      </c>
      <c r="X155" s="4">
        <v>0</v>
      </c>
      <c r="Y155" s="4">
        <v>-61179.19</v>
      </c>
      <c r="Z155" s="4">
        <v>0</v>
      </c>
      <c r="AA155" s="4">
        <v>0</v>
      </c>
      <c r="AB155" s="4"/>
      <c r="AC155" s="4">
        <v>0</v>
      </c>
      <c r="AD155" s="4">
        <v>0</v>
      </c>
      <c r="AE155" s="4">
        <v>0</v>
      </c>
      <c r="AF155" s="4">
        <f>SUM(E155:AE155)</f>
        <v>83645.76999999999</v>
      </c>
      <c r="AG155">
        <v>153</v>
      </c>
    </row>
    <row r="156" spans="1:33" x14ac:dyDescent="0.25">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v>154</v>
      </c>
    </row>
    <row r="157" spans="1:33" x14ac:dyDescent="0.25">
      <c r="D157" s="7" t="s">
        <v>198</v>
      </c>
      <c r="E157" s="31">
        <f>E154+E155</f>
        <v>0</v>
      </c>
      <c r="F157" s="31">
        <f t="shared" ref="F157:AF157" si="33">F154+F155</f>
        <v>0</v>
      </c>
      <c r="G157" s="31">
        <f t="shared" si="33"/>
        <v>-1314.47</v>
      </c>
      <c r="H157" s="31">
        <f t="shared" si="33"/>
        <v>0</v>
      </c>
      <c r="I157" s="31">
        <f t="shared" si="33"/>
        <v>0</v>
      </c>
      <c r="J157" s="31">
        <f t="shared" si="33"/>
        <v>0</v>
      </c>
      <c r="K157" s="31">
        <f t="shared" si="33"/>
        <v>0</v>
      </c>
      <c r="L157" s="31">
        <f t="shared" si="33"/>
        <v>107448.47</v>
      </c>
      <c r="M157" s="31">
        <f t="shared" si="33"/>
        <v>0</v>
      </c>
      <c r="N157" s="31">
        <f t="shared" si="33"/>
        <v>0</v>
      </c>
      <c r="O157" s="31">
        <f t="shared" si="33"/>
        <v>144824.95999999999</v>
      </c>
      <c r="P157" s="31">
        <f t="shared" si="33"/>
        <v>0</v>
      </c>
      <c r="Q157" s="31">
        <f t="shared" si="33"/>
        <v>0</v>
      </c>
      <c r="R157" s="31">
        <f t="shared" si="33"/>
        <v>1602.7</v>
      </c>
      <c r="S157" s="31">
        <f t="shared" si="33"/>
        <v>1464.7</v>
      </c>
      <c r="T157" s="31">
        <f t="shared" si="33"/>
        <v>0</v>
      </c>
      <c r="U157" s="31">
        <f t="shared" si="33"/>
        <v>34359.129999999997</v>
      </c>
      <c r="V157" s="31">
        <f t="shared" si="33"/>
        <v>0</v>
      </c>
      <c r="W157" s="31">
        <f t="shared" si="33"/>
        <v>3124.35</v>
      </c>
      <c r="X157" s="31">
        <f t="shared" si="33"/>
        <v>10069.08</v>
      </c>
      <c r="Y157" s="31">
        <f t="shared" si="33"/>
        <v>-136340.19</v>
      </c>
      <c r="Z157" s="31">
        <f t="shared" si="33"/>
        <v>-73122.55</v>
      </c>
      <c r="AA157" s="31">
        <f t="shared" si="33"/>
        <v>160618.54999999999</v>
      </c>
      <c r="AB157" s="31">
        <f t="shared" si="33"/>
        <v>0</v>
      </c>
      <c r="AC157" s="31">
        <f t="shared" si="33"/>
        <v>0</v>
      </c>
      <c r="AD157" s="31">
        <f t="shared" si="33"/>
        <v>36333.32</v>
      </c>
      <c r="AE157" s="31">
        <f t="shared" si="33"/>
        <v>-34288.879999999997</v>
      </c>
      <c r="AF157" s="31">
        <f t="shared" si="33"/>
        <v>254779.16999999995</v>
      </c>
      <c r="AG157">
        <v>155</v>
      </c>
    </row>
    <row r="158" spans="1:33" x14ac:dyDescent="0.25">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v>156</v>
      </c>
    </row>
    <row r="159" spans="1:33" x14ac:dyDescent="0.25">
      <c r="C159" s="7">
        <v>29900</v>
      </c>
      <c r="D159" s="7" t="s">
        <v>69</v>
      </c>
      <c r="E159" s="4"/>
      <c r="F159" s="4"/>
      <c r="G159" s="4"/>
      <c r="H159" s="4"/>
      <c r="I159" s="4"/>
      <c r="J159" s="4"/>
      <c r="K159" s="4"/>
      <c r="L159" s="28"/>
      <c r="M159" s="4"/>
      <c r="N159" s="4"/>
      <c r="O159" s="4"/>
      <c r="P159" s="4"/>
      <c r="Q159" s="4"/>
      <c r="R159" s="4"/>
      <c r="S159" s="4"/>
      <c r="T159" s="4"/>
      <c r="U159" s="4"/>
      <c r="V159" s="4"/>
      <c r="W159" s="4"/>
      <c r="X159" s="4"/>
      <c r="Y159" s="4"/>
      <c r="Z159" s="4"/>
      <c r="AA159" s="4"/>
      <c r="AB159" s="4"/>
      <c r="AC159" s="4"/>
      <c r="AD159" s="4"/>
      <c r="AE159" s="4"/>
      <c r="AF159" s="4">
        <f>SUM(E159:AE159)</f>
        <v>0</v>
      </c>
      <c r="AG159">
        <v>157</v>
      </c>
    </row>
    <row r="160" spans="1:33" x14ac:dyDescent="0.25">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v>158</v>
      </c>
    </row>
    <row r="161" spans="4:33" x14ac:dyDescent="0.25">
      <c r="D161" s="38"/>
      <c r="E161" s="31">
        <f t="shared" ref="E161:AF161" si="34">E75-E4</f>
        <v>0</v>
      </c>
      <c r="F161" s="31">
        <f t="shared" si="34"/>
        <v>0</v>
      </c>
      <c r="G161" s="31">
        <f t="shared" si="34"/>
        <v>-1314.4700000000012</v>
      </c>
      <c r="H161" s="31">
        <f t="shared" si="34"/>
        <v>0</v>
      </c>
      <c r="I161" s="31">
        <f t="shared" si="34"/>
        <v>0</v>
      </c>
      <c r="J161" s="31">
        <f t="shared" si="34"/>
        <v>0</v>
      </c>
      <c r="K161" s="31">
        <f t="shared" si="34"/>
        <v>0</v>
      </c>
      <c r="L161" s="31">
        <f t="shared" si="34"/>
        <v>107448.46999999997</v>
      </c>
      <c r="M161" s="31">
        <f t="shared" si="34"/>
        <v>0</v>
      </c>
      <c r="N161" s="31">
        <f t="shared" si="34"/>
        <v>0</v>
      </c>
      <c r="O161" s="31">
        <f t="shared" si="34"/>
        <v>144824.96000000043</v>
      </c>
      <c r="P161" s="31">
        <f t="shared" si="34"/>
        <v>0</v>
      </c>
      <c r="Q161" s="31">
        <f t="shared" si="34"/>
        <v>0</v>
      </c>
      <c r="R161" s="31">
        <f t="shared" si="34"/>
        <v>1602.6999999999971</v>
      </c>
      <c r="S161" s="31">
        <f t="shared" si="34"/>
        <v>1464.6999999999998</v>
      </c>
      <c r="T161" s="31">
        <f t="shared" si="34"/>
        <v>0</v>
      </c>
      <c r="U161" s="31">
        <f t="shared" si="34"/>
        <v>34359.130000000005</v>
      </c>
      <c r="V161" s="31">
        <f t="shared" si="34"/>
        <v>0</v>
      </c>
      <c r="W161" s="31">
        <f t="shared" si="34"/>
        <v>3124.3500000000058</v>
      </c>
      <c r="X161" s="31">
        <f t="shared" si="34"/>
        <v>10069.080000000075</v>
      </c>
      <c r="Y161" s="31">
        <f t="shared" si="34"/>
        <v>-136340.19000000041</v>
      </c>
      <c r="Z161" s="31">
        <f t="shared" si="34"/>
        <v>-73122.549999999988</v>
      </c>
      <c r="AA161" s="31">
        <f t="shared" si="34"/>
        <v>160618.54999999981</v>
      </c>
      <c r="AB161" s="31">
        <f t="shared" si="34"/>
        <v>0</v>
      </c>
      <c r="AC161" s="31">
        <f t="shared" si="34"/>
        <v>0</v>
      </c>
      <c r="AD161" s="31">
        <f t="shared" si="34"/>
        <v>36333.319999999832</v>
      </c>
      <c r="AE161" s="31">
        <f t="shared" si="34"/>
        <v>-34288.880000000005</v>
      </c>
      <c r="AF161" s="31">
        <f t="shared" si="34"/>
        <v>254779.16999999806</v>
      </c>
      <c r="AG161">
        <v>159</v>
      </c>
    </row>
    <row r="162" spans="4:33" x14ac:dyDescent="0.25">
      <c r="D162" s="38" t="s">
        <v>68</v>
      </c>
      <c r="E162" s="30">
        <f t="shared" ref="E162:N162" si="35">E157-E161</f>
        <v>0</v>
      </c>
      <c r="F162" s="30">
        <f t="shared" si="35"/>
        <v>0</v>
      </c>
      <c r="G162" s="30">
        <f t="shared" si="35"/>
        <v>0</v>
      </c>
      <c r="H162" s="30">
        <f t="shared" si="35"/>
        <v>0</v>
      </c>
      <c r="I162" s="30">
        <f t="shared" si="35"/>
        <v>0</v>
      </c>
      <c r="J162" s="30">
        <f t="shared" si="35"/>
        <v>0</v>
      </c>
      <c r="K162" s="30">
        <f t="shared" si="35"/>
        <v>0</v>
      </c>
      <c r="L162" s="30">
        <f t="shared" si="35"/>
        <v>0</v>
      </c>
      <c r="M162" s="30">
        <f t="shared" si="35"/>
        <v>0</v>
      </c>
      <c r="N162" s="30">
        <f t="shared" si="35"/>
        <v>0</v>
      </c>
      <c r="O162" s="30">
        <f>O157-O161</f>
        <v>-4.3655745685100555E-10</v>
      </c>
      <c r="P162" s="30">
        <f t="shared" ref="P162:AF162" si="36">P157-P161</f>
        <v>0</v>
      </c>
      <c r="Q162" s="30">
        <f t="shared" si="36"/>
        <v>0</v>
      </c>
      <c r="R162" s="30">
        <f t="shared" si="36"/>
        <v>2.9558577807620168E-12</v>
      </c>
      <c r="S162" s="30">
        <f t="shared" si="36"/>
        <v>0</v>
      </c>
      <c r="T162" s="30">
        <f t="shared" si="36"/>
        <v>0</v>
      </c>
      <c r="U162" s="30">
        <f t="shared" si="36"/>
        <v>0</v>
      </c>
      <c r="V162" s="30">
        <f t="shared" si="36"/>
        <v>0</v>
      </c>
      <c r="W162" s="30">
        <f t="shared" si="36"/>
        <v>-5.9117155615240335E-12</v>
      </c>
      <c r="X162" s="30">
        <f>X157-X161</f>
        <v>-7.4578565545380116E-11</v>
      </c>
      <c r="Y162" s="30">
        <f>Y157-Y161</f>
        <v>4.0745362639427185E-10</v>
      </c>
      <c r="Z162" s="30">
        <f t="shared" si="36"/>
        <v>0</v>
      </c>
      <c r="AA162" s="30">
        <f t="shared" si="36"/>
        <v>0</v>
      </c>
      <c r="AB162" s="30">
        <f t="shared" si="36"/>
        <v>0</v>
      </c>
      <c r="AC162" s="30">
        <f t="shared" si="36"/>
        <v>0</v>
      </c>
      <c r="AD162" s="30">
        <f t="shared" si="36"/>
        <v>1.673470251262188E-10</v>
      </c>
      <c r="AE162" s="30">
        <f t="shared" si="36"/>
        <v>0</v>
      </c>
      <c r="AF162" s="30">
        <f t="shared" si="36"/>
        <v>1.8917489796876907E-9</v>
      </c>
      <c r="AG162">
        <v>160</v>
      </c>
    </row>
    <row r="163" spans="4:33" x14ac:dyDescent="0.25">
      <c r="M163" s="4"/>
      <c r="AG163">
        <v>161</v>
      </c>
    </row>
    <row r="164" spans="4:33" x14ac:dyDescent="0.25">
      <c r="D164" s="38" t="s">
        <v>237</v>
      </c>
      <c r="E164" s="49">
        <f>E64-E140</f>
        <v>0</v>
      </c>
      <c r="F164" s="49">
        <f t="shared" ref="F164:AF164" si="37">F64-F140</f>
        <v>0</v>
      </c>
      <c r="G164" s="49">
        <f t="shared" si="37"/>
        <v>0</v>
      </c>
      <c r="H164" s="49">
        <f t="shared" si="37"/>
        <v>0</v>
      </c>
      <c r="I164" s="164">
        <f t="shared" si="37"/>
        <v>0</v>
      </c>
      <c r="J164" s="49">
        <f t="shared" si="37"/>
        <v>0</v>
      </c>
      <c r="K164" s="164">
        <f t="shared" si="37"/>
        <v>0</v>
      </c>
      <c r="L164" s="49">
        <f t="shared" si="37"/>
        <v>0</v>
      </c>
      <c r="M164" s="49">
        <f t="shared" si="37"/>
        <v>0</v>
      </c>
      <c r="N164" s="49">
        <f t="shared" si="37"/>
        <v>0</v>
      </c>
      <c r="O164" s="49">
        <f t="shared" si="37"/>
        <v>0</v>
      </c>
      <c r="P164" s="164">
        <f t="shared" si="37"/>
        <v>0</v>
      </c>
      <c r="Q164" s="49">
        <f t="shared" si="37"/>
        <v>0</v>
      </c>
      <c r="R164" s="49">
        <f t="shared" si="37"/>
        <v>0</v>
      </c>
      <c r="S164" s="49">
        <f t="shared" si="37"/>
        <v>0</v>
      </c>
      <c r="T164" s="49">
        <f t="shared" si="37"/>
        <v>0</v>
      </c>
      <c r="U164" s="49">
        <f t="shared" si="37"/>
        <v>0</v>
      </c>
      <c r="V164" s="49">
        <f t="shared" si="37"/>
        <v>0</v>
      </c>
      <c r="W164" s="49">
        <f t="shared" si="37"/>
        <v>0</v>
      </c>
      <c r="X164" s="49">
        <f t="shared" si="37"/>
        <v>0</v>
      </c>
      <c r="Y164" s="49">
        <f t="shared" si="37"/>
        <v>0</v>
      </c>
      <c r="Z164" s="49">
        <f t="shared" si="37"/>
        <v>0</v>
      </c>
      <c r="AA164" s="49">
        <f t="shared" si="37"/>
        <v>0</v>
      </c>
      <c r="AB164" s="49">
        <f t="shared" si="37"/>
        <v>0</v>
      </c>
      <c r="AC164" s="49">
        <f t="shared" si="37"/>
        <v>0</v>
      </c>
      <c r="AD164" s="49">
        <f t="shared" si="37"/>
        <v>0</v>
      </c>
      <c r="AE164" s="49">
        <f t="shared" si="37"/>
        <v>0</v>
      </c>
      <c r="AF164" s="49">
        <f t="shared" si="37"/>
        <v>0</v>
      </c>
      <c r="AG164">
        <v>162</v>
      </c>
    </row>
    <row r="165" spans="4:33" x14ac:dyDescent="0.25">
      <c r="AG165">
        <v>163</v>
      </c>
    </row>
    <row r="166" spans="4:33" x14ac:dyDescent="0.25">
      <c r="D166" t="s">
        <v>592</v>
      </c>
      <c r="E166" s="4">
        <f>E5+E15+E27+E39+E43+E53</f>
        <v>681163.59000000008</v>
      </c>
      <c r="F166" s="4">
        <f t="shared" ref="F166:AF166" si="38">F5+F15+F27+F39+F43+F53</f>
        <v>3074367.2800000003</v>
      </c>
      <c r="G166" s="4">
        <f t="shared" si="38"/>
        <v>84514</v>
      </c>
      <c r="H166" s="4">
        <f t="shared" si="38"/>
        <v>8591585.8499999996</v>
      </c>
      <c r="I166" s="4">
        <f t="shared" si="38"/>
        <v>103325</v>
      </c>
      <c r="J166" s="4">
        <f t="shared" si="38"/>
        <v>998152.49</v>
      </c>
      <c r="K166" s="4">
        <f t="shared" si="38"/>
        <v>2078043.19</v>
      </c>
      <c r="L166" s="4">
        <f t="shared" si="38"/>
        <v>481056.29000000004</v>
      </c>
      <c r="M166" s="4">
        <f t="shared" si="38"/>
        <v>247984.44999999998</v>
      </c>
      <c r="N166" s="4">
        <f t="shared" si="38"/>
        <v>281929.3</v>
      </c>
      <c r="O166" s="4">
        <f t="shared" si="38"/>
        <v>2266708.5799999996</v>
      </c>
      <c r="P166" s="4">
        <f t="shared" si="38"/>
        <v>0</v>
      </c>
      <c r="Q166" s="4">
        <f t="shared" si="38"/>
        <v>7170</v>
      </c>
      <c r="R166" s="4">
        <f t="shared" si="38"/>
        <v>43500.15</v>
      </c>
      <c r="S166" s="4">
        <f t="shared" si="38"/>
        <v>4598.3</v>
      </c>
      <c r="T166" s="4">
        <f t="shared" si="38"/>
        <v>0</v>
      </c>
      <c r="U166" s="4">
        <f t="shared" si="38"/>
        <v>55129.79</v>
      </c>
      <c r="V166" s="4">
        <f t="shared" si="38"/>
        <v>433469.67</v>
      </c>
      <c r="W166" s="4">
        <f t="shared" si="38"/>
        <v>42918.749999999993</v>
      </c>
      <c r="X166" s="4">
        <f t="shared" si="38"/>
        <v>752558.99</v>
      </c>
      <c r="Y166" s="4">
        <f t="shared" si="38"/>
        <v>4502922.9800000004</v>
      </c>
      <c r="Z166" s="4">
        <f t="shared" si="38"/>
        <v>389193.19</v>
      </c>
      <c r="AA166" s="4">
        <f t="shared" si="38"/>
        <v>1549461.39</v>
      </c>
      <c r="AB166" s="4">
        <f t="shared" si="38"/>
        <v>0</v>
      </c>
      <c r="AC166" s="4">
        <f t="shared" si="38"/>
        <v>132117.85</v>
      </c>
      <c r="AD166" s="4">
        <f t="shared" si="38"/>
        <v>3021219.9599999995</v>
      </c>
      <c r="AE166" s="4">
        <f t="shared" si="38"/>
        <v>359411.53</v>
      </c>
      <c r="AF166" s="4">
        <f t="shared" si="38"/>
        <v>30182502.570000004</v>
      </c>
      <c r="AG166">
        <v>164</v>
      </c>
    </row>
    <row r="167" spans="4:33" x14ac:dyDescent="0.25">
      <c r="D167" t="s">
        <v>593</v>
      </c>
      <c r="E167" s="4">
        <f>E76+E82+E88+E99+E117+E121+E128</f>
        <v>696983.39</v>
      </c>
      <c r="F167" s="4">
        <f t="shared" ref="F167:AF167" si="39">F76+F82+F88+F99+F117+F121+F128</f>
        <v>3073878.0900000003</v>
      </c>
      <c r="G167" s="4">
        <f t="shared" si="39"/>
        <v>77994</v>
      </c>
      <c r="H167" s="4">
        <f t="shared" si="39"/>
        <v>9526759.3399999999</v>
      </c>
      <c r="I167" s="4">
        <f t="shared" si="39"/>
        <v>103325</v>
      </c>
      <c r="J167" s="4">
        <f t="shared" si="39"/>
        <v>1019037.14</v>
      </c>
      <c r="K167" s="4">
        <f t="shared" si="39"/>
        <v>2250304.19</v>
      </c>
      <c r="L167" s="4">
        <f t="shared" si="39"/>
        <v>647621.65</v>
      </c>
      <c r="M167" s="4">
        <f t="shared" si="39"/>
        <v>248144.80000000002</v>
      </c>
      <c r="N167" s="4">
        <f t="shared" si="39"/>
        <v>281929.3</v>
      </c>
      <c r="O167" s="4">
        <f t="shared" si="39"/>
        <v>2405475.35</v>
      </c>
      <c r="P167" s="4">
        <f t="shared" si="39"/>
        <v>0</v>
      </c>
      <c r="Q167" s="4">
        <f t="shared" si="39"/>
        <v>7320.95</v>
      </c>
      <c r="R167" s="4">
        <f t="shared" si="39"/>
        <v>45102.85</v>
      </c>
      <c r="S167" s="4">
        <f t="shared" si="39"/>
        <v>6063</v>
      </c>
      <c r="T167" s="4">
        <f t="shared" si="39"/>
        <v>0</v>
      </c>
      <c r="U167" s="4">
        <f t="shared" si="39"/>
        <v>72106.25</v>
      </c>
      <c r="V167" s="4">
        <f t="shared" si="39"/>
        <v>450970.04000000004</v>
      </c>
      <c r="W167" s="4">
        <f t="shared" si="39"/>
        <v>46043.1</v>
      </c>
      <c r="X167" s="4">
        <f t="shared" si="39"/>
        <v>964145.85000000009</v>
      </c>
      <c r="Y167" s="4">
        <f t="shared" si="39"/>
        <v>4137200.2199999997</v>
      </c>
      <c r="Z167" s="4">
        <f t="shared" si="39"/>
        <v>331879.15000000002</v>
      </c>
      <c r="AA167" s="4">
        <f t="shared" si="39"/>
        <v>1734019.7599999998</v>
      </c>
      <c r="AB167" s="4">
        <f t="shared" si="39"/>
        <v>0</v>
      </c>
      <c r="AC167" s="4">
        <f t="shared" si="39"/>
        <v>132114.6</v>
      </c>
      <c r="AD167" s="4">
        <f t="shared" si="39"/>
        <v>3121605.3</v>
      </c>
      <c r="AE167" s="4">
        <f t="shared" si="39"/>
        <v>325122.65000000002</v>
      </c>
      <c r="AF167" s="4">
        <f t="shared" si="39"/>
        <v>31705145.970000003</v>
      </c>
      <c r="AG167">
        <v>165</v>
      </c>
    </row>
    <row r="169" spans="4:33" x14ac:dyDescent="0.25">
      <c r="L169" s="4"/>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FF0000"/>
  </sheetPr>
  <dimension ref="A2:E161"/>
  <sheetViews>
    <sheetView workbookViewId="0">
      <selection activeCell="D5" sqref="D5"/>
    </sheetView>
  </sheetViews>
  <sheetFormatPr baseColWidth="10" defaultColWidth="11.42578125" defaultRowHeight="15" x14ac:dyDescent="0.25"/>
  <cols>
    <col min="1" max="2" width="5.7109375" customWidth="1"/>
    <col min="3" max="3" width="9" customWidth="1"/>
    <col min="4" max="4" width="63.5703125" customWidth="1"/>
    <col min="5" max="5" width="23" customWidth="1"/>
  </cols>
  <sheetData>
    <row r="2" spans="1:5" ht="26.25" x14ac:dyDescent="0.4">
      <c r="A2" s="32" t="s">
        <v>837</v>
      </c>
      <c r="B2" s="7"/>
      <c r="C2" s="7"/>
      <c r="D2" s="7"/>
    </row>
    <row r="4" spans="1:5" ht="15.75" thickBot="1" x14ac:dyDescent="0.3"/>
    <row r="5" spans="1:5" ht="15.75" thickBot="1" x14ac:dyDescent="0.3">
      <c r="A5" t="s">
        <v>748</v>
      </c>
      <c r="D5" s="142" t="s">
        <v>826</v>
      </c>
    </row>
    <row r="7" spans="1:5" x14ac:dyDescent="0.25">
      <c r="E7" s="53" t="s">
        <v>202</v>
      </c>
    </row>
    <row r="8" spans="1:5" ht="21" x14ac:dyDescent="0.35">
      <c r="A8" s="74">
        <v>3</v>
      </c>
      <c r="B8" s="74"/>
      <c r="C8" s="74"/>
      <c r="D8" s="74" t="s">
        <v>60</v>
      </c>
      <c r="E8" s="139">
        <f>HLOOKUP($D$5,'Syndicats comptes 2021'!$E$3:$AF$167,2,0)</f>
        <v>359411.53</v>
      </c>
    </row>
    <row r="9" spans="1:5" x14ac:dyDescent="0.25">
      <c r="A9" s="76"/>
      <c r="B9" s="76">
        <v>30</v>
      </c>
      <c r="C9" s="76"/>
      <c r="D9" s="76" t="s">
        <v>61</v>
      </c>
      <c r="E9" s="77">
        <f>HLOOKUP($D$5,'Syndicats comptes 2021'!$E$3:$AF$167,3,0)</f>
        <v>35560.65</v>
      </c>
    </row>
    <row r="10" spans="1:5" x14ac:dyDescent="0.25">
      <c r="C10">
        <v>300</v>
      </c>
      <c r="D10" t="s">
        <v>80</v>
      </c>
      <c r="E10" s="4">
        <f>HLOOKUP($D$5,'Syndicats comptes 2021'!$E$3:$AF$167,4,0)</f>
        <v>3150</v>
      </c>
    </row>
    <row r="11" spans="1:5" x14ac:dyDescent="0.25">
      <c r="C11">
        <v>301</v>
      </c>
      <c r="D11" t="s">
        <v>81</v>
      </c>
      <c r="E11" s="4">
        <f>HLOOKUP($D$5,'Syndicats comptes 2021'!$E$3:$AF$167,5,0)</f>
        <v>26831.25</v>
      </c>
    </row>
    <row r="12" spans="1:5" x14ac:dyDescent="0.25">
      <c r="C12">
        <v>302</v>
      </c>
      <c r="D12" t="s">
        <v>82</v>
      </c>
      <c r="E12" s="4">
        <f>HLOOKUP($D$5,'Syndicats comptes 2021'!$E$3:$AF$167,6,0)</f>
        <v>0</v>
      </c>
    </row>
    <row r="13" spans="1:5" x14ac:dyDescent="0.25">
      <c r="C13">
        <v>303</v>
      </c>
      <c r="D13" t="s">
        <v>83</v>
      </c>
      <c r="E13" s="4">
        <f>HLOOKUP($D$5,'Syndicats comptes 2021'!$E$3:$AF$167,7,0)</f>
        <v>0</v>
      </c>
    </row>
    <row r="14" spans="1:5" x14ac:dyDescent="0.25">
      <c r="C14">
        <v>304</v>
      </c>
      <c r="D14" t="s">
        <v>583</v>
      </c>
      <c r="E14" s="4">
        <f>HLOOKUP($D$5,'Syndicats comptes 2021'!$E$3:$AF$167,8,0)</f>
        <v>550</v>
      </c>
    </row>
    <row r="15" spans="1:5" x14ac:dyDescent="0.25">
      <c r="C15">
        <v>305</v>
      </c>
      <c r="D15" t="s">
        <v>84</v>
      </c>
      <c r="E15" s="4">
        <f>HLOOKUP($D$5,'Syndicats comptes 2021'!$E$3:$AF$167,9,0)</f>
        <v>3903.9</v>
      </c>
    </row>
    <row r="16" spans="1:5" x14ac:dyDescent="0.25">
      <c r="C16">
        <v>306</v>
      </c>
      <c r="D16" t="s">
        <v>85</v>
      </c>
      <c r="E16" s="4">
        <f>HLOOKUP($D$5,'Syndicats comptes 2021'!$E$3:$AF$167,10,0)</f>
        <v>0</v>
      </c>
    </row>
    <row r="17" spans="2:5" x14ac:dyDescent="0.25">
      <c r="C17">
        <v>309</v>
      </c>
      <c r="D17" t="s">
        <v>86</v>
      </c>
      <c r="E17" s="4">
        <f>HLOOKUP($D$5,'Syndicats comptes 2021'!$E$3:$AF$167,11,0)</f>
        <v>1125.5</v>
      </c>
    </row>
    <row r="18" spans="2:5" x14ac:dyDescent="0.25">
      <c r="E18" s="4"/>
    </row>
    <row r="19" spans="2:5" x14ac:dyDescent="0.25">
      <c r="B19" s="76">
        <v>31</v>
      </c>
      <c r="C19" s="76"/>
      <c r="D19" s="76" t="s">
        <v>87</v>
      </c>
      <c r="E19" s="77">
        <f>HLOOKUP($D$5,'Syndicats comptes 2021'!$E$3:$AF$167,13,0)</f>
        <v>101238.88</v>
      </c>
    </row>
    <row r="20" spans="2:5" x14ac:dyDescent="0.25">
      <c r="C20">
        <v>310</v>
      </c>
      <c r="D20" t="s">
        <v>88</v>
      </c>
      <c r="E20" s="4">
        <f>HLOOKUP($D$5,'Syndicats comptes 2021'!$E$3:$AF$167,14,0)</f>
        <v>2603.3000000000002</v>
      </c>
    </row>
    <row r="21" spans="2:5" x14ac:dyDescent="0.25">
      <c r="C21">
        <v>311</v>
      </c>
      <c r="D21" t="s">
        <v>452</v>
      </c>
      <c r="E21" s="4">
        <f>HLOOKUP($D$5,'Syndicats comptes 2021'!$E$3:$AF$167,15,0)</f>
        <v>9797.35</v>
      </c>
    </row>
    <row r="22" spans="2:5" x14ac:dyDescent="0.25">
      <c r="C22">
        <v>312</v>
      </c>
      <c r="D22" t="s">
        <v>90</v>
      </c>
      <c r="E22" s="4">
        <f>HLOOKUP($D$5,'Syndicats comptes 2021'!$E$3:$AF$167,16,0)</f>
        <v>21773.55</v>
      </c>
    </row>
    <row r="23" spans="2:5" x14ac:dyDescent="0.25">
      <c r="C23">
        <v>313</v>
      </c>
      <c r="D23" t="s">
        <v>91</v>
      </c>
      <c r="E23" s="4">
        <f>HLOOKUP($D$5,'Syndicats comptes 2021'!$E$3:$AF$167,17,0)</f>
        <v>53855.5</v>
      </c>
    </row>
    <row r="24" spans="2:5" x14ac:dyDescent="0.25">
      <c r="C24">
        <v>314</v>
      </c>
      <c r="D24" t="s">
        <v>92</v>
      </c>
      <c r="E24" s="4">
        <f>HLOOKUP($D$5,'Syndicats comptes 2021'!$E$3:$AF$167,18,0)</f>
        <v>12399.3</v>
      </c>
    </row>
    <row r="25" spans="2:5" x14ac:dyDescent="0.25">
      <c r="C25">
        <v>315</v>
      </c>
      <c r="D25" t="s">
        <v>93</v>
      </c>
      <c r="E25" s="4">
        <f>HLOOKUP($D$5,'Syndicats comptes 2021'!$E$3:$AF$167,19,0)</f>
        <v>809.88</v>
      </c>
    </row>
    <row r="26" spans="2:5" x14ac:dyDescent="0.25">
      <c r="C26">
        <v>316</v>
      </c>
      <c r="D26" t="s">
        <v>94</v>
      </c>
      <c r="E26" s="4">
        <f>HLOOKUP($D$5,'Syndicats comptes 2021'!$E$3:$AF$167,20,0)</f>
        <v>0</v>
      </c>
    </row>
    <row r="27" spans="2:5" x14ac:dyDescent="0.25">
      <c r="C27">
        <v>317</v>
      </c>
      <c r="D27" t="s">
        <v>95</v>
      </c>
      <c r="E27" s="4">
        <f>HLOOKUP($D$5,'Syndicats comptes 2021'!$E$3:$AF$167,21,0)</f>
        <v>0</v>
      </c>
    </row>
    <row r="28" spans="2:5" x14ac:dyDescent="0.25">
      <c r="C28">
        <v>318</v>
      </c>
      <c r="D28" t="s">
        <v>96</v>
      </c>
      <c r="E28" s="4">
        <f>HLOOKUP($D$5,'Syndicats comptes 2021'!$E$3:$AF$167,22,0)</f>
        <v>0</v>
      </c>
    </row>
    <row r="29" spans="2:5" x14ac:dyDescent="0.25">
      <c r="C29">
        <v>319</v>
      </c>
      <c r="D29" t="s">
        <v>97</v>
      </c>
      <c r="E29" s="4">
        <f>HLOOKUP($D$5,'Syndicats comptes 2021'!$E$3:$AF$167,23,0)</f>
        <v>0</v>
      </c>
    </row>
    <row r="30" spans="2:5" x14ac:dyDescent="0.25">
      <c r="E30" s="4"/>
    </row>
    <row r="31" spans="2:5" x14ac:dyDescent="0.25">
      <c r="B31" s="76">
        <v>33</v>
      </c>
      <c r="C31" s="76"/>
      <c r="D31" s="76" t="s">
        <v>98</v>
      </c>
      <c r="E31" s="77">
        <f>HLOOKUP($D$5,'Syndicats comptes 2021'!$E$3:$AF$167,25,0)</f>
        <v>125000</v>
      </c>
    </row>
    <row r="32" spans="2:5" x14ac:dyDescent="0.25">
      <c r="C32">
        <v>330</v>
      </c>
      <c r="D32" t="s">
        <v>100</v>
      </c>
      <c r="E32" s="4">
        <f>HLOOKUP($D$5,'Syndicats comptes 2021'!$E$3:$AF$167,26,0)</f>
        <v>125000</v>
      </c>
    </row>
    <row r="33" spans="2:5" x14ac:dyDescent="0.25">
      <c r="C33">
        <v>332</v>
      </c>
      <c r="D33" t="s">
        <v>99</v>
      </c>
      <c r="E33" s="4">
        <f>HLOOKUP($D$5,'Syndicats comptes 2021'!$E$3:$AF$167,27,0)</f>
        <v>0</v>
      </c>
    </row>
    <row r="34" spans="2:5" x14ac:dyDescent="0.25">
      <c r="E34" s="4"/>
    </row>
    <row r="35" spans="2:5" x14ac:dyDescent="0.25">
      <c r="B35" s="76">
        <v>34</v>
      </c>
      <c r="C35" s="76"/>
      <c r="D35" s="76" t="s">
        <v>101</v>
      </c>
      <c r="E35" s="77">
        <f>HLOOKUP($D$5,'Syndicats comptes 2021'!$E$3:$AF$167,29,0)</f>
        <v>0</v>
      </c>
    </row>
    <row r="36" spans="2:5" x14ac:dyDescent="0.25">
      <c r="C36">
        <v>340</v>
      </c>
      <c r="D36" t="s">
        <v>102</v>
      </c>
      <c r="E36" s="4">
        <f>HLOOKUP($D$5,'Syndicats comptes 2021'!$E$3:$AF$167,30,0)</f>
        <v>0</v>
      </c>
    </row>
    <row r="37" spans="2:5" x14ac:dyDescent="0.25">
      <c r="C37">
        <v>341</v>
      </c>
      <c r="D37" t="s">
        <v>103</v>
      </c>
      <c r="E37" s="4">
        <f>HLOOKUP($D$5,'Syndicats comptes 2021'!$E$3:$AF$167,31,0)</f>
        <v>0</v>
      </c>
    </row>
    <row r="38" spans="2:5" x14ac:dyDescent="0.25">
      <c r="C38">
        <v>342</v>
      </c>
      <c r="D38" t="s">
        <v>104</v>
      </c>
      <c r="E38" s="4">
        <f>HLOOKUP($D$5,'Syndicats comptes 2021'!$E$3:$AF$167,32,0)</f>
        <v>0</v>
      </c>
    </row>
    <row r="39" spans="2:5" x14ac:dyDescent="0.25">
      <c r="C39">
        <v>343</v>
      </c>
      <c r="D39" t="s">
        <v>105</v>
      </c>
      <c r="E39" s="4">
        <f>HLOOKUP($D$5,'Syndicats comptes 2021'!$E$3:$AF$167,33,0)</f>
        <v>0</v>
      </c>
    </row>
    <row r="40" spans="2:5" x14ac:dyDescent="0.25">
      <c r="C40">
        <v>344</v>
      </c>
      <c r="D40" t="s">
        <v>106</v>
      </c>
      <c r="E40" s="4">
        <f>HLOOKUP($D$5,'Syndicats comptes 2021'!$E$3:$AF$167,34,0)</f>
        <v>0</v>
      </c>
    </row>
    <row r="41" spans="2:5" x14ac:dyDescent="0.25">
      <c r="C41">
        <v>349</v>
      </c>
      <c r="D41" t="s">
        <v>107</v>
      </c>
      <c r="E41" s="4">
        <f>HLOOKUP($D$5,'Syndicats comptes 2021'!$E$3:$AF$167,35,0)</f>
        <v>0</v>
      </c>
    </row>
    <row r="42" spans="2:5" x14ac:dyDescent="0.25">
      <c r="E42" s="4"/>
    </row>
    <row r="43" spans="2:5" x14ac:dyDescent="0.25">
      <c r="B43" s="76">
        <v>35</v>
      </c>
      <c r="C43" s="76"/>
      <c r="D43" s="76" t="s">
        <v>109</v>
      </c>
      <c r="E43" s="77">
        <f>HLOOKUP($D$5,'Syndicats comptes 2021'!$E$3:$AF$167,37,0)</f>
        <v>88000</v>
      </c>
    </row>
    <row r="44" spans="2:5" x14ac:dyDescent="0.25">
      <c r="C44">
        <v>350</v>
      </c>
      <c r="D44" t="s">
        <v>109</v>
      </c>
      <c r="E44" s="4">
        <f>HLOOKUP($D$5,'Syndicats comptes 2021'!$E$3:$AF$167,38,0)</f>
        <v>0</v>
      </c>
    </row>
    <row r="45" spans="2:5" x14ac:dyDescent="0.25">
      <c r="C45">
        <v>351</v>
      </c>
      <c r="D45" t="s">
        <v>108</v>
      </c>
      <c r="E45" s="4">
        <f>HLOOKUP($D$5,'Syndicats comptes 2021'!$E$3:$AF$167,39,0)</f>
        <v>88000</v>
      </c>
    </row>
    <row r="46" spans="2:5" x14ac:dyDescent="0.25">
      <c r="E46" s="4"/>
    </row>
    <row r="47" spans="2:5" x14ac:dyDescent="0.25">
      <c r="B47" s="76">
        <v>36</v>
      </c>
      <c r="C47" s="76"/>
      <c r="D47" s="76" t="s">
        <v>110</v>
      </c>
      <c r="E47" s="77">
        <f>HLOOKUP($D$5,'Syndicats comptes 2021'!$E$3:$AF$167,41,0)</f>
        <v>9612</v>
      </c>
    </row>
    <row r="48" spans="2:5" x14ac:dyDescent="0.25">
      <c r="C48">
        <v>360</v>
      </c>
      <c r="D48" t="s">
        <v>111</v>
      </c>
      <c r="E48" s="4">
        <f>HLOOKUP($D$5,'Syndicats comptes 2021'!$E$3:$AF$167,42,0)</f>
        <v>0</v>
      </c>
    </row>
    <row r="49" spans="2:5" x14ac:dyDescent="0.25">
      <c r="C49">
        <v>361</v>
      </c>
      <c r="D49" t="s">
        <v>112</v>
      </c>
      <c r="E49" s="4">
        <f>HLOOKUP($D$5,'Syndicats comptes 2021'!$E$3:$AF$167,43,0)</f>
        <v>0</v>
      </c>
    </row>
    <row r="50" spans="2:5" x14ac:dyDescent="0.25">
      <c r="C50">
        <v>362</v>
      </c>
      <c r="D50" t="s">
        <v>113</v>
      </c>
      <c r="E50" s="4">
        <f>HLOOKUP($D$5,'Syndicats comptes 2021'!$E$3:$AF$167,44,0)</f>
        <v>0</v>
      </c>
    </row>
    <row r="51" spans="2:5" x14ac:dyDescent="0.25">
      <c r="C51">
        <v>363</v>
      </c>
      <c r="D51" t="s">
        <v>114</v>
      </c>
      <c r="E51" s="4">
        <f>HLOOKUP($D$5,'Syndicats comptes 2021'!$E$3:$AF$167,45,0)</f>
        <v>0</v>
      </c>
    </row>
    <row r="52" spans="2:5" x14ac:dyDescent="0.25">
      <c r="C52">
        <v>364</v>
      </c>
      <c r="D52" t="s">
        <v>115</v>
      </c>
      <c r="E52" s="4">
        <f>HLOOKUP($D$5,'Syndicats comptes 2021'!$E$3:$AF$167,46,0)</f>
        <v>0</v>
      </c>
    </row>
    <row r="53" spans="2:5" x14ac:dyDescent="0.25">
      <c r="C53">
        <v>365</v>
      </c>
      <c r="D53" t="s">
        <v>116</v>
      </c>
      <c r="E53" s="4">
        <f>HLOOKUP($D$5,'Syndicats comptes 2021'!$E$3:$AF$167,47,0)</f>
        <v>0</v>
      </c>
    </row>
    <row r="54" spans="2:5" x14ac:dyDescent="0.25">
      <c r="C54">
        <v>366</v>
      </c>
      <c r="D54" t="s">
        <v>117</v>
      </c>
      <c r="E54" s="4">
        <f>HLOOKUP($D$5,'Syndicats comptes 2021'!$E$3:$AF$167,48,0)</f>
        <v>0</v>
      </c>
    </row>
    <row r="55" spans="2:5" x14ac:dyDescent="0.25">
      <c r="C55">
        <v>369</v>
      </c>
      <c r="D55" t="s">
        <v>118</v>
      </c>
      <c r="E55" s="4">
        <f>HLOOKUP($D$5,'Syndicats comptes 2021'!$E$3:$AF$167,49,0)</f>
        <v>9612</v>
      </c>
    </row>
    <row r="56" spans="2:5" x14ac:dyDescent="0.25">
      <c r="E56" s="4"/>
    </row>
    <row r="57" spans="2:5" x14ac:dyDescent="0.25">
      <c r="B57" s="76">
        <v>37</v>
      </c>
      <c r="C57" s="76"/>
      <c r="D57" s="76" t="s">
        <v>119</v>
      </c>
      <c r="E57" s="77">
        <f>HLOOKUP($D$5,'Syndicats comptes 2021'!$E$3:$AF$167,51,0)</f>
        <v>0</v>
      </c>
    </row>
    <row r="58" spans="2:5" x14ac:dyDescent="0.25">
      <c r="C58">
        <v>370</v>
      </c>
      <c r="D58" t="s">
        <v>120</v>
      </c>
      <c r="E58" s="4">
        <f>HLOOKUP($D$5,'Syndicats comptes 2021'!$E$3:$AF$167,52,0)</f>
        <v>0</v>
      </c>
    </row>
    <row r="59" spans="2:5" x14ac:dyDescent="0.25">
      <c r="E59" s="4"/>
    </row>
    <row r="60" spans="2:5" x14ac:dyDescent="0.25">
      <c r="B60" s="76">
        <v>38</v>
      </c>
      <c r="C60" s="76"/>
      <c r="D60" s="76" t="s">
        <v>121</v>
      </c>
      <c r="E60" s="77">
        <f>HLOOKUP($D$5,'Syndicats comptes 2021'!$E$3:$AF$167,54,0)</f>
        <v>0</v>
      </c>
    </row>
    <row r="61" spans="2:5" x14ac:dyDescent="0.25">
      <c r="C61">
        <v>380</v>
      </c>
      <c r="D61" t="s">
        <v>122</v>
      </c>
      <c r="E61" s="4">
        <f>HLOOKUP($D$5,'Syndicats comptes 2021'!$E$3:$AF$167,55,0)</f>
        <v>0</v>
      </c>
    </row>
    <row r="62" spans="2:5" x14ac:dyDescent="0.25">
      <c r="C62">
        <v>381</v>
      </c>
      <c r="D62" t="s">
        <v>123</v>
      </c>
      <c r="E62" s="4">
        <f>HLOOKUP($D$5,'Syndicats comptes 2021'!$E$3:$AF$167,56,0)</f>
        <v>0</v>
      </c>
    </row>
    <row r="63" spans="2:5" x14ac:dyDescent="0.25">
      <c r="C63">
        <v>384</v>
      </c>
      <c r="D63" t="s">
        <v>124</v>
      </c>
      <c r="E63" s="4">
        <f>HLOOKUP($D$5,'Syndicats comptes 2021'!$E$3:$AF$167,57,0)</f>
        <v>0</v>
      </c>
    </row>
    <row r="64" spans="2:5" x14ac:dyDescent="0.25">
      <c r="C64">
        <v>385</v>
      </c>
      <c r="D64" t="s">
        <v>125</v>
      </c>
      <c r="E64" s="4">
        <f>HLOOKUP($D$5,'Syndicats comptes 2021'!$E$3:$AF$167,58,0)</f>
        <v>0</v>
      </c>
    </row>
    <row r="65" spans="1:5" x14ac:dyDescent="0.25">
      <c r="C65">
        <v>386</v>
      </c>
      <c r="D65" t="s">
        <v>126</v>
      </c>
      <c r="E65" s="4">
        <f>HLOOKUP($D$5,'Syndicats comptes 2021'!$E$3:$AF$167,59,0)</f>
        <v>0</v>
      </c>
    </row>
    <row r="66" spans="1:5" x14ac:dyDescent="0.25">
      <c r="C66">
        <v>389</v>
      </c>
      <c r="D66" t="s">
        <v>290</v>
      </c>
      <c r="E66" s="4">
        <f>HLOOKUP($D$5,'Syndicats comptes 2021'!$E$3:$AF$167,60,0)</f>
        <v>0</v>
      </c>
    </row>
    <row r="67" spans="1:5" x14ac:dyDescent="0.25">
      <c r="E67" s="4"/>
    </row>
    <row r="68" spans="1:5" x14ac:dyDescent="0.25">
      <c r="B68" s="76">
        <v>39</v>
      </c>
      <c r="C68" s="76"/>
      <c r="D68" s="76" t="s">
        <v>128</v>
      </c>
      <c r="E68" s="77">
        <f>HLOOKUP($D$5,'Syndicats comptes 2021'!$E$3:$AF$167,62,0)</f>
        <v>0</v>
      </c>
    </row>
    <row r="69" spans="1:5" x14ac:dyDescent="0.25">
      <c r="C69">
        <v>390</v>
      </c>
      <c r="D69" t="s">
        <v>129</v>
      </c>
      <c r="E69" s="4">
        <f>HLOOKUP($D$5,'Syndicats comptes 2021'!$E$3:$AF$167,63,0)</f>
        <v>0</v>
      </c>
    </row>
    <row r="70" spans="1:5" x14ac:dyDescent="0.25">
      <c r="C70">
        <v>391</v>
      </c>
      <c r="D70" t="s">
        <v>130</v>
      </c>
      <c r="E70" s="4">
        <f>HLOOKUP($D$5,'Syndicats comptes 2021'!$E$3:$AF$167,64,0)</f>
        <v>0</v>
      </c>
    </row>
    <row r="71" spans="1:5" x14ac:dyDescent="0.25">
      <c r="C71">
        <v>392</v>
      </c>
      <c r="D71" t="s">
        <v>131</v>
      </c>
      <c r="E71" s="4">
        <f>HLOOKUP($D$5,'Syndicats comptes 2021'!$E$3:$AF$167,65,0)</f>
        <v>0</v>
      </c>
    </row>
    <row r="72" spans="1:5" x14ac:dyDescent="0.25">
      <c r="C72">
        <v>393</v>
      </c>
      <c r="D72" t="s">
        <v>132</v>
      </c>
      <c r="E72" s="4">
        <f>HLOOKUP($D$5,'Syndicats comptes 2021'!$E$3:$AF$167,66,0)</f>
        <v>0</v>
      </c>
    </row>
    <row r="73" spans="1:5" x14ac:dyDescent="0.25">
      <c r="C73">
        <v>394</v>
      </c>
      <c r="D73" t="s">
        <v>133</v>
      </c>
      <c r="E73" s="4">
        <f>HLOOKUP($D$5,'Syndicats comptes 2021'!$E$3:$AF$167,67,0)</f>
        <v>0</v>
      </c>
    </row>
    <row r="74" spans="1:5" x14ac:dyDescent="0.25">
      <c r="C74">
        <v>395</v>
      </c>
      <c r="D74" t="s">
        <v>134</v>
      </c>
      <c r="E74" s="4">
        <f>HLOOKUP($D$5,'Syndicats comptes 2021'!$E$3:$AF$167,68,0)</f>
        <v>0</v>
      </c>
    </row>
    <row r="75" spans="1:5" x14ac:dyDescent="0.25">
      <c r="C75">
        <v>398</v>
      </c>
      <c r="D75" t="s">
        <v>135</v>
      </c>
      <c r="E75" s="4">
        <f>HLOOKUP($D$5,'Syndicats comptes 2021'!$E$3:$AF$167,69,0)</f>
        <v>0</v>
      </c>
    </row>
    <row r="76" spans="1:5" x14ac:dyDescent="0.25">
      <c r="C76">
        <v>399</v>
      </c>
      <c r="D76" t="s">
        <v>136</v>
      </c>
      <c r="E76" s="4">
        <f>HLOOKUP($D$5,'Syndicats comptes 2021'!$E$3:$AF$167,70,0)</f>
        <v>0</v>
      </c>
    </row>
    <row r="77" spans="1:5" x14ac:dyDescent="0.25">
      <c r="E77" s="4"/>
    </row>
    <row r="78" spans="1:5" x14ac:dyDescent="0.25">
      <c r="E78" s="4"/>
    </row>
    <row r="79" spans="1:5" ht="21" x14ac:dyDescent="0.35">
      <c r="A79" s="80">
        <v>4</v>
      </c>
      <c r="B79" s="80"/>
      <c r="C79" s="80"/>
      <c r="D79" s="80" t="s">
        <v>137</v>
      </c>
      <c r="E79" s="140">
        <f>HLOOKUP($D$5,'Syndicats comptes 2021'!$E$3:$AF$167,73,0)</f>
        <v>325122.65000000002</v>
      </c>
    </row>
    <row r="80" spans="1:5" x14ac:dyDescent="0.25">
      <c r="A80" s="7"/>
      <c r="B80" s="78">
        <v>40</v>
      </c>
      <c r="C80" s="78"/>
      <c r="D80" s="78" t="s">
        <v>79</v>
      </c>
      <c r="E80" s="73">
        <f>HLOOKUP($D$5,'Syndicats comptes 2021'!$E$3:$AF$167,74,0)</f>
        <v>0</v>
      </c>
    </row>
    <row r="81" spans="2:5" x14ac:dyDescent="0.25">
      <c r="C81">
        <v>400</v>
      </c>
      <c r="D81" t="s">
        <v>138</v>
      </c>
      <c r="E81" s="4">
        <f>HLOOKUP($D$5,'Syndicats comptes 2021'!$E$3:$AF$167,75,0)</f>
        <v>0</v>
      </c>
    </row>
    <row r="82" spans="2:5" x14ac:dyDescent="0.25">
      <c r="C82">
        <v>401</v>
      </c>
      <c r="D82" t="s">
        <v>139</v>
      </c>
      <c r="E82" s="4">
        <f>HLOOKUP($D$5,'Syndicats comptes 2021'!$E$3:$AF$167,76,0)</f>
        <v>0</v>
      </c>
    </row>
    <row r="83" spans="2:5" x14ac:dyDescent="0.25">
      <c r="C83">
        <v>402</v>
      </c>
      <c r="D83" t="s">
        <v>140</v>
      </c>
      <c r="E83" s="4">
        <f>HLOOKUP($D$5,'Syndicats comptes 2021'!$E$3:$AF$167,77,0)</f>
        <v>0</v>
      </c>
    </row>
    <row r="84" spans="2:5" x14ac:dyDescent="0.25">
      <c r="C84">
        <v>403</v>
      </c>
      <c r="D84" t="s">
        <v>141</v>
      </c>
      <c r="E84" s="4">
        <f>HLOOKUP($D$5,'Syndicats comptes 2021'!$E$3:$AF$167,78,0)</f>
        <v>0</v>
      </c>
    </row>
    <row r="85" spans="2:5" x14ac:dyDescent="0.25">
      <c r="E85" s="4"/>
    </row>
    <row r="86" spans="2:5" x14ac:dyDescent="0.25">
      <c r="B86" s="78">
        <v>41</v>
      </c>
      <c r="C86" s="78"/>
      <c r="D86" s="78" t="s">
        <v>142</v>
      </c>
      <c r="E86" s="73">
        <f>HLOOKUP($D$5,'Syndicats comptes 2021'!$E$3:$AF$167,80,0)</f>
        <v>0</v>
      </c>
    </row>
    <row r="87" spans="2:5" x14ac:dyDescent="0.25">
      <c r="C87">
        <v>410</v>
      </c>
      <c r="D87" t="s">
        <v>143</v>
      </c>
      <c r="E87" s="4">
        <f>HLOOKUP($D$5,'Syndicats comptes 2021'!$E$3:$AF$167,81,0)</f>
        <v>0</v>
      </c>
    </row>
    <row r="88" spans="2:5" x14ac:dyDescent="0.25">
      <c r="C88">
        <v>411</v>
      </c>
      <c r="D88" t="s">
        <v>144</v>
      </c>
      <c r="E88" s="4">
        <f>HLOOKUP($D$5,'Syndicats comptes 2021'!$E$3:$AF$167,82,0)</f>
        <v>0</v>
      </c>
    </row>
    <row r="89" spans="2:5" x14ac:dyDescent="0.25">
      <c r="C89">
        <v>412</v>
      </c>
      <c r="D89" t="s">
        <v>145</v>
      </c>
      <c r="E89" s="4">
        <f>HLOOKUP($D$5,'Syndicats comptes 2021'!$E$3:$AF$167,83,0)</f>
        <v>0</v>
      </c>
    </row>
    <row r="90" spans="2:5" x14ac:dyDescent="0.25">
      <c r="C90">
        <v>413</v>
      </c>
      <c r="D90" t="s">
        <v>146</v>
      </c>
      <c r="E90" s="4">
        <f>HLOOKUP($D$5,'Syndicats comptes 2021'!$E$3:$AF$167,84,0)</f>
        <v>0</v>
      </c>
    </row>
    <row r="91" spans="2:5" x14ac:dyDescent="0.25">
      <c r="E91" s="4"/>
    </row>
    <row r="92" spans="2:5" x14ac:dyDescent="0.25">
      <c r="B92" s="78">
        <v>42</v>
      </c>
      <c r="C92" s="78"/>
      <c r="D92" s="78" t="s">
        <v>147</v>
      </c>
      <c r="E92" s="73">
        <f>HLOOKUP($D$5,'Syndicats comptes 2021'!$E$3:$AF$167,86,0)</f>
        <v>0</v>
      </c>
    </row>
    <row r="93" spans="2:5" x14ac:dyDescent="0.25">
      <c r="C93">
        <v>420</v>
      </c>
      <c r="D93" t="s">
        <v>148</v>
      </c>
      <c r="E93" s="4">
        <f>HLOOKUP($D$5,'Syndicats comptes 2021'!$E$3:$AF$167,87,0)</f>
        <v>0</v>
      </c>
    </row>
    <row r="94" spans="2:5" x14ac:dyDescent="0.25">
      <c r="C94">
        <v>421</v>
      </c>
      <c r="D94" t="s">
        <v>149</v>
      </c>
      <c r="E94" s="4">
        <f>HLOOKUP($D$5,'Syndicats comptes 2021'!$E$3:$AF$167,88,0)</f>
        <v>0</v>
      </c>
    </row>
    <row r="95" spans="2:5" x14ac:dyDescent="0.25">
      <c r="C95">
        <v>422</v>
      </c>
      <c r="D95" t="s">
        <v>150</v>
      </c>
      <c r="E95" s="4">
        <f>HLOOKUP($D$5,'Syndicats comptes 2021'!$E$3:$AF$167,89,0)</f>
        <v>0</v>
      </c>
    </row>
    <row r="96" spans="2:5" x14ac:dyDescent="0.25">
      <c r="C96">
        <v>423</v>
      </c>
      <c r="D96" t="s">
        <v>151</v>
      </c>
      <c r="E96" s="4">
        <f>HLOOKUP($D$5,'Syndicats comptes 2021'!$E$3:$AF$167,90,0)</f>
        <v>0</v>
      </c>
    </row>
    <row r="97" spans="2:5" x14ac:dyDescent="0.25">
      <c r="C97">
        <v>424</v>
      </c>
      <c r="D97" t="s">
        <v>152</v>
      </c>
      <c r="E97" s="4">
        <f>HLOOKUP($D$5,'Syndicats comptes 2021'!$E$3:$AF$167,91,0)</f>
        <v>0</v>
      </c>
    </row>
    <row r="98" spans="2:5" x14ac:dyDescent="0.25">
      <c r="C98">
        <v>425</v>
      </c>
      <c r="D98" t="s">
        <v>153</v>
      </c>
      <c r="E98" s="4">
        <f>HLOOKUP($D$5,'Syndicats comptes 2021'!$E$3:$AF$167,92,0)</f>
        <v>0</v>
      </c>
    </row>
    <row r="99" spans="2:5" x14ac:dyDescent="0.25">
      <c r="C99">
        <v>426</v>
      </c>
      <c r="D99" t="s">
        <v>154</v>
      </c>
      <c r="E99" s="4">
        <f>HLOOKUP($D$5,'Syndicats comptes 2021'!$E$3:$AF$167,93,0)</f>
        <v>0</v>
      </c>
    </row>
    <row r="100" spans="2:5" x14ac:dyDescent="0.25">
      <c r="C100">
        <v>427</v>
      </c>
      <c r="D100" t="s">
        <v>155</v>
      </c>
      <c r="E100" s="4">
        <f>HLOOKUP($D$5,'Syndicats comptes 2021'!$E$3:$AF$167,94,0)</f>
        <v>0</v>
      </c>
    </row>
    <row r="101" spans="2:5" x14ac:dyDescent="0.25">
      <c r="C101">
        <v>429</v>
      </c>
      <c r="D101" t="s">
        <v>156</v>
      </c>
      <c r="E101" s="4">
        <f>HLOOKUP($D$5,'Syndicats comptes 2021'!$E$3:$AF$167,95,0)</f>
        <v>0</v>
      </c>
    </row>
    <row r="102" spans="2:5" x14ac:dyDescent="0.25">
      <c r="E102" s="4"/>
    </row>
    <row r="103" spans="2:5" x14ac:dyDescent="0.25">
      <c r="B103" s="78">
        <v>43</v>
      </c>
      <c r="C103" s="78"/>
      <c r="D103" s="78" t="s">
        <v>157</v>
      </c>
      <c r="E103" s="73">
        <f>HLOOKUP($D$5,'Syndicats comptes 2021'!$E$3:$AF$167,97,0)</f>
        <v>0</v>
      </c>
    </row>
    <row r="104" spans="2:5" x14ac:dyDescent="0.25">
      <c r="C104">
        <v>430</v>
      </c>
      <c r="D104" t="s">
        <v>158</v>
      </c>
      <c r="E104" s="4">
        <f>HLOOKUP($D$5,'Syndicats comptes 2021'!$E$3:$AF$167,98,0)</f>
        <v>0</v>
      </c>
    </row>
    <row r="105" spans="2:5" x14ac:dyDescent="0.25">
      <c r="C105">
        <v>431</v>
      </c>
      <c r="D105" t="s">
        <v>159</v>
      </c>
      <c r="E105" s="4">
        <f>HLOOKUP($D$5,'Syndicats comptes 2021'!$E$3:$AF$167,99,0)</f>
        <v>0</v>
      </c>
    </row>
    <row r="106" spans="2:5" x14ac:dyDescent="0.25">
      <c r="C106">
        <v>432</v>
      </c>
      <c r="D106" t="s">
        <v>160</v>
      </c>
      <c r="E106" s="4">
        <f>HLOOKUP($D$5,'Syndicats comptes 2021'!$E$3:$AF$167,100,0)</f>
        <v>0</v>
      </c>
    </row>
    <row r="107" spans="2:5" x14ac:dyDescent="0.25">
      <c r="C107">
        <v>439</v>
      </c>
      <c r="D107" t="s">
        <v>161</v>
      </c>
      <c r="E107" s="4">
        <f>HLOOKUP($D$5,'Syndicats comptes 2021'!$E$3:$AF$167,101,0)</f>
        <v>0</v>
      </c>
    </row>
    <row r="108" spans="2:5" x14ac:dyDescent="0.25">
      <c r="E108" s="4"/>
    </row>
    <row r="109" spans="2:5" x14ac:dyDescent="0.25">
      <c r="B109" s="78">
        <v>44</v>
      </c>
      <c r="C109" s="78"/>
      <c r="D109" s="78" t="s">
        <v>162</v>
      </c>
      <c r="E109" s="73">
        <f>HLOOKUP($D$5,'Syndicats comptes 2021'!$E$3:$AF$167,103,0)</f>
        <v>0</v>
      </c>
    </row>
    <row r="110" spans="2:5" x14ac:dyDescent="0.25">
      <c r="C110">
        <v>440</v>
      </c>
      <c r="D110" t="s">
        <v>163</v>
      </c>
      <c r="E110" s="4">
        <f>HLOOKUP($D$5,'Syndicats comptes 2021'!$E$3:$AF$167,104,0)</f>
        <v>0</v>
      </c>
    </row>
    <row r="111" spans="2:5" x14ac:dyDescent="0.25">
      <c r="C111">
        <v>441</v>
      </c>
      <c r="D111" t="s">
        <v>164</v>
      </c>
      <c r="E111" s="4">
        <f>HLOOKUP($D$5,'Syndicats comptes 2021'!$E$3:$AF$167,105,0)</f>
        <v>0</v>
      </c>
    </row>
    <row r="112" spans="2:5" x14ac:dyDescent="0.25">
      <c r="C112">
        <v>442</v>
      </c>
      <c r="D112" t="s">
        <v>165</v>
      </c>
      <c r="E112" s="4">
        <f>HLOOKUP($D$5,'Syndicats comptes 2021'!$E$3:$AF$167,106,0)</f>
        <v>0</v>
      </c>
    </row>
    <row r="113" spans="2:5" x14ac:dyDescent="0.25">
      <c r="C113">
        <v>443</v>
      </c>
      <c r="D113" t="s">
        <v>166</v>
      </c>
      <c r="E113" s="4">
        <f>HLOOKUP($D$5,'Syndicats comptes 2021'!$E$3:$AF$167,107,0)</f>
        <v>0</v>
      </c>
    </row>
    <row r="114" spans="2:5" x14ac:dyDescent="0.25">
      <c r="C114">
        <v>444</v>
      </c>
      <c r="D114" t="s">
        <v>106</v>
      </c>
      <c r="E114" s="4">
        <f>HLOOKUP($D$5,'Syndicats comptes 2021'!$E$3:$AF$167,108,0)</f>
        <v>0</v>
      </c>
    </row>
    <row r="115" spans="2:5" x14ac:dyDescent="0.25">
      <c r="C115">
        <v>445</v>
      </c>
      <c r="D115" t="s">
        <v>167</v>
      </c>
      <c r="E115" s="4">
        <f>HLOOKUP($D$5,'Syndicats comptes 2021'!$E$3:$AF$167,109,0)</f>
        <v>0</v>
      </c>
    </row>
    <row r="116" spans="2:5" x14ac:dyDescent="0.25">
      <c r="C116">
        <v>446</v>
      </c>
      <c r="D116" t="s">
        <v>168</v>
      </c>
      <c r="E116" s="4">
        <f>HLOOKUP($D$5,'Syndicats comptes 2021'!$E$3:$AF$167,110,0)</f>
        <v>0</v>
      </c>
    </row>
    <row r="117" spans="2:5" x14ac:dyDescent="0.25">
      <c r="C117">
        <v>447</v>
      </c>
      <c r="D117" t="s">
        <v>169</v>
      </c>
      <c r="E117" s="4">
        <f>HLOOKUP($D$5,'Syndicats comptes 2021'!$E$3:$AF$167,111,0)</f>
        <v>0</v>
      </c>
    </row>
    <row r="118" spans="2:5" x14ac:dyDescent="0.25">
      <c r="C118">
        <v>448</v>
      </c>
      <c r="D118" t="s">
        <v>170</v>
      </c>
      <c r="E118" s="4">
        <f>HLOOKUP($D$5,'Syndicats comptes 2021'!$E$3:$AF$167,112,0)</f>
        <v>0</v>
      </c>
    </row>
    <row r="119" spans="2:5" x14ac:dyDescent="0.25">
      <c r="C119">
        <v>449</v>
      </c>
      <c r="D119" t="s">
        <v>171</v>
      </c>
      <c r="E119" s="4">
        <f>HLOOKUP($D$5,'Syndicats comptes 2021'!$E$3:$AF$167,113,0)</f>
        <v>0</v>
      </c>
    </row>
    <row r="120" spans="2:5" x14ac:dyDescent="0.25">
      <c r="E120" s="4"/>
    </row>
    <row r="121" spans="2:5" x14ac:dyDescent="0.25">
      <c r="B121" s="78">
        <v>45</v>
      </c>
      <c r="C121" s="78"/>
      <c r="D121" s="78" t="s">
        <v>174</v>
      </c>
      <c r="E121" s="73">
        <f>HLOOKUP($D$5,'Syndicats comptes 2021'!$E$3:$AF$167,115,0)</f>
        <v>125096</v>
      </c>
    </row>
    <row r="122" spans="2:5" x14ac:dyDescent="0.25">
      <c r="C122">
        <v>450</v>
      </c>
      <c r="D122" t="s">
        <v>172</v>
      </c>
      <c r="E122" s="4">
        <f>HLOOKUP($D$5,'Syndicats comptes 2021'!$E$3:$AF$167,116,0)</f>
        <v>0</v>
      </c>
    </row>
    <row r="123" spans="2:5" x14ac:dyDescent="0.25">
      <c r="C123">
        <v>451</v>
      </c>
      <c r="D123" t="s">
        <v>173</v>
      </c>
      <c r="E123" s="4">
        <f>HLOOKUP($D$5,'Syndicats comptes 2021'!$E$3:$AF$167,117,0)</f>
        <v>125096</v>
      </c>
    </row>
    <row r="124" spans="2:5" x14ac:dyDescent="0.25">
      <c r="E124" s="4"/>
    </row>
    <row r="125" spans="2:5" x14ac:dyDescent="0.25">
      <c r="B125" s="78">
        <v>46</v>
      </c>
      <c r="C125" s="78"/>
      <c r="D125" s="78" t="s">
        <v>175</v>
      </c>
      <c r="E125" s="73">
        <f>HLOOKUP($D$5,'Syndicats comptes 2021'!$E$3:$AF$167,119,0)</f>
        <v>200026.65</v>
      </c>
    </row>
    <row r="126" spans="2:5" x14ac:dyDescent="0.25">
      <c r="C126">
        <v>460</v>
      </c>
      <c r="D126" t="s">
        <v>176</v>
      </c>
      <c r="E126" s="4">
        <f>HLOOKUP($D$5,'Syndicats comptes 2021'!$E$3:$AF$167,120,0)</f>
        <v>0</v>
      </c>
    </row>
    <row r="127" spans="2:5" x14ac:dyDescent="0.25">
      <c r="C127">
        <v>461</v>
      </c>
      <c r="D127" t="s">
        <v>177</v>
      </c>
      <c r="E127" s="4">
        <f>HLOOKUP($D$5,'Syndicats comptes 2021'!$E$3:$AF$167,121,0)</f>
        <v>190414.65</v>
      </c>
    </row>
    <row r="128" spans="2:5" x14ac:dyDescent="0.25">
      <c r="C128">
        <v>462</v>
      </c>
      <c r="D128" t="s">
        <v>113</v>
      </c>
      <c r="E128" s="4">
        <f>HLOOKUP($D$5,'Syndicats comptes 2021'!$E$3:$AF$167,122,0)</f>
        <v>0</v>
      </c>
    </row>
    <row r="129" spans="2:5" x14ac:dyDescent="0.25">
      <c r="C129">
        <v>463</v>
      </c>
      <c r="D129" t="s">
        <v>178</v>
      </c>
      <c r="E129" s="4">
        <f>HLOOKUP($D$5,'Syndicats comptes 2021'!$E$3:$AF$167,123,0)</f>
        <v>0</v>
      </c>
    </row>
    <row r="130" spans="2:5" x14ac:dyDescent="0.25">
      <c r="C130">
        <v>469</v>
      </c>
      <c r="D130" t="s">
        <v>179</v>
      </c>
      <c r="E130" s="4">
        <f>HLOOKUP($D$5,'Syndicats comptes 2021'!$E$3:$AF$167,124,0)</f>
        <v>9612</v>
      </c>
    </row>
    <row r="131" spans="2:5" x14ac:dyDescent="0.25">
      <c r="E131" s="4"/>
    </row>
    <row r="132" spans="2:5" x14ac:dyDescent="0.25">
      <c r="B132" s="78">
        <v>47</v>
      </c>
      <c r="C132" s="78"/>
      <c r="D132" s="78" t="s">
        <v>119</v>
      </c>
      <c r="E132" s="73">
        <f>HLOOKUP($D$5,'Syndicats comptes 2021'!$E$3:$AF$167,126,0)</f>
        <v>0</v>
      </c>
    </row>
    <row r="133" spans="2:5" x14ac:dyDescent="0.25">
      <c r="C133">
        <v>470</v>
      </c>
      <c r="D133" t="s">
        <v>180</v>
      </c>
      <c r="E133" s="4">
        <f>HLOOKUP($D$5,'Syndicats comptes 2021'!$E$3:$AF$167,127,0)</f>
        <v>0</v>
      </c>
    </row>
    <row r="134" spans="2:5" x14ac:dyDescent="0.25">
      <c r="E134" s="4"/>
    </row>
    <row r="135" spans="2:5" x14ac:dyDescent="0.25">
      <c r="B135" s="78">
        <v>48</v>
      </c>
      <c r="C135" s="78"/>
      <c r="D135" s="78" t="s">
        <v>181</v>
      </c>
      <c r="E135" s="73">
        <f>HLOOKUP($D$5,'Syndicats comptes 2021'!$E$3:$AF$167,129,0)</f>
        <v>0</v>
      </c>
    </row>
    <row r="136" spans="2:5" x14ac:dyDescent="0.25">
      <c r="C136">
        <v>481</v>
      </c>
      <c r="D136" t="s">
        <v>182</v>
      </c>
      <c r="E136" s="4">
        <f>HLOOKUP($D$5,'Syndicats comptes 2021'!$E$3:$AF$167,130,0)</f>
        <v>0</v>
      </c>
    </row>
    <row r="137" spans="2:5" x14ac:dyDescent="0.25">
      <c r="C137">
        <v>482</v>
      </c>
      <c r="D137" t="s">
        <v>183</v>
      </c>
      <c r="E137" s="4">
        <f>HLOOKUP($D$5,'Syndicats comptes 2021'!$E$3:$AF$167,131,0)</f>
        <v>0</v>
      </c>
    </row>
    <row r="138" spans="2:5" x14ac:dyDescent="0.25">
      <c r="C138">
        <v>483</v>
      </c>
      <c r="D138" t="s">
        <v>184</v>
      </c>
      <c r="E138" s="4">
        <f>HLOOKUP($D$5,'Syndicats comptes 2021'!$E$3:$AF$167,132,0)</f>
        <v>0</v>
      </c>
    </row>
    <row r="139" spans="2:5" x14ac:dyDescent="0.25">
      <c r="C139">
        <v>484</v>
      </c>
      <c r="D139" t="s">
        <v>185</v>
      </c>
      <c r="E139" s="4">
        <f>HLOOKUP($D$5,'Syndicats comptes 2021'!$E$3:$AF$167,133,0)</f>
        <v>0</v>
      </c>
    </row>
    <row r="140" spans="2:5" x14ac:dyDescent="0.25">
      <c r="C140">
        <v>485</v>
      </c>
      <c r="D140" t="s">
        <v>186</v>
      </c>
      <c r="E140" s="4">
        <f>HLOOKUP($D$5,'Syndicats comptes 2021'!$E$3:$AF$167,134,0)</f>
        <v>0</v>
      </c>
    </row>
    <row r="141" spans="2:5" x14ac:dyDescent="0.25">
      <c r="C141">
        <v>486</v>
      </c>
      <c r="D141" t="s">
        <v>187</v>
      </c>
      <c r="E141" s="4">
        <f>HLOOKUP($D$5,'Syndicats comptes 2021'!$E$3:$AF$167,135,0)</f>
        <v>0</v>
      </c>
    </row>
    <row r="142" spans="2:5" x14ac:dyDescent="0.25">
      <c r="C142">
        <v>489</v>
      </c>
      <c r="D142" t="s">
        <v>188</v>
      </c>
      <c r="E142" s="4">
        <f>HLOOKUP($D$5,'Syndicats comptes 2021'!$E$3:$AF$167,136,0)</f>
        <v>0</v>
      </c>
    </row>
    <row r="143" spans="2:5" x14ac:dyDescent="0.25">
      <c r="E143" s="4"/>
    </row>
    <row r="144" spans="2:5" x14ac:dyDescent="0.25">
      <c r="B144" s="78">
        <v>49</v>
      </c>
      <c r="C144" s="78"/>
      <c r="D144" s="78" t="s">
        <v>128</v>
      </c>
      <c r="E144" s="73">
        <f>HLOOKUP($D$5,'Syndicats comptes 2021'!$E$3:$AF$167,138,0)</f>
        <v>0</v>
      </c>
    </row>
    <row r="145" spans="1:5" x14ac:dyDescent="0.25">
      <c r="C145">
        <v>490</v>
      </c>
      <c r="D145" t="s">
        <v>129</v>
      </c>
      <c r="E145" s="4">
        <f>HLOOKUP($D$5,'Syndicats comptes 2021'!$E$3:$AF$167,139,0)</f>
        <v>0</v>
      </c>
    </row>
    <row r="146" spans="1:5" x14ac:dyDescent="0.25">
      <c r="C146">
        <v>491</v>
      </c>
      <c r="D146" t="s">
        <v>130</v>
      </c>
      <c r="E146" s="4">
        <f>HLOOKUP($D$5,'Syndicats comptes 2021'!$E$3:$AF$167,140,0)</f>
        <v>0</v>
      </c>
    </row>
    <row r="147" spans="1:5" x14ac:dyDescent="0.25">
      <c r="C147">
        <v>492</v>
      </c>
      <c r="D147" t="s">
        <v>189</v>
      </c>
      <c r="E147" s="4">
        <f>HLOOKUP($D$5,'Syndicats comptes 2021'!$E$3:$AF$167,141,0)</f>
        <v>0</v>
      </c>
    </row>
    <row r="148" spans="1:5" x14ac:dyDescent="0.25">
      <c r="C148">
        <v>493</v>
      </c>
      <c r="D148" t="s">
        <v>190</v>
      </c>
      <c r="E148" s="4">
        <f>HLOOKUP($D$5,'Syndicats comptes 2021'!$E$3:$AF$167,142,0)</f>
        <v>0</v>
      </c>
    </row>
    <row r="149" spans="1:5" x14ac:dyDescent="0.25">
      <c r="C149">
        <v>494</v>
      </c>
      <c r="D149" t="s">
        <v>133</v>
      </c>
      <c r="E149" s="4">
        <f>HLOOKUP($D$5,'Syndicats comptes 2021'!$E$3:$AF$167,143,0)</f>
        <v>0</v>
      </c>
    </row>
    <row r="150" spans="1:5" x14ac:dyDescent="0.25">
      <c r="C150">
        <v>495</v>
      </c>
      <c r="D150" t="s">
        <v>191</v>
      </c>
      <c r="E150" s="4">
        <f>HLOOKUP($D$5,'Syndicats comptes 2021'!$E$3:$AF$167,144,0)</f>
        <v>0</v>
      </c>
    </row>
    <row r="151" spans="1:5" x14ac:dyDescent="0.25">
      <c r="C151">
        <v>498</v>
      </c>
      <c r="D151" t="s">
        <v>192</v>
      </c>
      <c r="E151" s="4">
        <f>HLOOKUP($D$5,'Syndicats comptes 2021'!$E$3:$AF$167,145,0)</f>
        <v>0</v>
      </c>
    </row>
    <row r="152" spans="1:5" x14ac:dyDescent="0.25">
      <c r="C152">
        <v>499</v>
      </c>
      <c r="D152" t="s">
        <v>136</v>
      </c>
      <c r="E152" s="4">
        <f>HLOOKUP($D$5,'Syndicats comptes 2021'!$E$3:$AF$167,146,0)</f>
        <v>0</v>
      </c>
    </row>
    <row r="153" spans="1:5" x14ac:dyDescent="0.25">
      <c r="E153" s="4"/>
    </row>
    <row r="154" spans="1:5" x14ac:dyDescent="0.25">
      <c r="E154" s="4"/>
    </row>
    <row r="155" spans="1:5" x14ac:dyDescent="0.25">
      <c r="E155" s="4"/>
    </row>
    <row r="156" spans="1:5" x14ac:dyDescent="0.25">
      <c r="A156" s="88">
        <v>9</v>
      </c>
      <c r="B156" s="88"/>
      <c r="C156" s="88"/>
      <c r="D156" s="88" t="s">
        <v>194</v>
      </c>
      <c r="E156" s="90"/>
    </row>
    <row r="157" spans="1:5" x14ac:dyDescent="0.25">
      <c r="A157" s="88"/>
      <c r="B157" s="88">
        <v>90</v>
      </c>
      <c r="C157" s="88"/>
      <c r="D157" s="88" t="s">
        <v>195</v>
      </c>
      <c r="E157" s="90">
        <f>HLOOKUP($D$5,'Syndicats comptes 2021'!$E$3:$AF$167,151,0)</f>
        <v>-34288.879999999997</v>
      </c>
    </row>
    <row r="158" spans="1:5" x14ac:dyDescent="0.25">
      <c r="C158">
        <v>900</v>
      </c>
      <c r="D158" t="s">
        <v>196</v>
      </c>
      <c r="E158" s="4">
        <f>HLOOKUP($D$5,'Syndicats comptes 2021'!$E$3:$AF$167,152,0)</f>
        <v>-34288.879999999997</v>
      </c>
    </row>
    <row r="159" spans="1:5" x14ac:dyDescent="0.25">
      <c r="C159">
        <v>901</v>
      </c>
      <c r="D159" t="s">
        <v>197</v>
      </c>
      <c r="E159" s="4">
        <f>HLOOKUP($D$5,'Syndicats comptes 2021'!$E$3:$AF$167,153,0)</f>
        <v>0</v>
      </c>
    </row>
    <row r="160" spans="1:5" x14ac:dyDescent="0.25">
      <c r="E160" s="4"/>
    </row>
    <row r="161" spans="4:5" x14ac:dyDescent="0.25">
      <c r="D161" s="7" t="s">
        <v>198</v>
      </c>
      <c r="E161" s="4">
        <f>HLOOKUP($D$5,'Syndicats comptes 2021'!$E$3:$AF$167,155,0)</f>
        <v>-34288.879999999997</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400-000000000000}">
          <x14:formula1>
            <xm:f>'Syndicats comptes 2021'!$E$3:$AF$3</xm:f>
          </x14:formula1>
          <xm:sqref>D5</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FF0000"/>
  </sheetPr>
  <dimension ref="A1:C8"/>
  <sheetViews>
    <sheetView workbookViewId="0">
      <selection activeCell="C6" sqref="C6"/>
    </sheetView>
  </sheetViews>
  <sheetFormatPr baseColWidth="10" defaultColWidth="11.42578125" defaultRowHeight="15" x14ac:dyDescent="0.25"/>
  <cols>
    <col min="1" max="1" width="9.140625" customWidth="1"/>
    <col min="2" max="2" width="38.5703125" customWidth="1"/>
    <col min="3" max="3" width="22.85546875" customWidth="1"/>
  </cols>
  <sheetData>
    <row r="1" spans="1:3" ht="26.25" x14ac:dyDescent="0.4">
      <c r="A1" s="32" t="s">
        <v>839</v>
      </c>
    </row>
    <row r="3" spans="1:3" x14ac:dyDescent="0.25">
      <c r="A3" s="7" t="s">
        <v>827</v>
      </c>
    </row>
    <row r="5" spans="1:3" x14ac:dyDescent="0.25">
      <c r="A5" s="39" t="s">
        <v>216</v>
      </c>
      <c r="B5" s="39" t="s">
        <v>201</v>
      </c>
      <c r="C5" s="39" t="s">
        <v>840</v>
      </c>
    </row>
    <row r="6" spans="1:3" x14ac:dyDescent="0.25">
      <c r="A6" s="40">
        <v>90</v>
      </c>
      <c r="B6" s="41" t="s">
        <v>218</v>
      </c>
      <c r="C6" s="44">
        <f>'Syndicats comptes 2021'!AF153</f>
        <v>254779.16999999995</v>
      </c>
    </row>
    <row r="7" spans="1:3" x14ac:dyDescent="0.25">
      <c r="A7" s="40">
        <v>900</v>
      </c>
      <c r="B7" s="41" t="s">
        <v>219</v>
      </c>
      <c r="C7" s="44">
        <f>'Syndicats comptes 2021'!AF154</f>
        <v>171133.39999999997</v>
      </c>
    </row>
    <row r="8" spans="1:3" x14ac:dyDescent="0.25">
      <c r="A8" s="40">
        <v>901</v>
      </c>
      <c r="B8" s="41" t="s">
        <v>220</v>
      </c>
      <c r="C8" s="44">
        <f>'Syndicats comptes 2021'!AF155</f>
        <v>83645.76999999999</v>
      </c>
    </row>
  </sheetData>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FF0000"/>
  </sheetPr>
  <dimension ref="A1:C16"/>
  <sheetViews>
    <sheetView workbookViewId="0">
      <selection activeCell="B5" sqref="B5"/>
    </sheetView>
  </sheetViews>
  <sheetFormatPr baseColWidth="10" defaultColWidth="11.42578125" defaultRowHeight="15" x14ac:dyDescent="0.25"/>
  <cols>
    <col min="1" max="1" width="9.28515625" customWidth="1"/>
    <col min="2" max="2" width="39.7109375" customWidth="1"/>
    <col min="3" max="3" width="27.85546875" customWidth="1"/>
    <col min="4" max="4" width="23" customWidth="1"/>
  </cols>
  <sheetData>
    <row r="1" spans="1:3" ht="26.25" x14ac:dyDescent="0.4">
      <c r="A1" s="32" t="s">
        <v>860</v>
      </c>
    </row>
    <row r="4" spans="1:3" ht="15.75" thickBot="1" x14ac:dyDescent="0.3">
      <c r="B4" t="s">
        <v>828</v>
      </c>
    </row>
    <row r="5" spans="1:3" ht="15.75" thickBot="1" x14ac:dyDescent="0.3">
      <c r="B5" s="142" t="s">
        <v>826</v>
      </c>
    </row>
    <row r="8" spans="1:3" x14ac:dyDescent="0.25">
      <c r="A8" s="39" t="s">
        <v>216</v>
      </c>
      <c r="B8" s="39" t="s">
        <v>201</v>
      </c>
      <c r="C8" s="39" t="s">
        <v>840</v>
      </c>
    </row>
    <row r="9" spans="1:3" x14ac:dyDescent="0.25">
      <c r="A9" s="40">
        <v>90</v>
      </c>
      <c r="B9" s="41" t="s">
        <v>218</v>
      </c>
      <c r="C9" s="44">
        <f>HLOOKUP($B$5,'Syndicats comptes 2021'!$E$3:$AF$168,151,0)</f>
        <v>-34288.879999999997</v>
      </c>
    </row>
    <row r="10" spans="1:3" x14ac:dyDescent="0.25">
      <c r="A10" s="40">
        <v>900</v>
      </c>
      <c r="B10" s="41" t="s">
        <v>219</v>
      </c>
      <c r="C10" s="44">
        <f>HLOOKUP($B$5,'Syndicats comptes 2021'!$E$3:$AF$168,152,0)</f>
        <v>-34288.879999999997</v>
      </c>
    </row>
    <row r="11" spans="1:3" x14ac:dyDescent="0.25">
      <c r="A11" s="40">
        <v>901</v>
      </c>
      <c r="B11" s="41" t="s">
        <v>220</v>
      </c>
      <c r="C11" s="44">
        <f>HLOOKUP($B$5,'Syndicats comptes 2021'!$E$3:$AF$168,153,0)</f>
        <v>0</v>
      </c>
    </row>
    <row r="13" spans="1:3" x14ac:dyDescent="0.25">
      <c r="C13" s="1"/>
    </row>
    <row r="14" spans="1:3" x14ac:dyDescent="0.25">
      <c r="C14" s="4"/>
    </row>
    <row r="15" spans="1:3" x14ac:dyDescent="0.25">
      <c r="C15" s="4"/>
    </row>
    <row r="16" spans="1:3" x14ac:dyDescent="0.25">
      <c r="C16" s="4"/>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600-000000000000}">
          <x14:formula1>
            <xm:f>'Syndicats comptes 2021'!$E$3:$AF$3</xm:f>
          </x14:formula1>
          <xm:sqref>B5</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FF0000"/>
  </sheetPr>
  <dimension ref="A1:C22"/>
  <sheetViews>
    <sheetView workbookViewId="0">
      <selection activeCell="A6" sqref="A6"/>
    </sheetView>
  </sheetViews>
  <sheetFormatPr baseColWidth="10" defaultColWidth="11.42578125" defaultRowHeight="15" x14ac:dyDescent="0.25"/>
  <cols>
    <col min="1" max="1" width="22.7109375" customWidth="1"/>
    <col min="2" max="2" width="34.42578125" customWidth="1"/>
    <col min="3" max="3" width="23" customWidth="1"/>
  </cols>
  <sheetData>
    <row r="1" spans="1:3" ht="26.25" x14ac:dyDescent="0.4">
      <c r="A1" s="32" t="s">
        <v>842</v>
      </c>
    </row>
    <row r="4" spans="1:3" x14ac:dyDescent="0.25">
      <c r="A4" s="7" t="s">
        <v>827</v>
      </c>
    </row>
    <row r="5" spans="1:3" x14ac:dyDescent="0.25">
      <c r="A5" s="7" t="s">
        <v>843</v>
      </c>
    </row>
    <row r="7" spans="1:3" x14ac:dyDescent="0.25">
      <c r="A7" s="39" t="s">
        <v>200</v>
      </c>
      <c r="B7" s="39" t="s">
        <v>201</v>
      </c>
      <c r="C7" s="39" t="s">
        <v>202</v>
      </c>
    </row>
    <row r="8" spans="1:3" x14ac:dyDescent="0.25">
      <c r="A8" s="40" t="s">
        <v>209</v>
      </c>
      <c r="B8" s="41" t="s">
        <v>203</v>
      </c>
      <c r="C8" s="44">
        <f>'Syndicats comptes 2021'!AF5+'Syndicats comptes 2021'!AF15+'Syndicats comptes 2021'!AF27+'Syndicats comptes 2021'!AF39+'Syndicats comptes 2021'!AF43+'Syndicats comptes 2021'!AF53</f>
        <v>30182502.570000004</v>
      </c>
    </row>
    <row r="9" spans="1:3" x14ac:dyDescent="0.25">
      <c r="A9" s="40" t="s">
        <v>210</v>
      </c>
      <c r="B9" s="41" t="s">
        <v>204</v>
      </c>
      <c r="C9" s="44">
        <f>'Syndicats comptes 2021'!AF76+'Syndicats comptes 2021'!AF82+'Syndicats comptes 2021'!AF88+'Syndicats comptes 2021'!AF99+'Syndicats comptes 2021'!AF117+'Syndicats comptes 2021'!AF121+'Syndicats comptes 2021'!AF128</f>
        <v>31705145.970000003</v>
      </c>
    </row>
    <row r="10" spans="1:3" x14ac:dyDescent="0.25">
      <c r="A10" s="41"/>
      <c r="B10" s="43" t="s">
        <v>205</v>
      </c>
      <c r="C10" s="50">
        <f>C9-C8</f>
        <v>1522643.3999999985</v>
      </c>
    </row>
    <row r="11" spans="1:3" x14ac:dyDescent="0.25">
      <c r="A11" s="41"/>
      <c r="B11" s="41"/>
      <c r="C11" s="41"/>
    </row>
    <row r="12" spans="1:3" x14ac:dyDescent="0.25">
      <c r="A12" s="41">
        <v>34</v>
      </c>
      <c r="B12" s="41" t="s">
        <v>101</v>
      </c>
      <c r="C12" s="44">
        <f>'Syndicats comptes 2021'!AF31</f>
        <v>791164.11999999988</v>
      </c>
    </row>
    <row r="13" spans="1:3" x14ac:dyDescent="0.25">
      <c r="A13" s="41">
        <v>44</v>
      </c>
      <c r="B13" s="41" t="s">
        <v>162</v>
      </c>
      <c r="C13" s="44">
        <f>'Syndicats comptes 2021'!AF105</f>
        <v>653944.5</v>
      </c>
    </row>
    <row r="14" spans="1:3" x14ac:dyDescent="0.25">
      <c r="A14" s="41"/>
      <c r="B14" s="43" t="s">
        <v>238</v>
      </c>
      <c r="C14" s="50">
        <f>C13-C12</f>
        <v>-137219.61999999988</v>
      </c>
    </row>
    <row r="15" spans="1:3" x14ac:dyDescent="0.25">
      <c r="A15" s="41"/>
      <c r="B15" s="41"/>
      <c r="C15" s="41"/>
    </row>
    <row r="16" spans="1:3" x14ac:dyDescent="0.25">
      <c r="A16" s="41"/>
      <c r="B16" s="43" t="s">
        <v>206</v>
      </c>
      <c r="C16" s="50">
        <f>C10+C14</f>
        <v>1385423.7799999986</v>
      </c>
    </row>
    <row r="17" spans="1:3" x14ac:dyDescent="0.25">
      <c r="A17" s="41"/>
      <c r="B17" s="41"/>
      <c r="C17" s="41"/>
    </row>
    <row r="18" spans="1:3" x14ac:dyDescent="0.25">
      <c r="A18" s="41">
        <v>38</v>
      </c>
      <c r="B18" s="41" t="s">
        <v>121</v>
      </c>
      <c r="C18" s="44">
        <f>'Syndicats comptes 2021'!AF56</f>
        <v>1134052.9100000001</v>
      </c>
    </row>
    <row r="19" spans="1:3" x14ac:dyDescent="0.25">
      <c r="A19" s="41">
        <v>48</v>
      </c>
      <c r="B19" s="41" t="s">
        <v>181</v>
      </c>
      <c r="C19" s="44">
        <f>'Syndicats comptes 2021'!AF131</f>
        <v>3408.3</v>
      </c>
    </row>
    <row r="20" spans="1:3" x14ac:dyDescent="0.25">
      <c r="A20" s="41"/>
      <c r="B20" s="43" t="s">
        <v>207</v>
      </c>
      <c r="C20" s="50">
        <f>C19-C18</f>
        <v>-1130644.6100000001</v>
      </c>
    </row>
    <row r="21" spans="1:3" x14ac:dyDescent="0.25">
      <c r="A21" s="41"/>
      <c r="B21" s="41"/>
      <c r="C21" s="41"/>
    </row>
    <row r="22" spans="1:3" x14ac:dyDescent="0.25">
      <c r="A22" s="41"/>
      <c r="B22" s="43" t="s">
        <v>208</v>
      </c>
      <c r="C22" s="50">
        <f>C16+C20</f>
        <v>254779.16999999853</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FF0000"/>
  </sheetPr>
  <dimension ref="A1:C27"/>
  <sheetViews>
    <sheetView workbookViewId="0">
      <selection activeCell="B5" sqref="B5"/>
    </sheetView>
  </sheetViews>
  <sheetFormatPr baseColWidth="10" defaultColWidth="11.42578125" defaultRowHeight="15" x14ac:dyDescent="0.25"/>
  <cols>
    <col min="1" max="1" width="21.85546875" customWidth="1"/>
    <col min="2" max="2" width="40.42578125" customWidth="1"/>
    <col min="3" max="3" width="22.85546875" customWidth="1"/>
  </cols>
  <sheetData>
    <row r="1" spans="1:3" ht="26.25" x14ac:dyDescent="0.4">
      <c r="A1" s="32" t="s">
        <v>842</v>
      </c>
    </row>
    <row r="4" spans="1:3" ht="15.75" thickBot="1" x14ac:dyDescent="0.3">
      <c r="B4" t="s">
        <v>828</v>
      </c>
    </row>
    <row r="5" spans="1:3" ht="15.75" thickBot="1" x14ac:dyDescent="0.3">
      <c r="B5" s="142" t="s">
        <v>826</v>
      </c>
    </row>
    <row r="7" spans="1:3" x14ac:dyDescent="0.25">
      <c r="A7" s="39" t="s">
        <v>200</v>
      </c>
      <c r="B7" s="39" t="s">
        <v>201</v>
      </c>
      <c r="C7" s="39" t="s">
        <v>202</v>
      </c>
    </row>
    <row r="8" spans="1:3" x14ac:dyDescent="0.25">
      <c r="A8" s="40" t="s">
        <v>209</v>
      </c>
      <c r="B8" s="41" t="s">
        <v>203</v>
      </c>
      <c r="C8" s="44">
        <f>HLOOKUP($B$5,'Syndicats comptes 2021'!$E$3:$AF$167,164,0)</f>
        <v>359411.53</v>
      </c>
    </row>
    <row r="9" spans="1:3" x14ac:dyDescent="0.25">
      <c r="A9" s="40" t="s">
        <v>210</v>
      </c>
      <c r="B9" s="41" t="s">
        <v>204</v>
      </c>
      <c r="C9" s="44">
        <f>HLOOKUP($B$5,'Syndicats comptes 2021'!$E$3:$AF$167,165,0)</f>
        <v>325122.65000000002</v>
      </c>
    </row>
    <row r="10" spans="1:3" x14ac:dyDescent="0.25">
      <c r="A10" s="41"/>
      <c r="B10" s="43" t="s">
        <v>205</v>
      </c>
      <c r="C10" s="50">
        <f>C9-C8</f>
        <v>-34288.880000000005</v>
      </c>
    </row>
    <row r="11" spans="1:3" x14ac:dyDescent="0.25">
      <c r="A11" s="41"/>
      <c r="B11" s="41"/>
      <c r="C11" s="41"/>
    </row>
    <row r="12" spans="1:3" x14ac:dyDescent="0.25">
      <c r="A12" s="41">
        <v>34</v>
      </c>
      <c r="B12" s="41" t="s">
        <v>101</v>
      </c>
      <c r="C12" s="44">
        <f>HLOOKUP($B$5,'Syndicats comptes 2021'!$E$3:$AF$167,29,0)</f>
        <v>0</v>
      </c>
    </row>
    <row r="13" spans="1:3" x14ac:dyDescent="0.25">
      <c r="A13" s="41">
        <v>44</v>
      </c>
      <c r="B13" s="41" t="s">
        <v>162</v>
      </c>
      <c r="C13" s="44">
        <f>HLOOKUP($B$5,'Syndicats comptes 2021'!$E$3:$AF$167,103,0)</f>
        <v>0</v>
      </c>
    </row>
    <row r="14" spans="1:3" x14ac:dyDescent="0.25">
      <c r="A14" s="41"/>
      <c r="B14" s="43" t="s">
        <v>238</v>
      </c>
      <c r="C14" s="50">
        <f>C13-C12</f>
        <v>0</v>
      </c>
    </row>
    <row r="15" spans="1:3" x14ac:dyDescent="0.25">
      <c r="A15" s="41"/>
      <c r="B15" s="41"/>
      <c r="C15" s="41"/>
    </row>
    <row r="16" spans="1:3" x14ac:dyDescent="0.25">
      <c r="A16" s="41"/>
      <c r="B16" s="43" t="s">
        <v>206</v>
      </c>
      <c r="C16" s="50">
        <f>C10+C14</f>
        <v>-34288.880000000005</v>
      </c>
    </row>
    <row r="17" spans="1:3" x14ac:dyDescent="0.25">
      <c r="A17" s="41"/>
      <c r="B17" s="41"/>
      <c r="C17" s="41"/>
    </row>
    <row r="18" spans="1:3" x14ac:dyDescent="0.25">
      <c r="A18" s="41">
        <v>38</v>
      </c>
      <c r="B18" s="41" t="s">
        <v>121</v>
      </c>
      <c r="C18" s="44">
        <f>HLOOKUP($B$5,'Syndicats comptes 2021'!$E$3:$AF$167,54,0)</f>
        <v>0</v>
      </c>
    </row>
    <row r="19" spans="1:3" x14ac:dyDescent="0.25">
      <c r="A19" s="41">
        <v>48</v>
      </c>
      <c r="B19" s="41" t="s">
        <v>181</v>
      </c>
      <c r="C19" s="44">
        <f>HLOOKUP($B$5,'Syndicats comptes 2021'!$E$3:$AF$167,129,0)</f>
        <v>0</v>
      </c>
    </row>
    <row r="20" spans="1:3" x14ac:dyDescent="0.25">
      <c r="A20" s="41"/>
      <c r="B20" s="43" t="s">
        <v>207</v>
      </c>
      <c r="C20" s="50">
        <f>C19-C18</f>
        <v>0</v>
      </c>
    </row>
    <row r="21" spans="1:3" x14ac:dyDescent="0.25">
      <c r="A21" s="41"/>
      <c r="B21" s="41"/>
      <c r="C21" s="41"/>
    </row>
    <row r="22" spans="1:3" x14ac:dyDescent="0.25">
      <c r="A22" s="41"/>
      <c r="B22" s="43" t="s">
        <v>208</v>
      </c>
      <c r="C22" s="50">
        <f>C16+C20</f>
        <v>-34288.880000000005</v>
      </c>
    </row>
    <row r="25" spans="1:3" x14ac:dyDescent="0.25">
      <c r="C25" s="83"/>
    </row>
    <row r="26" spans="1:3" x14ac:dyDescent="0.25">
      <c r="C26" s="4"/>
    </row>
    <row r="27" spans="1:3" x14ac:dyDescent="0.25">
      <c r="C27" s="83"/>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800-000000000000}">
          <x14:formula1>
            <xm:f>'Syndicats comptes 2021'!$E$3:$AF$3</xm:f>
          </x14:formula1>
          <xm:sqref>B5</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FF0000"/>
  </sheetPr>
  <dimension ref="A1:AH227"/>
  <sheetViews>
    <sheetView zoomScale="90" zoomScaleNormal="90" workbookViewId="0">
      <pane xSplit="5" ySplit="3" topLeftCell="AF196" activePane="bottomRight" state="frozen"/>
      <selection pane="topRight" activeCell="F1" sqref="F1"/>
      <selection pane="bottomLeft" activeCell="A4" sqref="A4"/>
      <selection pane="bottomRight" activeCell="AF218" sqref="AF218"/>
    </sheetView>
  </sheetViews>
  <sheetFormatPr baseColWidth="10" defaultColWidth="11.42578125" defaultRowHeight="15" x14ac:dyDescent="0.25"/>
  <cols>
    <col min="1" max="3" width="4.7109375" customWidth="1"/>
    <col min="4" max="4" width="9" customWidth="1"/>
    <col min="5" max="5" width="63.5703125" customWidth="1"/>
    <col min="6" max="33" width="16.28515625" customWidth="1"/>
  </cols>
  <sheetData>
    <row r="1" spans="1:34" ht="26.25" x14ac:dyDescent="0.4">
      <c r="A1" s="32" t="s">
        <v>848</v>
      </c>
      <c r="B1" s="7"/>
      <c r="C1" s="7"/>
      <c r="D1" s="7"/>
      <c r="E1" s="7"/>
    </row>
    <row r="2" spans="1:34" ht="18.75" x14ac:dyDescent="0.3">
      <c r="A2" s="157" t="s">
        <v>747</v>
      </c>
      <c r="F2" s="45">
        <v>1</v>
      </c>
      <c r="G2" s="45">
        <v>2</v>
      </c>
      <c r="H2" s="45">
        <v>3</v>
      </c>
      <c r="I2" s="45">
        <v>4</v>
      </c>
      <c r="J2" s="45">
        <v>5</v>
      </c>
      <c r="K2" s="45">
        <v>6</v>
      </c>
      <c r="L2" s="45">
        <v>7</v>
      </c>
      <c r="M2" s="45">
        <v>8</v>
      </c>
      <c r="N2" s="45">
        <v>9</v>
      </c>
      <c r="O2" s="45">
        <v>10</v>
      </c>
      <c r="P2" s="45">
        <v>11</v>
      </c>
      <c r="Q2" s="45">
        <v>12</v>
      </c>
      <c r="R2" s="45">
        <v>13</v>
      </c>
      <c r="S2" s="45"/>
      <c r="T2" s="45"/>
      <c r="U2" s="45"/>
      <c r="V2" s="45"/>
      <c r="W2" s="45"/>
      <c r="X2" s="45"/>
      <c r="Y2" s="45"/>
      <c r="Z2" s="45"/>
      <c r="AA2" s="45"/>
      <c r="AB2" s="45"/>
      <c r="AC2" s="45"/>
      <c r="AD2" s="45"/>
      <c r="AE2" s="45"/>
      <c r="AF2" s="45"/>
      <c r="AG2" s="45">
        <f>SUM(F2:AF2)</f>
        <v>91</v>
      </c>
    </row>
    <row r="3" spans="1:34" x14ac:dyDescent="0.25">
      <c r="F3" s="169" t="s">
        <v>801</v>
      </c>
      <c r="G3" s="169" t="s">
        <v>802</v>
      </c>
      <c r="H3" s="169" t="s">
        <v>803</v>
      </c>
      <c r="I3" s="169" t="s">
        <v>804</v>
      </c>
      <c r="J3" s="169" t="s">
        <v>805</v>
      </c>
      <c r="K3" s="169" t="s">
        <v>806</v>
      </c>
      <c r="L3" s="169" t="s">
        <v>807</v>
      </c>
      <c r="M3" s="169" t="s">
        <v>830</v>
      </c>
      <c r="N3" s="169" t="s">
        <v>808</v>
      </c>
      <c r="O3" s="169" t="s">
        <v>809</v>
      </c>
      <c r="P3" s="169" t="s">
        <v>810</v>
      </c>
      <c r="Q3" s="169" t="s">
        <v>811</v>
      </c>
      <c r="R3" s="169" t="s">
        <v>812</v>
      </c>
      <c r="S3" s="169" t="s">
        <v>813</v>
      </c>
      <c r="T3" s="169" t="s">
        <v>814</v>
      </c>
      <c r="U3" s="169" t="s">
        <v>815</v>
      </c>
      <c r="V3" s="169" t="s">
        <v>816</v>
      </c>
      <c r="W3" s="169" t="s">
        <v>817</v>
      </c>
      <c r="X3" s="169" t="s">
        <v>818</v>
      </c>
      <c r="Y3" s="169" t="s">
        <v>819</v>
      </c>
      <c r="Z3" s="169" t="s">
        <v>820</v>
      </c>
      <c r="AA3" s="169" t="s">
        <v>821</v>
      </c>
      <c r="AB3" s="169" t="s">
        <v>822</v>
      </c>
      <c r="AC3" s="169" t="s">
        <v>823</v>
      </c>
      <c r="AD3" s="169" t="s">
        <v>824</v>
      </c>
      <c r="AE3" s="169" t="s">
        <v>825</v>
      </c>
      <c r="AF3" s="169" t="s">
        <v>826</v>
      </c>
      <c r="AG3" s="169" t="s">
        <v>65</v>
      </c>
      <c r="AH3">
        <v>1</v>
      </c>
    </row>
    <row r="4" spans="1:34" ht="21" x14ac:dyDescent="0.35">
      <c r="A4" s="59">
        <v>1</v>
      </c>
      <c r="B4" s="59"/>
      <c r="C4" s="59"/>
      <c r="D4" s="59"/>
      <c r="E4" s="59" t="s">
        <v>239</v>
      </c>
      <c r="F4" s="70">
        <f>F6+F14+F24+F30+F40+F47+F53+F61+F68+F79+F85+F96+F107</f>
        <v>2230447.5699999998</v>
      </c>
      <c r="G4" s="70">
        <f t="shared" ref="G4:AF4" si="0">G6+G14+G24+G30+G40+G47+G53+G61+G68+G79+G85+G96+G107</f>
        <v>71117295.879999995</v>
      </c>
      <c r="H4" s="70">
        <f t="shared" si="0"/>
        <v>238666.75</v>
      </c>
      <c r="I4" s="70">
        <f t="shared" si="0"/>
        <v>9496698.9900000002</v>
      </c>
      <c r="J4" s="70">
        <f t="shared" si="0"/>
        <v>933919.45000000007</v>
      </c>
      <c r="K4" s="70">
        <f t="shared" si="0"/>
        <v>2781909.81</v>
      </c>
      <c r="L4" s="70">
        <f t="shared" si="0"/>
        <v>925444.01</v>
      </c>
      <c r="M4" s="70">
        <f t="shared" si="0"/>
        <v>5094729.34</v>
      </c>
      <c r="N4" s="70">
        <f t="shared" si="0"/>
        <v>98110.300000000017</v>
      </c>
      <c r="O4" s="70">
        <f t="shared" si="0"/>
        <v>149290.84</v>
      </c>
      <c r="P4" s="70">
        <f t="shared" si="0"/>
        <v>14283261.68</v>
      </c>
      <c r="Q4" s="70">
        <f t="shared" si="0"/>
        <v>0</v>
      </c>
      <c r="R4" s="70">
        <f t="shared" si="0"/>
        <v>31437.19</v>
      </c>
      <c r="S4" s="70">
        <f t="shared" si="0"/>
        <v>45817.55</v>
      </c>
      <c r="T4" s="70">
        <f t="shared" si="0"/>
        <v>5669.75</v>
      </c>
      <c r="U4" s="70">
        <f t="shared" si="0"/>
        <v>0</v>
      </c>
      <c r="V4" s="70">
        <f t="shared" si="0"/>
        <v>2267822.06</v>
      </c>
      <c r="W4" s="70">
        <f t="shared" si="0"/>
        <v>1404727.7000000002</v>
      </c>
      <c r="X4" s="70">
        <f t="shared" si="0"/>
        <v>33899.65</v>
      </c>
      <c r="Y4" s="70">
        <f t="shared" si="0"/>
        <v>3042463.27</v>
      </c>
      <c r="Z4" s="70">
        <f t="shared" si="0"/>
        <v>24461703.419999998</v>
      </c>
      <c r="AA4" s="70">
        <f t="shared" si="0"/>
        <v>1804531.1800000002</v>
      </c>
      <c r="AB4" s="70">
        <f t="shared" si="0"/>
        <v>3310425.87</v>
      </c>
      <c r="AC4" s="70">
        <f t="shared" si="0"/>
        <v>0</v>
      </c>
      <c r="AD4" s="70">
        <f t="shared" si="0"/>
        <v>150475.90000000002</v>
      </c>
      <c r="AE4" s="70">
        <f t="shared" si="0"/>
        <v>8747101.1699999999</v>
      </c>
      <c r="AF4" s="70">
        <f t="shared" si="0"/>
        <v>755282.5</v>
      </c>
      <c r="AG4" s="70">
        <f t="shared" ref="AG4:AG12" si="1">SUM(F4:AF4)</f>
        <v>153411131.83000001</v>
      </c>
      <c r="AH4">
        <v>2</v>
      </c>
    </row>
    <row r="5" spans="1:34" x14ac:dyDescent="0.25">
      <c r="A5" s="7"/>
      <c r="B5" s="60">
        <v>10</v>
      </c>
      <c r="C5" s="60"/>
      <c r="D5" s="60"/>
      <c r="E5" s="60" t="s">
        <v>240</v>
      </c>
      <c r="F5" s="61">
        <f>F6+F14+F24+F30+F40+F47+F53+F61</f>
        <v>198502.62000000002</v>
      </c>
      <c r="G5" s="61">
        <f t="shared" ref="G5:AF5" si="2">G6+G14+G24+G30+G40+G47+G53+G61</f>
        <v>3568204.0599999996</v>
      </c>
      <c r="H5" s="61">
        <f t="shared" si="2"/>
        <v>218365.75</v>
      </c>
      <c r="I5" s="61">
        <f t="shared" si="2"/>
        <v>7706245.8399999999</v>
      </c>
      <c r="J5" s="61">
        <f t="shared" si="2"/>
        <v>933919.45000000007</v>
      </c>
      <c r="K5" s="61">
        <f t="shared" si="2"/>
        <v>286341.36</v>
      </c>
      <c r="L5" s="61">
        <f t="shared" si="2"/>
        <v>429594.01</v>
      </c>
      <c r="M5" s="61">
        <f t="shared" si="2"/>
        <v>1390414.1199999999</v>
      </c>
      <c r="N5" s="61">
        <f t="shared" si="2"/>
        <v>98110.300000000017</v>
      </c>
      <c r="O5" s="61">
        <f t="shared" si="2"/>
        <v>149290.84</v>
      </c>
      <c r="P5" s="61">
        <f t="shared" si="2"/>
        <v>8995733.7799999993</v>
      </c>
      <c r="Q5" s="61">
        <f t="shared" si="2"/>
        <v>0</v>
      </c>
      <c r="R5" s="61">
        <f t="shared" si="2"/>
        <v>6637.19</v>
      </c>
      <c r="S5" s="61">
        <f t="shared" si="2"/>
        <v>43617.55</v>
      </c>
      <c r="T5" s="61">
        <f t="shared" si="2"/>
        <v>5669.75</v>
      </c>
      <c r="U5" s="61">
        <f t="shared" si="2"/>
        <v>0</v>
      </c>
      <c r="V5" s="61">
        <f t="shared" si="2"/>
        <v>264343.56</v>
      </c>
      <c r="W5" s="61">
        <f t="shared" si="2"/>
        <v>16672.11</v>
      </c>
      <c r="X5" s="61">
        <f t="shared" si="2"/>
        <v>33899.65</v>
      </c>
      <c r="Y5" s="61">
        <f t="shared" si="2"/>
        <v>2858861.27</v>
      </c>
      <c r="Z5" s="61">
        <f t="shared" si="2"/>
        <v>2710551.7699999996</v>
      </c>
      <c r="AA5" s="61">
        <f t="shared" si="2"/>
        <v>336129.13</v>
      </c>
      <c r="AB5" s="61">
        <f t="shared" si="2"/>
        <v>1791515.2</v>
      </c>
      <c r="AC5" s="61">
        <f t="shared" si="2"/>
        <v>0</v>
      </c>
      <c r="AD5" s="61">
        <f t="shared" si="2"/>
        <v>150475.90000000002</v>
      </c>
      <c r="AE5" s="61">
        <f t="shared" si="2"/>
        <v>590901.02</v>
      </c>
      <c r="AF5" s="61">
        <f t="shared" si="2"/>
        <v>751902.5</v>
      </c>
      <c r="AG5" s="61">
        <f t="shared" si="1"/>
        <v>33535898.729999989</v>
      </c>
      <c r="AH5">
        <v>3</v>
      </c>
    </row>
    <row r="6" spans="1:34" x14ac:dyDescent="0.25">
      <c r="C6" s="56">
        <v>100</v>
      </c>
      <c r="D6" s="56"/>
      <c r="E6" s="56" t="s">
        <v>241</v>
      </c>
      <c r="F6" s="57">
        <f>F7+F8+F9+F10+F11+F12</f>
        <v>19824.57</v>
      </c>
      <c r="G6" s="57">
        <f t="shared" ref="G6:AF6" si="3">G7+G8+G9+G10+G11+G12</f>
        <v>1383734.9</v>
      </c>
      <c r="H6" s="57">
        <f t="shared" si="3"/>
        <v>216814.75</v>
      </c>
      <c r="I6" s="57">
        <f t="shared" si="3"/>
        <v>6214276.8600000003</v>
      </c>
      <c r="J6" s="57">
        <f t="shared" si="3"/>
        <v>57146.39</v>
      </c>
      <c r="K6" s="57">
        <f t="shared" si="3"/>
        <v>277695.35999999999</v>
      </c>
      <c r="L6" s="57">
        <f t="shared" si="3"/>
        <v>91164.1</v>
      </c>
      <c r="M6" s="57">
        <f t="shared" si="3"/>
        <v>1360653.72</v>
      </c>
      <c r="N6" s="57">
        <f t="shared" si="3"/>
        <v>88069.200000000012</v>
      </c>
      <c r="O6" s="57">
        <f t="shared" si="3"/>
        <v>29764.69</v>
      </c>
      <c r="P6" s="57">
        <f t="shared" si="3"/>
        <v>2627525.2799999998</v>
      </c>
      <c r="Q6" s="57">
        <f t="shared" si="3"/>
        <v>0</v>
      </c>
      <c r="R6" s="57">
        <f t="shared" si="3"/>
        <v>1716.24</v>
      </c>
      <c r="S6" s="57">
        <f t="shared" si="3"/>
        <v>39289.550000000003</v>
      </c>
      <c r="T6" s="57">
        <f t="shared" si="3"/>
        <v>5669.75</v>
      </c>
      <c r="U6" s="57">
        <f t="shared" si="3"/>
        <v>0</v>
      </c>
      <c r="V6" s="57">
        <f t="shared" si="3"/>
        <v>156953.36000000002</v>
      </c>
      <c r="W6" s="57">
        <f t="shared" si="3"/>
        <v>0</v>
      </c>
      <c r="X6" s="57">
        <f t="shared" si="3"/>
        <v>32457.35</v>
      </c>
      <c r="Y6" s="57">
        <f t="shared" si="3"/>
        <v>2084668.7400000002</v>
      </c>
      <c r="Z6" s="57">
        <f t="shared" si="3"/>
        <v>1704542.8699999999</v>
      </c>
      <c r="AA6" s="57">
        <f t="shared" si="3"/>
        <v>236247.88</v>
      </c>
      <c r="AB6" s="57">
        <f t="shared" si="3"/>
        <v>1637916.55</v>
      </c>
      <c r="AC6" s="57">
        <f t="shared" si="3"/>
        <v>0</v>
      </c>
      <c r="AD6" s="57">
        <f t="shared" si="3"/>
        <v>133658.34000000003</v>
      </c>
      <c r="AE6" s="57">
        <f t="shared" si="3"/>
        <v>516112.57</v>
      </c>
      <c r="AF6" s="57">
        <f t="shared" si="3"/>
        <v>530004.9</v>
      </c>
      <c r="AG6" s="57">
        <f t="shared" si="1"/>
        <v>19445907.919999998</v>
      </c>
      <c r="AH6">
        <v>4</v>
      </c>
    </row>
    <row r="7" spans="1:34" x14ac:dyDescent="0.25">
      <c r="D7">
        <v>1000</v>
      </c>
      <c r="E7" t="s">
        <v>313</v>
      </c>
      <c r="F7" s="4">
        <v>0</v>
      </c>
      <c r="G7" s="4">
        <v>173.45</v>
      </c>
      <c r="H7" s="4">
        <v>0</v>
      </c>
      <c r="I7" s="4">
        <v>790.5</v>
      </c>
      <c r="J7" s="4">
        <v>0</v>
      </c>
      <c r="K7" s="4">
        <v>2767.05</v>
      </c>
      <c r="L7" s="4">
        <v>219.85</v>
      </c>
      <c r="M7" s="4">
        <v>0</v>
      </c>
      <c r="N7" s="4">
        <v>778.6</v>
      </c>
      <c r="O7" s="4">
        <v>0</v>
      </c>
      <c r="P7" s="4">
        <v>1056.6500000000001</v>
      </c>
      <c r="Q7" s="4"/>
      <c r="R7" s="4">
        <v>0</v>
      </c>
      <c r="S7" s="4">
        <v>60.95</v>
      </c>
      <c r="T7" s="4">
        <v>0</v>
      </c>
      <c r="U7" s="4"/>
      <c r="V7" s="4">
        <v>47.85</v>
      </c>
      <c r="W7" s="4">
        <v>0</v>
      </c>
      <c r="X7" s="4">
        <v>38.1</v>
      </c>
      <c r="Y7" s="4">
        <v>0</v>
      </c>
      <c r="Z7" s="4">
        <v>7111.46</v>
      </c>
      <c r="AA7" s="4">
        <v>583.20000000000005</v>
      </c>
      <c r="AB7" s="4">
        <v>0</v>
      </c>
      <c r="AC7" s="4"/>
      <c r="AD7" s="4">
        <v>39.200000000000003</v>
      </c>
      <c r="AE7" s="4">
        <v>1590.75</v>
      </c>
      <c r="AF7" s="4">
        <v>105</v>
      </c>
      <c r="AG7" s="31">
        <f t="shared" si="1"/>
        <v>15362.610000000002</v>
      </c>
      <c r="AH7">
        <v>5</v>
      </c>
    </row>
    <row r="8" spans="1:34" x14ac:dyDescent="0.25">
      <c r="D8">
        <v>1001</v>
      </c>
      <c r="E8" t="s">
        <v>314</v>
      </c>
      <c r="F8" s="4">
        <v>0</v>
      </c>
      <c r="G8" s="4">
        <v>0</v>
      </c>
      <c r="H8" s="4">
        <v>0</v>
      </c>
      <c r="I8" s="4">
        <v>481204.46</v>
      </c>
      <c r="J8" s="4">
        <v>0</v>
      </c>
      <c r="K8" s="4">
        <v>240</v>
      </c>
      <c r="L8" s="4">
        <v>33293.949999999997</v>
      </c>
      <c r="M8" s="4">
        <v>0</v>
      </c>
      <c r="N8" s="4">
        <v>0</v>
      </c>
      <c r="O8" s="4">
        <v>0</v>
      </c>
      <c r="P8" s="4">
        <v>291455.71999999997</v>
      </c>
      <c r="Q8" s="4"/>
      <c r="R8" s="4">
        <v>0</v>
      </c>
      <c r="S8" s="4">
        <v>32415.5</v>
      </c>
      <c r="T8" s="4">
        <v>0</v>
      </c>
      <c r="U8" s="4"/>
      <c r="V8" s="4">
        <v>0</v>
      </c>
      <c r="W8" s="4">
        <v>0</v>
      </c>
      <c r="X8" s="4">
        <v>0</v>
      </c>
      <c r="Y8" s="4">
        <v>266771.14</v>
      </c>
      <c r="Z8" s="4">
        <v>43700</v>
      </c>
      <c r="AA8" s="4">
        <v>0</v>
      </c>
      <c r="AB8" s="4">
        <v>0</v>
      </c>
      <c r="AC8" s="4"/>
      <c r="AD8" s="4">
        <v>0</v>
      </c>
      <c r="AE8" s="4">
        <v>124857.26</v>
      </c>
      <c r="AF8" s="4">
        <v>0</v>
      </c>
      <c r="AG8" s="31">
        <f t="shared" si="1"/>
        <v>1273938.03</v>
      </c>
      <c r="AH8">
        <v>6</v>
      </c>
    </row>
    <row r="9" spans="1:34" x14ac:dyDescent="0.25">
      <c r="D9">
        <v>1002</v>
      </c>
      <c r="E9" t="s">
        <v>322</v>
      </c>
      <c r="F9" s="4">
        <v>19824.57</v>
      </c>
      <c r="G9" s="4">
        <v>1383561.45</v>
      </c>
      <c r="H9" s="4">
        <v>216814.75</v>
      </c>
      <c r="I9" s="4">
        <v>5732281.9000000004</v>
      </c>
      <c r="J9" s="4">
        <v>57146.39</v>
      </c>
      <c r="K9" s="4">
        <v>274688.31</v>
      </c>
      <c r="L9" s="4">
        <v>57650.3</v>
      </c>
      <c r="M9" s="4">
        <v>1360653.72</v>
      </c>
      <c r="N9" s="4">
        <v>87290.6</v>
      </c>
      <c r="O9" s="4">
        <v>29764.69</v>
      </c>
      <c r="P9" s="4">
        <v>238.65</v>
      </c>
      <c r="Q9" s="4"/>
      <c r="R9" s="4">
        <v>1716.24</v>
      </c>
      <c r="S9" s="4">
        <v>6813.1</v>
      </c>
      <c r="T9" s="4">
        <v>5669.75</v>
      </c>
      <c r="U9" s="4"/>
      <c r="V9" s="4">
        <v>156905.51</v>
      </c>
      <c r="W9" s="4">
        <v>0</v>
      </c>
      <c r="X9" s="4">
        <v>32419.25</v>
      </c>
      <c r="Y9" s="4">
        <v>1817897.6</v>
      </c>
      <c r="Z9" s="4">
        <v>1653731.41</v>
      </c>
      <c r="AA9" s="4">
        <v>235664.68</v>
      </c>
      <c r="AB9" s="4">
        <v>1637916.55</v>
      </c>
      <c r="AC9" s="4"/>
      <c r="AD9" s="4">
        <v>133619.14000000001</v>
      </c>
      <c r="AE9" s="4">
        <v>361378.46</v>
      </c>
      <c r="AF9" s="4">
        <v>529899.9</v>
      </c>
      <c r="AG9" s="31">
        <f t="shared" si="1"/>
        <v>15793546.92</v>
      </c>
      <c r="AH9">
        <v>7</v>
      </c>
    </row>
    <row r="10" spans="1:34" x14ac:dyDescent="0.25">
      <c r="D10">
        <v>1003</v>
      </c>
      <c r="E10" t="s">
        <v>315</v>
      </c>
      <c r="F10" s="4">
        <v>0</v>
      </c>
      <c r="G10" s="4">
        <v>0</v>
      </c>
      <c r="H10" s="4">
        <v>0</v>
      </c>
      <c r="I10" s="4">
        <v>0</v>
      </c>
      <c r="J10" s="4">
        <v>0</v>
      </c>
      <c r="K10" s="4">
        <v>0</v>
      </c>
      <c r="L10" s="4">
        <v>0</v>
      </c>
      <c r="M10" s="4">
        <v>0</v>
      </c>
      <c r="N10" s="4">
        <v>0</v>
      </c>
      <c r="O10" s="4">
        <v>0</v>
      </c>
      <c r="P10" s="4">
        <v>2334774.2599999998</v>
      </c>
      <c r="Q10" s="4"/>
      <c r="R10" s="4">
        <v>0</v>
      </c>
      <c r="S10" s="4">
        <v>0</v>
      </c>
      <c r="T10" s="4">
        <v>0</v>
      </c>
      <c r="U10" s="4"/>
      <c r="V10" s="4">
        <v>0</v>
      </c>
      <c r="W10" s="4">
        <v>0</v>
      </c>
      <c r="X10" s="4">
        <v>0</v>
      </c>
      <c r="Y10" s="4">
        <v>0</v>
      </c>
      <c r="Z10" s="4">
        <v>0</v>
      </c>
      <c r="AA10" s="4">
        <v>0</v>
      </c>
      <c r="AB10" s="4">
        <v>0</v>
      </c>
      <c r="AC10" s="4"/>
      <c r="AD10" s="4">
        <v>0</v>
      </c>
      <c r="AE10" s="4">
        <v>28286.1</v>
      </c>
      <c r="AF10" s="4">
        <v>0</v>
      </c>
      <c r="AG10" s="31">
        <f t="shared" si="1"/>
        <v>2363060.36</v>
      </c>
      <c r="AH10">
        <v>8</v>
      </c>
    </row>
    <row r="11" spans="1:34" x14ac:dyDescent="0.25">
      <c r="D11">
        <v>1004</v>
      </c>
      <c r="E11" t="s">
        <v>316</v>
      </c>
      <c r="F11" s="4">
        <v>0</v>
      </c>
      <c r="G11" s="4">
        <v>0</v>
      </c>
      <c r="H11" s="4">
        <v>0</v>
      </c>
      <c r="I11" s="4">
        <v>0</v>
      </c>
      <c r="J11" s="4">
        <v>0</v>
      </c>
      <c r="K11" s="4">
        <v>0</v>
      </c>
      <c r="L11" s="4">
        <v>0</v>
      </c>
      <c r="M11" s="4">
        <v>0</v>
      </c>
      <c r="N11" s="4">
        <v>0</v>
      </c>
      <c r="O11" s="4">
        <v>0</v>
      </c>
      <c r="P11" s="4">
        <v>0</v>
      </c>
      <c r="Q11" s="4"/>
      <c r="R11" s="4">
        <v>0</v>
      </c>
      <c r="S11" s="4">
        <v>0</v>
      </c>
      <c r="T11" s="4">
        <v>0</v>
      </c>
      <c r="U11" s="4"/>
      <c r="V11" s="4">
        <v>0</v>
      </c>
      <c r="W11" s="4">
        <v>0</v>
      </c>
      <c r="X11" s="4">
        <v>0</v>
      </c>
      <c r="Y11" s="4">
        <v>0</v>
      </c>
      <c r="Z11" s="4">
        <v>0</v>
      </c>
      <c r="AA11" s="4">
        <v>0</v>
      </c>
      <c r="AB11" s="4">
        <v>0</v>
      </c>
      <c r="AC11" s="4"/>
      <c r="AD11" s="4">
        <v>0</v>
      </c>
      <c r="AE11" s="4">
        <v>0</v>
      </c>
      <c r="AF11" s="4">
        <v>0</v>
      </c>
      <c r="AG11" s="31">
        <f t="shared" si="1"/>
        <v>0</v>
      </c>
      <c r="AH11">
        <v>9</v>
      </c>
    </row>
    <row r="12" spans="1:34" x14ac:dyDescent="0.25">
      <c r="D12">
        <v>1009</v>
      </c>
      <c r="E12" t="s">
        <v>317</v>
      </c>
      <c r="F12" s="4">
        <v>0</v>
      </c>
      <c r="G12" s="4">
        <v>0</v>
      </c>
      <c r="H12" s="4">
        <v>0</v>
      </c>
      <c r="I12" s="4">
        <v>0</v>
      </c>
      <c r="J12" s="4">
        <v>0</v>
      </c>
      <c r="K12" s="4">
        <v>0</v>
      </c>
      <c r="L12" s="4">
        <v>0</v>
      </c>
      <c r="M12" s="4">
        <v>0</v>
      </c>
      <c r="N12" s="4">
        <v>0</v>
      </c>
      <c r="O12" s="4">
        <v>0</v>
      </c>
      <c r="P12" s="4">
        <v>0</v>
      </c>
      <c r="Q12" s="4"/>
      <c r="R12" s="4">
        <v>0</v>
      </c>
      <c r="S12" s="4">
        <v>0</v>
      </c>
      <c r="T12" s="4">
        <v>0</v>
      </c>
      <c r="U12" s="4"/>
      <c r="V12" s="4">
        <v>0</v>
      </c>
      <c r="W12" s="4">
        <v>0</v>
      </c>
      <c r="X12" s="4">
        <v>0</v>
      </c>
      <c r="Y12" s="4">
        <v>0</v>
      </c>
      <c r="Z12" s="4">
        <v>0</v>
      </c>
      <c r="AA12" s="4">
        <v>0</v>
      </c>
      <c r="AB12" s="4">
        <v>0</v>
      </c>
      <c r="AC12" s="4"/>
      <c r="AD12" s="4">
        <v>0</v>
      </c>
      <c r="AE12" s="4">
        <v>0</v>
      </c>
      <c r="AF12" s="4">
        <v>0</v>
      </c>
      <c r="AG12" s="31">
        <f t="shared" si="1"/>
        <v>0</v>
      </c>
      <c r="AH12">
        <v>10</v>
      </c>
    </row>
    <row r="13" spans="1:34" x14ac:dyDescent="0.25">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31"/>
      <c r="AH13">
        <v>11</v>
      </c>
    </row>
    <row r="14" spans="1:34" x14ac:dyDescent="0.25">
      <c r="C14" s="56">
        <v>101</v>
      </c>
      <c r="D14" s="56"/>
      <c r="E14" s="56" t="s">
        <v>242</v>
      </c>
      <c r="F14" s="57">
        <f>F15+F16+F17+F18+F19+F20+F21+F22</f>
        <v>0</v>
      </c>
      <c r="G14" s="57">
        <f t="shared" ref="G14:AF14" si="4">G15+G16+G17+G18+G19+G20+G21+G22</f>
        <v>12005.45</v>
      </c>
      <c r="H14" s="57">
        <f t="shared" si="4"/>
        <v>1550</v>
      </c>
      <c r="I14" s="57">
        <f t="shared" si="4"/>
        <v>1421920.8800000001</v>
      </c>
      <c r="J14" s="57">
        <f t="shared" si="4"/>
        <v>0</v>
      </c>
      <c r="K14" s="57">
        <f t="shared" si="4"/>
        <v>0.4</v>
      </c>
      <c r="L14" s="57">
        <f t="shared" si="4"/>
        <v>0.01</v>
      </c>
      <c r="M14" s="57">
        <f t="shared" si="4"/>
        <v>29760.400000000001</v>
      </c>
      <c r="N14" s="57">
        <f t="shared" si="4"/>
        <v>0</v>
      </c>
      <c r="O14" s="57">
        <f t="shared" si="4"/>
        <v>118659.75</v>
      </c>
      <c r="P14" s="57">
        <f t="shared" si="4"/>
        <v>326842.75</v>
      </c>
      <c r="Q14" s="57">
        <f t="shared" si="4"/>
        <v>0</v>
      </c>
      <c r="R14" s="57">
        <f t="shared" si="4"/>
        <v>4920.95</v>
      </c>
      <c r="S14" s="57">
        <f t="shared" si="4"/>
        <v>4328</v>
      </c>
      <c r="T14" s="57">
        <f t="shared" si="4"/>
        <v>0</v>
      </c>
      <c r="U14" s="57">
        <f t="shared" si="4"/>
        <v>0</v>
      </c>
      <c r="V14" s="57">
        <f t="shared" si="4"/>
        <v>98090.2</v>
      </c>
      <c r="W14" s="57">
        <f t="shared" si="4"/>
        <v>16672.11</v>
      </c>
      <c r="X14" s="57">
        <f t="shared" si="4"/>
        <v>1442.3</v>
      </c>
      <c r="Y14" s="57">
        <f t="shared" si="4"/>
        <v>205667.38</v>
      </c>
      <c r="Z14" s="57">
        <f t="shared" si="4"/>
        <v>544313.89</v>
      </c>
      <c r="AA14" s="57">
        <f t="shared" si="4"/>
        <v>-627.1</v>
      </c>
      <c r="AB14" s="57">
        <f t="shared" si="4"/>
        <v>66289.399999999994</v>
      </c>
      <c r="AC14" s="57">
        <f t="shared" si="4"/>
        <v>0</v>
      </c>
      <c r="AD14" s="57">
        <f t="shared" si="4"/>
        <v>15149.86</v>
      </c>
      <c r="AE14" s="57">
        <f t="shared" si="4"/>
        <v>74788.450000000012</v>
      </c>
      <c r="AF14" s="57">
        <f t="shared" si="4"/>
        <v>128571.95</v>
      </c>
      <c r="AG14" s="57">
        <f t="shared" ref="AG14:AG22" si="5">SUM(F14:AF14)</f>
        <v>3070347.0300000003</v>
      </c>
      <c r="AH14">
        <v>12</v>
      </c>
    </row>
    <row r="15" spans="1:34" x14ac:dyDescent="0.25">
      <c r="D15">
        <v>1010</v>
      </c>
      <c r="E15" t="s">
        <v>831</v>
      </c>
      <c r="F15" s="4">
        <v>0</v>
      </c>
      <c r="G15" s="4">
        <v>12005.45</v>
      </c>
      <c r="H15" s="4">
        <v>1550</v>
      </c>
      <c r="I15" s="4">
        <v>1420868.09</v>
      </c>
      <c r="J15" s="4">
        <v>0</v>
      </c>
      <c r="K15" s="4">
        <v>0</v>
      </c>
      <c r="L15" s="4">
        <v>0</v>
      </c>
      <c r="M15" s="4">
        <v>29760.400000000001</v>
      </c>
      <c r="N15" s="4">
        <v>0</v>
      </c>
      <c r="O15" s="4">
        <v>0</v>
      </c>
      <c r="P15" s="4">
        <v>316963.7</v>
      </c>
      <c r="Q15" s="4"/>
      <c r="R15" s="4">
        <v>0</v>
      </c>
      <c r="S15" s="4">
        <v>4328</v>
      </c>
      <c r="T15" s="4">
        <v>0</v>
      </c>
      <c r="U15" s="4"/>
      <c r="V15" s="4">
        <v>98090.2</v>
      </c>
      <c r="W15" s="4">
        <v>0</v>
      </c>
      <c r="X15" s="4">
        <v>1373.1</v>
      </c>
      <c r="Y15" s="4">
        <v>204037.68</v>
      </c>
      <c r="Z15" s="4">
        <v>300882.89</v>
      </c>
      <c r="AA15" s="4">
        <v>0</v>
      </c>
      <c r="AB15" s="4">
        <v>45835.4</v>
      </c>
      <c r="AC15" s="4"/>
      <c r="AD15" s="4">
        <v>15149.86</v>
      </c>
      <c r="AE15" s="4">
        <v>43103.3</v>
      </c>
      <c r="AF15" s="4">
        <v>128571.95</v>
      </c>
      <c r="AG15" s="31">
        <f t="shared" si="5"/>
        <v>2622520.0199999996</v>
      </c>
      <c r="AH15">
        <v>13</v>
      </c>
    </row>
    <row r="16" spans="1:34" x14ac:dyDescent="0.25">
      <c r="D16">
        <v>1011</v>
      </c>
      <c r="E16" t="s">
        <v>399</v>
      </c>
      <c r="F16" s="4">
        <v>0</v>
      </c>
      <c r="G16" s="4">
        <v>0</v>
      </c>
      <c r="H16" s="4">
        <v>0</v>
      </c>
      <c r="I16" s="4">
        <v>0</v>
      </c>
      <c r="J16" s="4">
        <v>0</v>
      </c>
      <c r="K16" s="4">
        <v>0</v>
      </c>
      <c r="L16" s="4">
        <v>0</v>
      </c>
      <c r="M16" s="4">
        <v>0</v>
      </c>
      <c r="N16" s="4">
        <v>0</v>
      </c>
      <c r="O16" s="4">
        <v>118659.75</v>
      </c>
      <c r="P16" s="4">
        <v>0</v>
      </c>
      <c r="Q16" s="4"/>
      <c r="R16" s="4">
        <v>4920.95</v>
      </c>
      <c r="S16" s="4">
        <v>0</v>
      </c>
      <c r="T16" s="4">
        <v>0</v>
      </c>
      <c r="U16" s="4"/>
      <c r="V16" s="4">
        <v>0</v>
      </c>
      <c r="W16" s="4">
        <v>16672.11</v>
      </c>
      <c r="X16" s="4">
        <v>0</v>
      </c>
      <c r="Y16" s="4">
        <v>0</v>
      </c>
      <c r="Z16" s="4">
        <v>0</v>
      </c>
      <c r="AA16" s="4">
        <v>0</v>
      </c>
      <c r="AB16" s="4">
        <v>0</v>
      </c>
      <c r="AC16" s="4"/>
      <c r="AD16" s="4">
        <v>0</v>
      </c>
      <c r="AE16" s="4">
        <v>0</v>
      </c>
      <c r="AF16" s="4">
        <v>0</v>
      </c>
      <c r="AG16" s="31">
        <f t="shared" si="5"/>
        <v>140252.81</v>
      </c>
      <c r="AH16">
        <v>14</v>
      </c>
    </row>
    <row r="17" spans="3:34" x14ac:dyDescent="0.25">
      <c r="D17">
        <v>1012</v>
      </c>
      <c r="E17" t="s">
        <v>319</v>
      </c>
      <c r="F17" s="4">
        <v>0</v>
      </c>
      <c r="G17" s="4">
        <v>0</v>
      </c>
      <c r="H17" s="4">
        <v>0</v>
      </c>
      <c r="I17" s="4">
        <v>0</v>
      </c>
      <c r="J17" s="4">
        <v>0</v>
      </c>
      <c r="K17" s="4">
        <v>0</v>
      </c>
      <c r="L17" s="4">
        <v>0</v>
      </c>
      <c r="M17" s="4">
        <v>0</v>
      </c>
      <c r="N17" s="4">
        <v>0</v>
      </c>
      <c r="O17" s="4">
        <v>0</v>
      </c>
      <c r="P17" s="4">
        <v>0</v>
      </c>
      <c r="Q17" s="4"/>
      <c r="R17" s="4">
        <v>0</v>
      </c>
      <c r="S17" s="4">
        <v>0</v>
      </c>
      <c r="T17" s="4">
        <v>0</v>
      </c>
      <c r="U17" s="4"/>
      <c r="V17" s="4">
        <v>0</v>
      </c>
      <c r="W17" s="4">
        <v>0</v>
      </c>
      <c r="X17" s="4">
        <v>0</v>
      </c>
      <c r="Y17" s="4">
        <v>0</v>
      </c>
      <c r="Z17" s="4">
        <v>0</v>
      </c>
      <c r="AA17" s="4">
        <v>0</v>
      </c>
      <c r="AB17" s="4">
        <v>0</v>
      </c>
      <c r="AC17" s="4"/>
      <c r="AD17" s="4">
        <v>0</v>
      </c>
      <c r="AE17" s="4">
        <v>0</v>
      </c>
      <c r="AF17" s="4">
        <v>0</v>
      </c>
      <c r="AG17" s="31">
        <f t="shared" si="5"/>
        <v>0</v>
      </c>
      <c r="AH17">
        <v>15</v>
      </c>
    </row>
    <row r="18" spans="3:34" x14ac:dyDescent="0.25">
      <c r="D18">
        <v>1013</v>
      </c>
      <c r="E18" t="s">
        <v>320</v>
      </c>
      <c r="F18" s="4">
        <v>0</v>
      </c>
      <c r="G18" s="4">
        <v>0</v>
      </c>
      <c r="H18" s="4">
        <v>0</v>
      </c>
      <c r="I18" s="4">
        <v>0</v>
      </c>
      <c r="J18" s="4">
        <v>0</v>
      </c>
      <c r="K18" s="4">
        <v>0</v>
      </c>
      <c r="L18" s="4">
        <v>0</v>
      </c>
      <c r="M18" s="4">
        <v>0</v>
      </c>
      <c r="N18" s="4">
        <v>0</v>
      </c>
      <c r="O18" s="4">
        <v>0</v>
      </c>
      <c r="P18" s="4">
        <v>0</v>
      </c>
      <c r="Q18" s="4"/>
      <c r="R18" s="4">
        <v>0</v>
      </c>
      <c r="S18" s="4">
        <v>0</v>
      </c>
      <c r="T18" s="4">
        <v>0</v>
      </c>
      <c r="U18" s="4"/>
      <c r="V18" s="4">
        <v>0</v>
      </c>
      <c r="W18" s="4">
        <v>0</v>
      </c>
      <c r="X18" s="4">
        <v>0</v>
      </c>
      <c r="Y18" s="4">
        <v>0</v>
      </c>
      <c r="Z18" s="4">
        <v>296428.5</v>
      </c>
      <c r="AA18" s="4">
        <v>0</v>
      </c>
      <c r="AB18" s="4">
        <v>0</v>
      </c>
      <c r="AC18" s="4"/>
      <c r="AD18" s="4">
        <v>0</v>
      </c>
      <c r="AE18" s="4">
        <v>10000</v>
      </c>
      <c r="AF18" s="4">
        <v>0</v>
      </c>
      <c r="AG18" s="31">
        <f t="shared" si="5"/>
        <v>306428.5</v>
      </c>
      <c r="AH18">
        <v>16</v>
      </c>
    </row>
    <row r="19" spans="3:34" x14ac:dyDescent="0.25">
      <c r="D19">
        <v>1014</v>
      </c>
      <c r="E19" t="s">
        <v>321</v>
      </c>
      <c r="F19" s="4">
        <v>0</v>
      </c>
      <c r="G19" s="4">
        <v>0</v>
      </c>
      <c r="H19" s="4">
        <v>0</v>
      </c>
      <c r="I19" s="4">
        <v>0</v>
      </c>
      <c r="J19" s="4">
        <v>0</v>
      </c>
      <c r="K19" s="4">
        <v>0</v>
      </c>
      <c r="L19" s="4">
        <v>0</v>
      </c>
      <c r="M19" s="4">
        <v>0</v>
      </c>
      <c r="N19" s="4">
        <v>0</v>
      </c>
      <c r="O19" s="4">
        <v>0</v>
      </c>
      <c r="P19" s="4">
        <v>0</v>
      </c>
      <c r="Q19" s="4"/>
      <c r="R19" s="4">
        <v>0</v>
      </c>
      <c r="S19" s="4">
        <v>0</v>
      </c>
      <c r="T19" s="4">
        <v>0</v>
      </c>
      <c r="U19" s="4"/>
      <c r="V19" s="4">
        <v>0</v>
      </c>
      <c r="W19" s="4">
        <v>0</v>
      </c>
      <c r="X19" s="4">
        <v>0</v>
      </c>
      <c r="Y19" s="4">
        <v>0</v>
      </c>
      <c r="Z19" s="4">
        <v>0</v>
      </c>
      <c r="AA19" s="4">
        <v>0</v>
      </c>
      <c r="AB19" s="4">
        <v>0</v>
      </c>
      <c r="AC19" s="4"/>
      <c r="AD19" s="4">
        <v>0</v>
      </c>
      <c r="AE19" s="4">
        <v>0</v>
      </c>
      <c r="AF19" s="4">
        <v>0</v>
      </c>
      <c r="AG19" s="31">
        <f t="shared" si="5"/>
        <v>0</v>
      </c>
      <c r="AH19">
        <v>17</v>
      </c>
    </row>
    <row r="20" spans="3:34" x14ac:dyDescent="0.25">
      <c r="D20">
        <v>1015</v>
      </c>
      <c r="E20" t="s">
        <v>323</v>
      </c>
      <c r="F20" s="4">
        <v>0</v>
      </c>
      <c r="G20" s="4">
        <v>0</v>
      </c>
      <c r="H20" s="4">
        <v>0</v>
      </c>
      <c r="I20" s="4">
        <v>0</v>
      </c>
      <c r="J20" s="4">
        <v>0</v>
      </c>
      <c r="K20" s="4">
        <v>0</v>
      </c>
      <c r="L20" s="4">
        <v>0</v>
      </c>
      <c r="M20" s="4">
        <v>0</v>
      </c>
      <c r="N20" s="4">
        <v>0</v>
      </c>
      <c r="O20" s="4">
        <v>0</v>
      </c>
      <c r="P20" s="4">
        <v>0</v>
      </c>
      <c r="Q20" s="4"/>
      <c r="R20" s="4">
        <v>0</v>
      </c>
      <c r="S20" s="4">
        <v>0</v>
      </c>
      <c r="T20" s="4">
        <v>0</v>
      </c>
      <c r="U20" s="4"/>
      <c r="V20" s="4">
        <v>0</v>
      </c>
      <c r="W20" s="4">
        <v>0</v>
      </c>
      <c r="X20" s="4">
        <v>0</v>
      </c>
      <c r="Y20" s="4">
        <v>0</v>
      </c>
      <c r="Z20" s="4">
        <v>0</v>
      </c>
      <c r="AA20" s="4">
        <v>0</v>
      </c>
      <c r="AB20" s="4">
        <v>0</v>
      </c>
      <c r="AC20" s="4"/>
      <c r="AD20" s="4">
        <v>0</v>
      </c>
      <c r="AE20" s="4">
        <v>21685.15</v>
      </c>
      <c r="AF20" s="4">
        <v>0</v>
      </c>
      <c r="AG20" s="31">
        <f t="shared" si="5"/>
        <v>21685.15</v>
      </c>
      <c r="AH20">
        <v>18</v>
      </c>
    </row>
    <row r="21" spans="3:34" x14ac:dyDescent="0.25">
      <c r="D21">
        <v>1016</v>
      </c>
      <c r="E21" t="s">
        <v>324</v>
      </c>
      <c r="F21" s="4">
        <v>0</v>
      </c>
      <c r="G21" s="4">
        <v>0</v>
      </c>
      <c r="H21" s="4">
        <v>0</v>
      </c>
      <c r="I21" s="4">
        <v>0</v>
      </c>
      <c r="J21" s="4">
        <v>0</v>
      </c>
      <c r="K21" s="4">
        <v>0</v>
      </c>
      <c r="L21" s="4">
        <v>0</v>
      </c>
      <c r="M21" s="4">
        <v>0</v>
      </c>
      <c r="N21" s="4">
        <v>0</v>
      </c>
      <c r="O21" s="4">
        <v>0</v>
      </c>
      <c r="P21" s="4">
        <v>0</v>
      </c>
      <c r="Q21" s="4"/>
      <c r="R21" s="4">
        <v>0</v>
      </c>
      <c r="S21" s="4">
        <v>0</v>
      </c>
      <c r="T21" s="4">
        <v>0</v>
      </c>
      <c r="U21" s="4"/>
      <c r="V21" s="4">
        <v>0</v>
      </c>
      <c r="W21" s="4">
        <v>0</v>
      </c>
      <c r="X21" s="4">
        <v>0</v>
      </c>
      <c r="Y21" s="4">
        <v>0</v>
      </c>
      <c r="Z21" s="4">
        <v>0</v>
      </c>
      <c r="AA21" s="4">
        <v>0</v>
      </c>
      <c r="AB21" s="4">
        <v>0</v>
      </c>
      <c r="AC21" s="4"/>
      <c r="AD21" s="4">
        <v>0</v>
      </c>
      <c r="AE21" s="4">
        <v>0</v>
      </c>
      <c r="AF21" s="4">
        <v>0</v>
      </c>
      <c r="AG21" s="31">
        <f t="shared" si="5"/>
        <v>0</v>
      </c>
      <c r="AH21">
        <v>19</v>
      </c>
    </row>
    <row r="22" spans="3:34" x14ac:dyDescent="0.25">
      <c r="D22">
        <v>1019</v>
      </c>
      <c r="E22" t="s">
        <v>325</v>
      </c>
      <c r="F22" s="4">
        <v>0</v>
      </c>
      <c r="G22" s="4">
        <v>0</v>
      </c>
      <c r="H22" s="4">
        <v>0</v>
      </c>
      <c r="I22" s="4">
        <v>1052.79</v>
      </c>
      <c r="J22" s="4">
        <v>0</v>
      </c>
      <c r="K22" s="4">
        <v>0.4</v>
      </c>
      <c r="L22" s="4">
        <v>0.01</v>
      </c>
      <c r="M22" s="4">
        <v>0</v>
      </c>
      <c r="N22" s="4">
        <v>0</v>
      </c>
      <c r="O22" s="4">
        <v>0</v>
      </c>
      <c r="P22" s="4">
        <v>9879.0499999999993</v>
      </c>
      <c r="Q22" s="4"/>
      <c r="R22" s="4">
        <v>0</v>
      </c>
      <c r="S22" s="4">
        <v>0</v>
      </c>
      <c r="T22" s="4">
        <v>0</v>
      </c>
      <c r="U22" s="4"/>
      <c r="V22" s="4">
        <v>0</v>
      </c>
      <c r="W22" s="4">
        <v>0</v>
      </c>
      <c r="X22" s="4">
        <v>69.2</v>
      </c>
      <c r="Y22" s="4">
        <v>1629.7</v>
      </c>
      <c r="Z22" s="4">
        <v>-52997.5</v>
      </c>
      <c r="AA22" s="4">
        <v>-627.1</v>
      </c>
      <c r="AB22" s="4">
        <v>20454</v>
      </c>
      <c r="AC22" s="4"/>
      <c r="AD22" s="4">
        <v>0</v>
      </c>
      <c r="AE22" s="4">
        <v>0</v>
      </c>
      <c r="AF22" s="4">
        <v>0</v>
      </c>
      <c r="AG22" s="31">
        <f t="shared" si="5"/>
        <v>-20539.449999999997</v>
      </c>
      <c r="AH22">
        <v>20</v>
      </c>
    </row>
    <row r="23" spans="3:34" x14ac:dyDescent="0.25">
      <c r="F23" s="4"/>
      <c r="G23" s="4"/>
      <c r="H23" s="4"/>
      <c r="I23" s="4"/>
      <c r="J23" s="4"/>
      <c r="K23" s="4"/>
      <c r="L23" s="4"/>
      <c r="M23" s="4"/>
      <c r="N23" s="4"/>
      <c r="O23" s="4"/>
      <c r="P23" s="4"/>
      <c r="Q23" s="4"/>
      <c r="R23" s="4"/>
      <c r="S23" s="4"/>
      <c r="T23" s="4"/>
      <c r="U23" s="4"/>
      <c r="V23" s="4"/>
      <c r="W23" s="4"/>
      <c r="X23" s="4"/>
      <c r="Y23" s="4">
        <v>0</v>
      </c>
      <c r="Z23" s="4"/>
      <c r="AA23" s="4"/>
      <c r="AB23" s="4"/>
      <c r="AC23" s="4"/>
      <c r="AD23" s="4"/>
      <c r="AE23" s="4"/>
      <c r="AF23" s="4"/>
      <c r="AG23" s="31"/>
      <c r="AH23">
        <v>21</v>
      </c>
    </row>
    <row r="24" spans="3:34" x14ac:dyDescent="0.25">
      <c r="C24" s="56">
        <v>102</v>
      </c>
      <c r="D24" s="56"/>
      <c r="E24" s="56" t="s">
        <v>243</v>
      </c>
      <c r="F24" s="57">
        <f>F25+F26+F27+F28</f>
        <v>0</v>
      </c>
      <c r="G24" s="57">
        <f t="shared" ref="G24:AF24" si="6">G25+G26+G27+G28</f>
        <v>0</v>
      </c>
      <c r="H24" s="57">
        <f t="shared" si="6"/>
        <v>0</v>
      </c>
      <c r="I24" s="57">
        <f t="shared" si="6"/>
        <v>0</v>
      </c>
      <c r="J24" s="57">
        <f>J25+J26+J27+J28</f>
        <v>0</v>
      </c>
      <c r="K24" s="57">
        <f t="shared" si="6"/>
        <v>0</v>
      </c>
      <c r="L24" s="57">
        <f t="shared" si="6"/>
        <v>0</v>
      </c>
      <c r="M24" s="57">
        <f t="shared" si="6"/>
        <v>0</v>
      </c>
      <c r="N24" s="57">
        <f t="shared" si="6"/>
        <v>0</v>
      </c>
      <c r="O24" s="57">
        <f t="shared" si="6"/>
        <v>0</v>
      </c>
      <c r="P24" s="57">
        <f t="shared" si="6"/>
        <v>0</v>
      </c>
      <c r="Q24" s="57">
        <f t="shared" si="6"/>
        <v>0</v>
      </c>
      <c r="R24" s="57">
        <f t="shared" si="6"/>
        <v>0</v>
      </c>
      <c r="S24" s="57">
        <f t="shared" si="6"/>
        <v>0</v>
      </c>
      <c r="T24" s="57">
        <f t="shared" si="6"/>
        <v>0</v>
      </c>
      <c r="U24" s="57">
        <f t="shared" si="6"/>
        <v>0</v>
      </c>
      <c r="V24" s="57">
        <f t="shared" si="6"/>
        <v>0</v>
      </c>
      <c r="W24" s="57">
        <f t="shared" si="6"/>
        <v>0</v>
      </c>
      <c r="X24" s="57">
        <f t="shared" si="6"/>
        <v>0</v>
      </c>
      <c r="Y24" s="57">
        <f t="shared" si="6"/>
        <v>0</v>
      </c>
      <c r="Z24" s="57">
        <f t="shared" si="6"/>
        <v>0</v>
      </c>
      <c r="AA24" s="57">
        <f t="shared" si="6"/>
        <v>0</v>
      </c>
      <c r="AB24" s="57">
        <f t="shared" si="6"/>
        <v>0</v>
      </c>
      <c r="AC24" s="57">
        <f t="shared" si="6"/>
        <v>0</v>
      </c>
      <c r="AD24" s="57">
        <f t="shared" si="6"/>
        <v>0</v>
      </c>
      <c r="AE24" s="57">
        <f t="shared" si="6"/>
        <v>0</v>
      </c>
      <c r="AF24" s="57">
        <f t="shared" si="6"/>
        <v>0</v>
      </c>
      <c r="AG24" s="57">
        <f>SUM(F24:AF24)</f>
        <v>0</v>
      </c>
      <c r="AH24">
        <v>22</v>
      </c>
    </row>
    <row r="25" spans="3:34" x14ac:dyDescent="0.25">
      <c r="D25">
        <v>1020</v>
      </c>
      <c r="E25" t="s">
        <v>326</v>
      </c>
      <c r="F25" s="4">
        <v>0</v>
      </c>
      <c r="G25" s="4">
        <v>0</v>
      </c>
      <c r="H25" s="4">
        <v>0</v>
      </c>
      <c r="I25" s="4">
        <v>0</v>
      </c>
      <c r="J25" s="4">
        <v>0</v>
      </c>
      <c r="K25" s="4">
        <v>0</v>
      </c>
      <c r="L25" s="4">
        <v>0</v>
      </c>
      <c r="M25" s="4">
        <v>0</v>
      </c>
      <c r="N25" s="4">
        <v>0</v>
      </c>
      <c r="O25" s="4">
        <v>0</v>
      </c>
      <c r="P25" s="4">
        <v>0</v>
      </c>
      <c r="Q25" s="4"/>
      <c r="R25" s="4">
        <v>0</v>
      </c>
      <c r="S25" s="4">
        <v>0</v>
      </c>
      <c r="T25" s="4">
        <v>0</v>
      </c>
      <c r="U25" s="4"/>
      <c r="V25" s="4">
        <v>0</v>
      </c>
      <c r="W25" s="4">
        <v>0</v>
      </c>
      <c r="X25" s="4">
        <v>0</v>
      </c>
      <c r="Y25" s="4">
        <v>0</v>
      </c>
      <c r="Z25" s="4"/>
      <c r="AA25" s="4">
        <v>0</v>
      </c>
      <c r="AB25" s="4">
        <v>0</v>
      </c>
      <c r="AC25" s="4"/>
      <c r="AD25" s="4">
        <v>0</v>
      </c>
      <c r="AE25" s="4">
        <v>0</v>
      </c>
      <c r="AF25" s="4">
        <v>0</v>
      </c>
      <c r="AG25" s="31">
        <f>SUM(F25:AF25)</f>
        <v>0</v>
      </c>
      <c r="AH25">
        <v>23</v>
      </c>
    </row>
    <row r="26" spans="3:34" x14ac:dyDescent="0.25">
      <c r="D26">
        <v>1022</v>
      </c>
      <c r="E26" t="s">
        <v>327</v>
      </c>
      <c r="F26" s="4">
        <v>0</v>
      </c>
      <c r="G26" s="4">
        <v>0</v>
      </c>
      <c r="H26" s="4">
        <v>0</v>
      </c>
      <c r="I26" s="4">
        <v>0</v>
      </c>
      <c r="J26" s="4">
        <v>0</v>
      </c>
      <c r="K26" s="4">
        <v>0</v>
      </c>
      <c r="L26" s="4">
        <v>0</v>
      </c>
      <c r="M26" s="4">
        <v>0</v>
      </c>
      <c r="N26" s="4">
        <v>0</v>
      </c>
      <c r="O26" s="4">
        <v>0</v>
      </c>
      <c r="P26" s="4">
        <v>0</v>
      </c>
      <c r="Q26" s="4"/>
      <c r="R26" s="4">
        <v>0</v>
      </c>
      <c r="S26" s="4">
        <v>0</v>
      </c>
      <c r="T26" s="4">
        <v>0</v>
      </c>
      <c r="U26" s="4"/>
      <c r="V26" s="4">
        <v>0</v>
      </c>
      <c r="W26" s="4">
        <v>0</v>
      </c>
      <c r="X26" s="4">
        <v>0</v>
      </c>
      <c r="Y26" s="4">
        <v>0</v>
      </c>
      <c r="Z26" s="4"/>
      <c r="AA26" s="4">
        <v>0</v>
      </c>
      <c r="AB26" s="4">
        <v>0</v>
      </c>
      <c r="AC26" s="4"/>
      <c r="AD26" s="4">
        <v>0</v>
      </c>
      <c r="AE26" s="4">
        <v>0</v>
      </c>
      <c r="AF26" s="4">
        <v>0</v>
      </c>
      <c r="AG26" s="31">
        <f>SUM(F26:AF26)</f>
        <v>0</v>
      </c>
      <c r="AH26">
        <v>24</v>
      </c>
    </row>
    <row r="27" spans="3:34" x14ac:dyDescent="0.25">
      <c r="D27">
        <v>1023</v>
      </c>
      <c r="E27" t="s">
        <v>328</v>
      </c>
      <c r="F27" s="4">
        <v>0</v>
      </c>
      <c r="G27" s="4">
        <v>0</v>
      </c>
      <c r="H27" s="4">
        <v>0</v>
      </c>
      <c r="I27" s="4">
        <v>0</v>
      </c>
      <c r="J27" s="4">
        <v>0</v>
      </c>
      <c r="K27" s="4">
        <v>0</v>
      </c>
      <c r="L27" s="4">
        <v>0</v>
      </c>
      <c r="M27" s="4">
        <v>0</v>
      </c>
      <c r="N27" s="4">
        <v>0</v>
      </c>
      <c r="O27" s="4">
        <v>0</v>
      </c>
      <c r="P27" s="4">
        <v>0</v>
      </c>
      <c r="Q27" s="4"/>
      <c r="R27" s="4">
        <v>0</v>
      </c>
      <c r="S27" s="4">
        <v>0</v>
      </c>
      <c r="T27" s="4">
        <v>0</v>
      </c>
      <c r="U27" s="4"/>
      <c r="V27" s="4">
        <v>0</v>
      </c>
      <c r="W27" s="4">
        <v>0</v>
      </c>
      <c r="X27" s="4">
        <v>0</v>
      </c>
      <c r="Y27" s="4">
        <v>0</v>
      </c>
      <c r="Z27" s="4"/>
      <c r="AA27" s="4">
        <v>0</v>
      </c>
      <c r="AB27" s="4">
        <v>0</v>
      </c>
      <c r="AC27" s="4"/>
      <c r="AD27" s="4">
        <v>0</v>
      </c>
      <c r="AE27" s="4">
        <v>0</v>
      </c>
      <c r="AF27" s="4">
        <v>0</v>
      </c>
      <c r="AG27" s="31">
        <f>SUM(F27:AF27)</f>
        <v>0</v>
      </c>
      <c r="AH27">
        <v>25</v>
      </c>
    </row>
    <row r="28" spans="3:34" x14ac:dyDescent="0.25">
      <c r="D28">
        <v>1029</v>
      </c>
      <c r="E28" t="s">
        <v>329</v>
      </c>
      <c r="F28" s="4">
        <v>0</v>
      </c>
      <c r="G28" s="4">
        <v>0</v>
      </c>
      <c r="H28" s="4">
        <v>0</v>
      </c>
      <c r="I28" s="4">
        <v>0</v>
      </c>
      <c r="J28" s="4">
        <v>0</v>
      </c>
      <c r="K28" s="4">
        <v>0</v>
      </c>
      <c r="L28" s="4">
        <v>0</v>
      </c>
      <c r="M28" s="4">
        <v>0</v>
      </c>
      <c r="N28" s="4">
        <v>0</v>
      </c>
      <c r="O28" s="4">
        <v>0</v>
      </c>
      <c r="P28" s="4">
        <v>0</v>
      </c>
      <c r="Q28" s="4"/>
      <c r="R28" s="4">
        <v>0</v>
      </c>
      <c r="S28" s="4">
        <v>0</v>
      </c>
      <c r="T28" s="4">
        <v>0</v>
      </c>
      <c r="U28" s="4"/>
      <c r="V28" s="4">
        <v>0</v>
      </c>
      <c r="W28" s="4">
        <v>0</v>
      </c>
      <c r="X28" s="4">
        <v>0</v>
      </c>
      <c r="Y28" s="4">
        <v>0</v>
      </c>
      <c r="Z28" s="4"/>
      <c r="AA28" s="4">
        <v>0</v>
      </c>
      <c r="AB28" s="4">
        <v>0</v>
      </c>
      <c r="AC28" s="4"/>
      <c r="AD28" s="4">
        <v>0</v>
      </c>
      <c r="AE28" s="4">
        <v>0</v>
      </c>
      <c r="AF28" s="4">
        <v>0</v>
      </c>
      <c r="AG28" s="31">
        <f>SUM(F28:AF28)</f>
        <v>0</v>
      </c>
      <c r="AH28">
        <v>26</v>
      </c>
    </row>
    <row r="29" spans="3:34" x14ac:dyDescent="0.25">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31"/>
      <c r="AH29">
        <v>27</v>
      </c>
    </row>
    <row r="30" spans="3:34" x14ac:dyDescent="0.25">
      <c r="C30" s="56">
        <v>104</v>
      </c>
      <c r="D30" s="56"/>
      <c r="E30" s="56" t="s">
        <v>244</v>
      </c>
      <c r="F30" s="57">
        <f>F31+F32+F33+F34+F35+F36+F37+F38</f>
        <v>178678.05000000002</v>
      </c>
      <c r="G30" s="57">
        <f t="shared" ref="G30:AF30" si="7">G31+G32+G33+G34+G35+G36+G37+G38</f>
        <v>1972463.71</v>
      </c>
      <c r="H30" s="57">
        <f t="shared" si="7"/>
        <v>0</v>
      </c>
      <c r="I30" s="57">
        <f t="shared" si="7"/>
        <v>70048.100000000006</v>
      </c>
      <c r="J30" s="57">
        <f t="shared" si="7"/>
        <v>103325</v>
      </c>
      <c r="K30" s="57">
        <f t="shared" si="7"/>
        <v>8645.6</v>
      </c>
      <c r="L30" s="57">
        <f t="shared" si="7"/>
        <v>338429.9</v>
      </c>
      <c r="M30" s="57">
        <f t="shared" si="7"/>
        <v>0</v>
      </c>
      <c r="N30" s="57">
        <f t="shared" si="7"/>
        <v>10041.1</v>
      </c>
      <c r="O30" s="57">
        <f t="shared" si="7"/>
        <v>866.4</v>
      </c>
      <c r="P30" s="57">
        <f t="shared" si="7"/>
        <v>41103.25</v>
      </c>
      <c r="Q30" s="57">
        <f t="shared" si="7"/>
        <v>0</v>
      </c>
      <c r="R30" s="57">
        <f t="shared" si="7"/>
        <v>0</v>
      </c>
      <c r="S30" s="57">
        <f t="shared" si="7"/>
        <v>0</v>
      </c>
      <c r="T30" s="57">
        <f t="shared" si="7"/>
        <v>0</v>
      </c>
      <c r="U30" s="57">
        <f t="shared" si="7"/>
        <v>0</v>
      </c>
      <c r="V30" s="57">
        <f t="shared" si="7"/>
        <v>8600</v>
      </c>
      <c r="W30" s="57">
        <f t="shared" si="7"/>
        <v>0</v>
      </c>
      <c r="X30" s="57">
        <f t="shared" si="7"/>
        <v>0</v>
      </c>
      <c r="Y30" s="57">
        <f t="shared" si="7"/>
        <v>4025.15</v>
      </c>
      <c r="Z30" s="57">
        <f t="shared" si="7"/>
        <v>204085.01</v>
      </c>
      <c r="AA30" s="57">
        <f t="shared" si="7"/>
        <v>100508.35</v>
      </c>
      <c r="AB30" s="57">
        <f t="shared" si="7"/>
        <v>87309.25</v>
      </c>
      <c r="AC30" s="57">
        <f t="shared" si="7"/>
        <v>0</v>
      </c>
      <c r="AD30" s="57">
        <f t="shared" si="7"/>
        <v>1667.7</v>
      </c>
      <c r="AE30" s="57">
        <f t="shared" si="7"/>
        <v>0</v>
      </c>
      <c r="AF30" s="57">
        <f t="shared" si="7"/>
        <v>93325.65</v>
      </c>
      <c r="AG30" s="57">
        <f t="shared" ref="AG30:AG38" si="8">SUM(F30:AF30)</f>
        <v>3223122.2199999997</v>
      </c>
      <c r="AH30">
        <v>28</v>
      </c>
    </row>
    <row r="31" spans="3:34" x14ac:dyDescent="0.25">
      <c r="D31">
        <v>1040</v>
      </c>
      <c r="E31" t="s">
        <v>61</v>
      </c>
      <c r="F31" s="4">
        <v>7768.65</v>
      </c>
      <c r="G31" s="4">
        <v>0</v>
      </c>
      <c r="H31" s="4">
        <v>0</v>
      </c>
      <c r="I31" s="4">
        <v>0</v>
      </c>
      <c r="J31" s="4">
        <v>103325</v>
      </c>
      <c r="K31" s="4">
        <v>0</v>
      </c>
      <c r="L31" s="4">
        <v>0</v>
      </c>
      <c r="M31" s="4">
        <v>0</v>
      </c>
      <c r="N31" s="4">
        <v>0</v>
      </c>
      <c r="O31" s="4">
        <v>0</v>
      </c>
      <c r="P31" s="4">
        <v>21103.25</v>
      </c>
      <c r="Q31" s="4"/>
      <c r="R31" s="4">
        <v>0</v>
      </c>
      <c r="S31" s="4">
        <v>0</v>
      </c>
      <c r="T31" s="4">
        <v>0</v>
      </c>
      <c r="U31" s="4"/>
      <c r="V31" s="4">
        <v>0</v>
      </c>
      <c r="W31" s="4">
        <v>0</v>
      </c>
      <c r="X31" s="4">
        <v>0</v>
      </c>
      <c r="Y31" s="4">
        <v>0</v>
      </c>
      <c r="Z31" s="4">
        <v>0</v>
      </c>
      <c r="AA31" s="4">
        <v>0</v>
      </c>
      <c r="AB31" s="4">
        <v>0</v>
      </c>
      <c r="AC31" s="4"/>
      <c r="AD31" s="4">
        <v>0</v>
      </c>
      <c r="AE31" s="4">
        <v>0</v>
      </c>
      <c r="AF31" s="4">
        <v>0</v>
      </c>
      <c r="AG31" s="31">
        <f t="shared" si="8"/>
        <v>132196.9</v>
      </c>
      <c r="AH31">
        <v>29</v>
      </c>
    </row>
    <row r="32" spans="3:34" x14ac:dyDescent="0.25">
      <c r="D32">
        <v>1041</v>
      </c>
      <c r="E32" t="s">
        <v>330</v>
      </c>
      <c r="F32" s="4">
        <v>6748.95</v>
      </c>
      <c r="G32" s="4">
        <v>1801439.85</v>
      </c>
      <c r="H32" s="4">
        <v>0</v>
      </c>
      <c r="I32" s="4">
        <v>70048.100000000006</v>
      </c>
      <c r="J32" s="4">
        <v>0</v>
      </c>
      <c r="K32" s="4">
        <v>4000</v>
      </c>
      <c r="L32" s="4">
        <v>0</v>
      </c>
      <c r="M32" s="4">
        <v>0</v>
      </c>
      <c r="N32" s="4">
        <v>10041.1</v>
      </c>
      <c r="O32" s="4">
        <v>0</v>
      </c>
      <c r="P32" s="4">
        <v>20000</v>
      </c>
      <c r="Q32" s="4"/>
      <c r="R32" s="4">
        <v>0</v>
      </c>
      <c r="S32" s="4">
        <v>0</v>
      </c>
      <c r="T32" s="4">
        <v>0</v>
      </c>
      <c r="U32" s="4"/>
      <c r="V32" s="4">
        <v>0</v>
      </c>
      <c r="W32" s="4">
        <v>0</v>
      </c>
      <c r="X32" s="4">
        <v>0</v>
      </c>
      <c r="Y32" s="4">
        <v>4025.15</v>
      </c>
      <c r="Z32" s="4">
        <v>204085.01</v>
      </c>
      <c r="AA32" s="4">
        <v>100508.35</v>
      </c>
      <c r="AB32" s="4">
        <v>29789.25</v>
      </c>
      <c r="AC32" s="4"/>
      <c r="AD32" s="4">
        <v>1667.7</v>
      </c>
      <c r="AE32" s="4">
        <v>0</v>
      </c>
      <c r="AF32" s="4">
        <v>93325.65</v>
      </c>
      <c r="AG32" s="31">
        <f t="shared" si="8"/>
        <v>2345679.1100000003</v>
      </c>
      <c r="AH32">
        <v>30</v>
      </c>
    </row>
    <row r="33" spans="3:34" x14ac:dyDescent="0.25">
      <c r="D33">
        <v>1042</v>
      </c>
      <c r="E33" t="s">
        <v>331</v>
      </c>
      <c r="F33" s="4">
        <v>0</v>
      </c>
      <c r="G33" s="4">
        <v>0</v>
      </c>
      <c r="H33" s="4">
        <v>0</v>
      </c>
      <c r="I33" s="4">
        <v>0</v>
      </c>
      <c r="J33" s="4">
        <v>0</v>
      </c>
      <c r="K33" s="4">
        <v>0</v>
      </c>
      <c r="L33" s="4">
        <v>0</v>
      </c>
      <c r="M33" s="4">
        <v>0</v>
      </c>
      <c r="N33" s="4">
        <v>0</v>
      </c>
      <c r="O33" s="4">
        <v>0</v>
      </c>
      <c r="P33" s="4">
        <v>0</v>
      </c>
      <c r="Q33" s="4"/>
      <c r="R33" s="4">
        <v>0</v>
      </c>
      <c r="S33" s="4">
        <v>0</v>
      </c>
      <c r="T33" s="4">
        <v>0</v>
      </c>
      <c r="U33" s="4"/>
      <c r="V33" s="4">
        <v>0</v>
      </c>
      <c r="W33" s="4">
        <v>0</v>
      </c>
      <c r="X33" s="4">
        <v>0</v>
      </c>
      <c r="Y33" s="4">
        <v>0</v>
      </c>
      <c r="Z33" s="4">
        <v>0</v>
      </c>
      <c r="AA33" s="4">
        <v>0</v>
      </c>
      <c r="AB33" s="4">
        <v>0</v>
      </c>
      <c r="AC33" s="4"/>
      <c r="AD33" s="4">
        <v>0</v>
      </c>
      <c r="AE33" s="4">
        <v>0</v>
      </c>
      <c r="AF33" s="4">
        <v>0</v>
      </c>
      <c r="AG33" s="31">
        <f t="shared" si="8"/>
        <v>0</v>
      </c>
      <c r="AH33">
        <v>31</v>
      </c>
    </row>
    <row r="34" spans="3:34" x14ac:dyDescent="0.25">
      <c r="D34">
        <v>1043</v>
      </c>
      <c r="E34" t="s">
        <v>332</v>
      </c>
      <c r="F34" s="4">
        <v>0</v>
      </c>
      <c r="G34" s="4">
        <v>171023.86</v>
      </c>
      <c r="H34" s="4">
        <v>0</v>
      </c>
      <c r="I34" s="4">
        <v>0</v>
      </c>
      <c r="J34" s="4">
        <v>0</v>
      </c>
      <c r="K34" s="4">
        <v>0</v>
      </c>
      <c r="L34" s="4">
        <v>338429.9</v>
      </c>
      <c r="M34" s="4">
        <v>0</v>
      </c>
      <c r="N34" s="4">
        <v>0</v>
      </c>
      <c r="O34" s="4">
        <v>0</v>
      </c>
      <c r="P34" s="4">
        <v>0</v>
      </c>
      <c r="Q34" s="4"/>
      <c r="R34" s="4">
        <v>0</v>
      </c>
      <c r="S34" s="4">
        <v>0</v>
      </c>
      <c r="T34" s="4">
        <v>0</v>
      </c>
      <c r="U34" s="4"/>
      <c r="V34" s="4">
        <v>0</v>
      </c>
      <c r="W34" s="4">
        <v>0</v>
      </c>
      <c r="X34" s="4">
        <v>0</v>
      </c>
      <c r="Y34" s="4">
        <v>0</v>
      </c>
      <c r="Z34" s="4">
        <v>0</v>
      </c>
      <c r="AA34" s="4">
        <v>0</v>
      </c>
      <c r="AB34" s="4">
        <v>0</v>
      </c>
      <c r="AC34" s="4"/>
      <c r="AD34" s="4">
        <v>0</v>
      </c>
      <c r="AE34" s="4">
        <v>0</v>
      </c>
      <c r="AF34" s="4">
        <v>0</v>
      </c>
      <c r="AG34" s="31">
        <f t="shared" si="8"/>
        <v>509453.76</v>
      </c>
      <c r="AH34">
        <v>32</v>
      </c>
    </row>
    <row r="35" spans="3:34" x14ac:dyDescent="0.25">
      <c r="D35">
        <v>1044</v>
      </c>
      <c r="E35" t="s">
        <v>333</v>
      </c>
      <c r="F35" s="4">
        <v>164160.45000000001</v>
      </c>
      <c r="G35" s="4">
        <v>0</v>
      </c>
      <c r="H35" s="4">
        <v>0</v>
      </c>
      <c r="I35" s="4">
        <v>0</v>
      </c>
      <c r="J35" s="4">
        <v>0</v>
      </c>
      <c r="K35" s="4">
        <v>4645.6000000000004</v>
      </c>
      <c r="L35" s="4">
        <v>0</v>
      </c>
      <c r="M35" s="4">
        <v>0</v>
      </c>
      <c r="N35" s="4">
        <v>0</v>
      </c>
      <c r="O35" s="4">
        <v>0</v>
      </c>
      <c r="P35" s="4">
        <v>0</v>
      </c>
      <c r="Q35" s="4"/>
      <c r="R35" s="4">
        <v>0</v>
      </c>
      <c r="S35" s="4">
        <v>0</v>
      </c>
      <c r="T35" s="4">
        <v>0</v>
      </c>
      <c r="U35" s="4"/>
      <c r="V35" s="4">
        <v>0</v>
      </c>
      <c r="W35" s="4">
        <v>0</v>
      </c>
      <c r="X35" s="4">
        <v>0</v>
      </c>
      <c r="Y35" s="4">
        <v>0</v>
      </c>
      <c r="Z35" s="4">
        <v>0</v>
      </c>
      <c r="AA35" s="4">
        <v>0</v>
      </c>
      <c r="AB35" s="4">
        <v>0</v>
      </c>
      <c r="AC35" s="4"/>
      <c r="AD35" s="4">
        <v>0</v>
      </c>
      <c r="AE35" s="4">
        <v>0</v>
      </c>
      <c r="AF35" s="4">
        <v>0</v>
      </c>
      <c r="AG35" s="31">
        <f t="shared" si="8"/>
        <v>168806.05000000002</v>
      </c>
      <c r="AH35">
        <v>33</v>
      </c>
    </row>
    <row r="36" spans="3:34" x14ac:dyDescent="0.25">
      <c r="D36">
        <v>1045</v>
      </c>
      <c r="E36" t="s">
        <v>334</v>
      </c>
      <c r="F36" s="4">
        <v>0</v>
      </c>
      <c r="G36" s="4">
        <v>0</v>
      </c>
      <c r="H36" s="4">
        <v>0</v>
      </c>
      <c r="I36" s="4">
        <v>0</v>
      </c>
      <c r="J36" s="4">
        <v>0</v>
      </c>
      <c r="K36" s="4">
        <v>0</v>
      </c>
      <c r="L36" s="4">
        <v>0</v>
      </c>
      <c r="M36" s="4">
        <v>0</v>
      </c>
      <c r="N36" s="4">
        <v>0</v>
      </c>
      <c r="O36" s="4">
        <v>0</v>
      </c>
      <c r="P36" s="4">
        <v>0</v>
      </c>
      <c r="Q36" s="4"/>
      <c r="R36" s="4">
        <v>0</v>
      </c>
      <c r="S36" s="4">
        <v>0</v>
      </c>
      <c r="T36" s="4">
        <v>0</v>
      </c>
      <c r="U36" s="4"/>
      <c r="V36" s="4">
        <v>8600</v>
      </c>
      <c r="W36" s="4">
        <v>0</v>
      </c>
      <c r="X36" s="4">
        <v>0</v>
      </c>
      <c r="Y36" s="4">
        <v>0</v>
      </c>
      <c r="Z36" s="4">
        <v>0</v>
      </c>
      <c r="AA36" s="4">
        <v>0</v>
      </c>
      <c r="AB36" s="4">
        <v>0</v>
      </c>
      <c r="AC36" s="4"/>
      <c r="AD36" s="4">
        <v>0</v>
      </c>
      <c r="AE36" s="4">
        <v>0</v>
      </c>
      <c r="AF36" s="4">
        <v>0</v>
      </c>
      <c r="AG36" s="31">
        <f t="shared" si="8"/>
        <v>8600</v>
      </c>
      <c r="AH36">
        <v>34</v>
      </c>
    </row>
    <row r="37" spans="3:34" x14ac:dyDescent="0.25">
      <c r="D37">
        <v>1046</v>
      </c>
      <c r="E37" t="s">
        <v>335</v>
      </c>
      <c r="F37" s="4">
        <v>0</v>
      </c>
      <c r="G37" s="4">
        <v>0</v>
      </c>
      <c r="H37" s="4">
        <v>0</v>
      </c>
      <c r="I37" s="4">
        <v>0</v>
      </c>
      <c r="J37" s="4">
        <v>0</v>
      </c>
      <c r="K37" s="4">
        <v>0</v>
      </c>
      <c r="L37" s="4">
        <v>0</v>
      </c>
      <c r="M37" s="4">
        <v>0</v>
      </c>
      <c r="N37" s="4">
        <v>0</v>
      </c>
      <c r="O37" s="4">
        <v>0</v>
      </c>
      <c r="P37" s="4">
        <v>0</v>
      </c>
      <c r="Q37" s="4"/>
      <c r="R37" s="4">
        <v>0</v>
      </c>
      <c r="S37" s="4">
        <v>0</v>
      </c>
      <c r="T37" s="4">
        <v>0</v>
      </c>
      <c r="U37" s="4"/>
      <c r="V37" s="4">
        <v>0</v>
      </c>
      <c r="W37" s="4">
        <v>0</v>
      </c>
      <c r="X37" s="4">
        <v>0</v>
      </c>
      <c r="Y37" s="4">
        <v>0</v>
      </c>
      <c r="Z37" s="4">
        <v>0</v>
      </c>
      <c r="AA37" s="4">
        <v>0</v>
      </c>
      <c r="AB37" s="4">
        <v>57520</v>
      </c>
      <c r="AC37" s="4"/>
      <c r="AD37" s="4">
        <v>0</v>
      </c>
      <c r="AE37" s="4">
        <v>0</v>
      </c>
      <c r="AF37" s="4">
        <v>0</v>
      </c>
      <c r="AG37" s="31">
        <f t="shared" si="8"/>
        <v>57520</v>
      </c>
      <c r="AH37">
        <v>35</v>
      </c>
    </row>
    <row r="38" spans="3:34" x14ac:dyDescent="0.25">
      <c r="D38">
        <v>1049</v>
      </c>
      <c r="E38" t="s">
        <v>336</v>
      </c>
      <c r="F38" s="4">
        <v>0</v>
      </c>
      <c r="G38" s="4">
        <v>0</v>
      </c>
      <c r="H38" s="4">
        <v>0</v>
      </c>
      <c r="I38" s="4">
        <v>0</v>
      </c>
      <c r="J38" s="4">
        <v>0</v>
      </c>
      <c r="K38" s="4">
        <v>0</v>
      </c>
      <c r="L38" s="4">
        <v>0</v>
      </c>
      <c r="M38" s="4">
        <v>0</v>
      </c>
      <c r="N38" s="4">
        <v>0</v>
      </c>
      <c r="O38" s="4">
        <v>866.4</v>
      </c>
      <c r="P38" s="4">
        <v>0</v>
      </c>
      <c r="Q38" s="4"/>
      <c r="R38" s="4">
        <v>0</v>
      </c>
      <c r="S38" s="4">
        <v>0</v>
      </c>
      <c r="T38" s="4">
        <v>0</v>
      </c>
      <c r="U38" s="4"/>
      <c r="V38" s="4">
        <v>0</v>
      </c>
      <c r="W38" s="4">
        <v>0</v>
      </c>
      <c r="X38" s="4">
        <v>0</v>
      </c>
      <c r="Y38" s="4">
        <v>0</v>
      </c>
      <c r="Z38" s="4">
        <v>0</v>
      </c>
      <c r="AA38" s="4">
        <v>0</v>
      </c>
      <c r="AB38" s="4">
        <v>0</v>
      </c>
      <c r="AC38" s="4"/>
      <c r="AD38" s="4">
        <v>0</v>
      </c>
      <c r="AE38" s="4">
        <v>0</v>
      </c>
      <c r="AF38" s="4">
        <v>0</v>
      </c>
      <c r="AG38" s="31">
        <f t="shared" si="8"/>
        <v>866.4</v>
      </c>
      <c r="AH38">
        <v>36</v>
      </c>
    </row>
    <row r="39" spans="3:34" x14ac:dyDescent="0.25">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31"/>
      <c r="AH39">
        <v>37</v>
      </c>
    </row>
    <row r="40" spans="3:34" x14ac:dyDescent="0.25">
      <c r="C40" s="56">
        <v>106</v>
      </c>
      <c r="D40" s="56"/>
      <c r="E40" s="56" t="s">
        <v>245</v>
      </c>
      <c r="F40" s="57">
        <f>F41+F42+F43+F44+F45</f>
        <v>0</v>
      </c>
      <c r="G40" s="57">
        <f t="shared" ref="G40:AF40" si="9">G41+G42+G43+G44+G45</f>
        <v>0</v>
      </c>
      <c r="H40" s="57">
        <f t="shared" si="9"/>
        <v>1</v>
      </c>
      <c r="I40" s="57">
        <f t="shared" si="9"/>
        <v>0</v>
      </c>
      <c r="J40" s="57">
        <f t="shared" si="9"/>
        <v>0</v>
      </c>
      <c r="K40" s="57">
        <f t="shared" si="9"/>
        <v>0</v>
      </c>
      <c r="L40" s="57">
        <f t="shared" si="9"/>
        <v>0</v>
      </c>
      <c r="M40" s="57">
        <f t="shared" si="9"/>
        <v>0</v>
      </c>
      <c r="N40" s="57">
        <f t="shared" si="9"/>
        <v>0</v>
      </c>
      <c r="O40" s="57">
        <f t="shared" si="9"/>
        <v>0</v>
      </c>
      <c r="P40" s="57">
        <f t="shared" si="9"/>
        <v>0</v>
      </c>
      <c r="Q40" s="57">
        <f t="shared" si="9"/>
        <v>0</v>
      </c>
      <c r="R40" s="57">
        <f t="shared" si="9"/>
        <v>0</v>
      </c>
      <c r="S40" s="57">
        <f t="shared" si="9"/>
        <v>0</v>
      </c>
      <c r="T40" s="57">
        <f t="shared" si="9"/>
        <v>0</v>
      </c>
      <c r="U40" s="57">
        <f t="shared" si="9"/>
        <v>0</v>
      </c>
      <c r="V40" s="57">
        <f t="shared" si="9"/>
        <v>0</v>
      </c>
      <c r="W40" s="57">
        <f t="shared" si="9"/>
        <v>0</v>
      </c>
      <c r="X40" s="57">
        <f t="shared" si="9"/>
        <v>0</v>
      </c>
      <c r="Y40" s="57">
        <f t="shared" si="9"/>
        <v>0</v>
      </c>
      <c r="Z40" s="57">
        <f t="shared" si="9"/>
        <v>0</v>
      </c>
      <c r="AA40" s="57">
        <f t="shared" si="9"/>
        <v>0</v>
      </c>
      <c r="AB40" s="57">
        <f t="shared" si="9"/>
        <v>0</v>
      </c>
      <c r="AC40" s="57">
        <f t="shared" si="9"/>
        <v>0</v>
      </c>
      <c r="AD40" s="57">
        <f t="shared" si="9"/>
        <v>0</v>
      </c>
      <c r="AE40" s="57">
        <f t="shared" si="9"/>
        <v>0</v>
      </c>
      <c r="AF40" s="57">
        <f t="shared" si="9"/>
        <v>0</v>
      </c>
      <c r="AG40" s="57">
        <f t="shared" ref="AG40:AG45" si="10">SUM(F40:AF40)</f>
        <v>1</v>
      </c>
      <c r="AH40">
        <v>38</v>
      </c>
    </row>
    <row r="41" spans="3:34" x14ac:dyDescent="0.25">
      <c r="D41">
        <v>1060</v>
      </c>
      <c r="E41" t="s">
        <v>337</v>
      </c>
      <c r="F41" s="4">
        <v>0</v>
      </c>
      <c r="G41" s="4">
        <v>0</v>
      </c>
      <c r="H41" s="4">
        <v>1</v>
      </c>
      <c r="I41" s="4">
        <v>0</v>
      </c>
      <c r="J41" s="4">
        <v>0</v>
      </c>
      <c r="K41" s="4">
        <v>0</v>
      </c>
      <c r="L41" s="4">
        <v>0</v>
      </c>
      <c r="M41" s="4">
        <v>0</v>
      </c>
      <c r="N41" s="4">
        <v>0</v>
      </c>
      <c r="O41" s="4">
        <v>0</v>
      </c>
      <c r="P41" s="4">
        <v>0</v>
      </c>
      <c r="Q41" s="4"/>
      <c r="R41" s="4">
        <v>0</v>
      </c>
      <c r="S41" s="4">
        <v>0</v>
      </c>
      <c r="T41" s="4">
        <v>0</v>
      </c>
      <c r="U41" s="4"/>
      <c r="V41" s="4">
        <v>0</v>
      </c>
      <c r="W41" s="4">
        <v>0</v>
      </c>
      <c r="X41" s="4">
        <v>0</v>
      </c>
      <c r="Y41" s="4">
        <v>0</v>
      </c>
      <c r="Z41" s="4">
        <v>0</v>
      </c>
      <c r="AA41" s="4">
        <v>0</v>
      </c>
      <c r="AB41" s="4">
        <v>0</v>
      </c>
      <c r="AC41" s="4"/>
      <c r="AD41" s="4">
        <v>0</v>
      </c>
      <c r="AE41" s="4">
        <v>0</v>
      </c>
      <c r="AF41" s="4">
        <v>0</v>
      </c>
      <c r="AG41" s="31">
        <f t="shared" si="10"/>
        <v>1</v>
      </c>
      <c r="AH41">
        <v>39</v>
      </c>
    </row>
    <row r="42" spans="3:34" x14ac:dyDescent="0.25">
      <c r="D42">
        <v>1061</v>
      </c>
      <c r="E42" t="s">
        <v>338</v>
      </c>
      <c r="F42" s="4">
        <v>0</v>
      </c>
      <c r="G42" s="4">
        <v>0</v>
      </c>
      <c r="H42" s="4">
        <v>0</v>
      </c>
      <c r="I42" s="4">
        <v>0</v>
      </c>
      <c r="J42" s="4">
        <v>0</v>
      </c>
      <c r="K42" s="4">
        <v>0</v>
      </c>
      <c r="L42" s="4">
        <v>0</v>
      </c>
      <c r="M42" s="4">
        <v>0</v>
      </c>
      <c r="N42" s="4">
        <v>0</v>
      </c>
      <c r="O42" s="4">
        <v>0</v>
      </c>
      <c r="P42" s="4">
        <v>0</v>
      </c>
      <c r="Q42" s="4"/>
      <c r="R42" s="4">
        <v>0</v>
      </c>
      <c r="S42" s="4">
        <v>0</v>
      </c>
      <c r="T42" s="4">
        <v>0</v>
      </c>
      <c r="U42" s="4"/>
      <c r="V42" s="4">
        <v>0</v>
      </c>
      <c r="W42" s="4">
        <v>0</v>
      </c>
      <c r="X42" s="4">
        <v>0</v>
      </c>
      <c r="Y42" s="4">
        <v>0</v>
      </c>
      <c r="Z42" s="4">
        <v>0</v>
      </c>
      <c r="AA42" s="4">
        <v>0</v>
      </c>
      <c r="AB42" s="4">
        <v>0</v>
      </c>
      <c r="AC42" s="4"/>
      <c r="AD42" s="4">
        <v>0</v>
      </c>
      <c r="AE42" s="4">
        <v>0</v>
      </c>
      <c r="AF42" s="4">
        <v>0</v>
      </c>
      <c r="AG42" s="31">
        <f t="shared" si="10"/>
        <v>0</v>
      </c>
      <c r="AH42">
        <v>40</v>
      </c>
    </row>
    <row r="43" spans="3:34" x14ac:dyDescent="0.25">
      <c r="D43">
        <v>1062</v>
      </c>
      <c r="E43" t="s">
        <v>339</v>
      </c>
      <c r="F43" s="4">
        <v>0</v>
      </c>
      <c r="G43" s="4">
        <v>0</v>
      </c>
      <c r="H43" s="4">
        <v>0</v>
      </c>
      <c r="I43" s="4">
        <v>0</v>
      </c>
      <c r="J43" s="4">
        <v>0</v>
      </c>
      <c r="K43" s="4">
        <v>0</v>
      </c>
      <c r="L43" s="4">
        <v>0</v>
      </c>
      <c r="M43" s="4">
        <v>0</v>
      </c>
      <c r="N43" s="4">
        <v>0</v>
      </c>
      <c r="O43" s="4">
        <v>0</v>
      </c>
      <c r="P43" s="4">
        <v>0</v>
      </c>
      <c r="Q43" s="4"/>
      <c r="R43" s="4">
        <v>0</v>
      </c>
      <c r="S43" s="4">
        <v>0</v>
      </c>
      <c r="T43" s="4">
        <v>0</v>
      </c>
      <c r="U43" s="4"/>
      <c r="V43" s="4">
        <v>0</v>
      </c>
      <c r="W43" s="4">
        <v>0</v>
      </c>
      <c r="X43" s="4">
        <v>0</v>
      </c>
      <c r="Y43" s="4">
        <v>0</v>
      </c>
      <c r="Z43" s="4">
        <v>0</v>
      </c>
      <c r="AA43" s="4">
        <v>0</v>
      </c>
      <c r="AB43" s="4">
        <v>0</v>
      </c>
      <c r="AC43" s="4"/>
      <c r="AD43" s="4">
        <v>0</v>
      </c>
      <c r="AE43" s="4">
        <v>0</v>
      </c>
      <c r="AF43" s="4">
        <v>0</v>
      </c>
      <c r="AG43" s="31">
        <f t="shared" si="10"/>
        <v>0</v>
      </c>
      <c r="AH43">
        <v>41</v>
      </c>
    </row>
    <row r="44" spans="3:34" x14ac:dyDescent="0.25">
      <c r="D44">
        <v>1063</v>
      </c>
      <c r="E44" t="s">
        <v>340</v>
      </c>
      <c r="F44" s="4">
        <v>0</v>
      </c>
      <c r="G44" s="4">
        <v>0</v>
      </c>
      <c r="H44" s="4">
        <v>0</v>
      </c>
      <c r="I44" s="4">
        <v>0</v>
      </c>
      <c r="J44" s="4">
        <v>0</v>
      </c>
      <c r="K44" s="4">
        <v>0</v>
      </c>
      <c r="L44" s="4">
        <v>0</v>
      </c>
      <c r="M44" s="4">
        <v>0</v>
      </c>
      <c r="N44" s="4">
        <v>0</v>
      </c>
      <c r="O44" s="4">
        <v>0</v>
      </c>
      <c r="P44" s="4">
        <v>0</v>
      </c>
      <c r="Q44" s="4"/>
      <c r="R44" s="4">
        <v>0</v>
      </c>
      <c r="S44" s="4">
        <v>0</v>
      </c>
      <c r="T44" s="4">
        <v>0</v>
      </c>
      <c r="U44" s="4"/>
      <c r="V44" s="4">
        <v>0</v>
      </c>
      <c r="W44" s="4">
        <v>0</v>
      </c>
      <c r="X44" s="4">
        <v>0</v>
      </c>
      <c r="Y44" s="4">
        <v>0</v>
      </c>
      <c r="Z44" s="4">
        <v>0</v>
      </c>
      <c r="AA44" s="4">
        <v>0</v>
      </c>
      <c r="AB44" s="4">
        <v>0</v>
      </c>
      <c r="AC44" s="4"/>
      <c r="AD44" s="4">
        <v>0</v>
      </c>
      <c r="AE44" s="4">
        <v>0</v>
      </c>
      <c r="AF44" s="4">
        <v>0</v>
      </c>
      <c r="AG44" s="31">
        <f t="shared" si="10"/>
        <v>0</v>
      </c>
      <c r="AH44">
        <v>42</v>
      </c>
    </row>
    <row r="45" spans="3:34" x14ac:dyDescent="0.25">
      <c r="D45">
        <v>1068</v>
      </c>
      <c r="E45" t="s">
        <v>341</v>
      </c>
      <c r="F45" s="4">
        <v>0</v>
      </c>
      <c r="G45" s="4">
        <v>0</v>
      </c>
      <c r="H45" s="4">
        <v>0</v>
      </c>
      <c r="I45" s="4">
        <v>0</v>
      </c>
      <c r="J45" s="4">
        <v>0</v>
      </c>
      <c r="K45" s="4">
        <v>0</v>
      </c>
      <c r="L45" s="4">
        <v>0</v>
      </c>
      <c r="M45" s="4">
        <v>0</v>
      </c>
      <c r="N45" s="4">
        <v>0</v>
      </c>
      <c r="O45" s="4">
        <v>0</v>
      </c>
      <c r="P45" s="4">
        <v>0</v>
      </c>
      <c r="Q45" s="4"/>
      <c r="R45" s="4">
        <v>0</v>
      </c>
      <c r="S45" s="4">
        <v>0</v>
      </c>
      <c r="T45" s="4">
        <v>0</v>
      </c>
      <c r="U45" s="4"/>
      <c r="V45" s="4">
        <v>0</v>
      </c>
      <c r="W45" s="4">
        <v>0</v>
      </c>
      <c r="X45" s="4">
        <v>0</v>
      </c>
      <c r="Y45" s="4">
        <v>0</v>
      </c>
      <c r="Z45" s="4">
        <v>0</v>
      </c>
      <c r="AA45" s="4">
        <v>0</v>
      </c>
      <c r="AB45" s="4">
        <v>0</v>
      </c>
      <c r="AC45" s="4"/>
      <c r="AD45" s="4">
        <v>0</v>
      </c>
      <c r="AE45" s="4">
        <v>0</v>
      </c>
      <c r="AF45" s="4">
        <v>0</v>
      </c>
      <c r="AG45" s="31">
        <f t="shared" si="10"/>
        <v>0</v>
      </c>
      <c r="AH45">
        <v>43</v>
      </c>
    </row>
    <row r="46" spans="3:34" x14ac:dyDescent="0.25">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31"/>
      <c r="AH46">
        <v>44</v>
      </c>
    </row>
    <row r="47" spans="3:34" x14ac:dyDescent="0.25">
      <c r="C47" s="56">
        <v>107</v>
      </c>
      <c r="D47" s="56"/>
      <c r="E47" s="56" t="s">
        <v>346</v>
      </c>
      <c r="F47" s="57">
        <f>F48+F49+F50+F51</f>
        <v>0</v>
      </c>
      <c r="G47" s="57">
        <f t="shared" ref="G47:AF47" si="11">G48+G49+G50+G51</f>
        <v>200000</v>
      </c>
      <c r="H47" s="57">
        <f t="shared" si="11"/>
        <v>0</v>
      </c>
      <c r="I47" s="57">
        <f t="shared" si="11"/>
        <v>0</v>
      </c>
      <c r="J47" s="57">
        <f t="shared" si="11"/>
        <v>0</v>
      </c>
      <c r="K47" s="57">
        <f t="shared" si="11"/>
        <v>0</v>
      </c>
      <c r="L47" s="57">
        <f t="shared" si="11"/>
        <v>0</v>
      </c>
      <c r="M47" s="57">
        <f t="shared" si="11"/>
        <v>0</v>
      </c>
      <c r="N47" s="57">
        <f t="shared" si="11"/>
        <v>0</v>
      </c>
      <c r="O47" s="57">
        <f t="shared" si="11"/>
        <v>0</v>
      </c>
      <c r="P47" s="57">
        <f t="shared" si="11"/>
        <v>6000262.5</v>
      </c>
      <c r="Q47" s="57">
        <f t="shared" si="11"/>
        <v>0</v>
      </c>
      <c r="R47" s="57">
        <f t="shared" si="11"/>
        <v>0</v>
      </c>
      <c r="S47" s="57">
        <f t="shared" si="11"/>
        <v>0</v>
      </c>
      <c r="T47" s="57">
        <f t="shared" si="11"/>
        <v>0</v>
      </c>
      <c r="U47" s="57">
        <f t="shared" si="11"/>
        <v>0</v>
      </c>
      <c r="V47" s="57">
        <f t="shared" si="11"/>
        <v>700</v>
      </c>
      <c r="W47" s="57">
        <f t="shared" si="11"/>
        <v>0</v>
      </c>
      <c r="X47" s="57">
        <f t="shared" si="11"/>
        <v>0</v>
      </c>
      <c r="Y47" s="57">
        <f t="shared" si="11"/>
        <v>564500</v>
      </c>
      <c r="Z47" s="57">
        <f t="shared" si="11"/>
        <v>200</v>
      </c>
      <c r="AA47" s="57">
        <f t="shared" si="11"/>
        <v>0</v>
      </c>
      <c r="AB47" s="57">
        <f t="shared" si="11"/>
        <v>0</v>
      </c>
      <c r="AC47" s="57">
        <f t="shared" si="11"/>
        <v>0</v>
      </c>
      <c r="AD47" s="57">
        <f t="shared" si="11"/>
        <v>0</v>
      </c>
      <c r="AE47" s="57">
        <f t="shared" si="11"/>
        <v>0</v>
      </c>
      <c r="AF47" s="57">
        <f t="shared" si="11"/>
        <v>0</v>
      </c>
      <c r="AG47" s="57">
        <f>SUM(F47:AF47)</f>
        <v>6765662.5</v>
      </c>
      <c r="AH47">
        <v>45</v>
      </c>
    </row>
    <row r="48" spans="3:34" x14ac:dyDescent="0.25">
      <c r="D48">
        <v>1070</v>
      </c>
      <c r="E48" t="s">
        <v>342</v>
      </c>
      <c r="F48" s="4">
        <v>0</v>
      </c>
      <c r="G48" s="4">
        <v>0</v>
      </c>
      <c r="H48" s="4">
        <v>0</v>
      </c>
      <c r="I48" s="4">
        <v>0</v>
      </c>
      <c r="J48" s="4">
        <v>0</v>
      </c>
      <c r="K48" s="4">
        <v>0</v>
      </c>
      <c r="L48" s="4">
        <v>0</v>
      </c>
      <c r="M48" s="4">
        <v>0</v>
      </c>
      <c r="N48" s="4">
        <v>0</v>
      </c>
      <c r="O48" s="4">
        <v>0</v>
      </c>
      <c r="P48" s="4">
        <v>262.5</v>
      </c>
      <c r="Q48" s="4"/>
      <c r="R48" s="4">
        <v>0</v>
      </c>
      <c r="S48" s="4">
        <v>0</v>
      </c>
      <c r="T48" s="4">
        <v>0</v>
      </c>
      <c r="U48" s="4"/>
      <c r="V48" s="4">
        <v>700</v>
      </c>
      <c r="W48" s="4">
        <v>0</v>
      </c>
      <c r="X48" s="4">
        <v>0</v>
      </c>
      <c r="Y48" s="4">
        <v>0</v>
      </c>
      <c r="Z48" s="4">
        <v>200</v>
      </c>
      <c r="AA48" s="4">
        <v>0</v>
      </c>
      <c r="AB48" s="4">
        <v>0</v>
      </c>
      <c r="AC48" s="4"/>
      <c r="AD48" s="4">
        <v>0</v>
      </c>
      <c r="AE48" s="4">
        <v>0</v>
      </c>
      <c r="AF48" s="4">
        <v>0</v>
      </c>
      <c r="AG48" s="31">
        <f>SUM(F48:AF48)</f>
        <v>1162.5</v>
      </c>
      <c r="AH48">
        <v>46</v>
      </c>
    </row>
    <row r="49" spans="3:34" x14ac:dyDescent="0.25">
      <c r="D49">
        <v>1071</v>
      </c>
      <c r="E49" t="s">
        <v>343</v>
      </c>
      <c r="F49" s="4">
        <v>0</v>
      </c>
      <c r="G49" s="4">
        <v>200000</v>
      </c>
      <c r="H49" s="4">
        <v>0</v>
      </c>
      <c r="I49" s="4">
        <v>0</v>
      </c>
      <c r="J49" s="4">
        <v>0</v>
      </c>
      <c r="K49" s="4">
        <v>0</v>
      </c>
      <c r="L49" s="4">
        <v>0</v>
      </c>
      <c r="M49" s="4">
        <v>0</v>
      </c>
      <c r="N49" s="4">
        <v>0</v>
      </c>
      <c r="O49" s="4">
        <v>0</v>
      </c>
      <c r="P49" s="4">
        <v>6000000</v>
      </c>
      <c r="Q49" s="4"/>
      <c r="R49" s="4">
        <v>0</v>
      </c>
      <c r="S49" s="4">
        <v>0</v>
      </c>
      <c r="T49" s="4">
        <v>0</v>
      </c>
      <c r="U49" s="4"/>
      <c r="V49" s="4">
        <v>0</v>
      </c>
      <c r="W49" s="4">
        <v>0</v>
      </c>
      <c r="X49" s="4">
        <v>0</v>
      </c>
      <c r="Y49" s="4">
        <v>564500</v>
      </c>
      <c r="Z49" s="4">
        <v>0</v>
      </c>
      <c r="AA49" s="4">
        <v>0</v>
      </c>
      <c r="AB49" s="4">
        <v>0</v>
      </c>
      <c r="AC49" s="4"/>
      <c r="AD49" s="4">
        <v>0</v>
      </c>
      <c r="AE49" s="4">
        <v>0</v>
      </c>
      <c r="AF49" s="4">
        <v>0</v>
      </c>
      <c r="AG49" s="31">
        <f>SUM(F49:AF49)</f>
        <v>6764500</v>
      </c>
      <c r="AH49">
        <v>47</v>
      </c>
    </row>
    <row r="50" spans="3:34" x14ac:dyDescent="0.25">
      <c r="D50">
        <v>1072</v>
      </c>
      <c r="E50" t="s">
        <v>344</v>
      </c>
      <c r="F50" s="4">
        <v>0</v>
      </c>
      <c r="G50" s="4">
        <v>0</v>
      </c>
      <c r="H50" s="4">
        <v>0</v>
      </c>
      <c r="I50" s="4">
        <v>0</v>
      </c>
      <c r="J50" s="4">
        <v>0</v>
      </c>
      <c r="K50" s="4">
        <v>0</v>
      </c>
      <c r="L50" s="4">
        <v>0</v>
      </c>
      <c r="M50" s="4">
        <v>0</v>
      </c>
      <c r="N50" s="4">
        <v>0</v>
      </c>
      <c r="O50" s="4">
        <v>0</v>
      </c>
      <c r="P50" s="4">
        <v>0</v>
      </c>
      <c r="Q50" s="4"/>
      <c r="R50" s="4">
        <v>0</v>
      </c>
      <c r="S50" s="4">
        <v>0</v>
      </c>
      <c r="T50" s="4">
        <v>0</v>
      </c>
      <c r="U50" s="4"/>
      <c r="V50" s="4">
        <v>0</v>
      </c>
      <c r="W50" s="4">
        <v>0</v>
      </c>
      <c r="X50" s="4">
        <v>0</v>
      </c>
      <c r="Y50" s="4">
        <v>0</v>
      </c>
      <c r="Z50" s="4">
        <v>0</v>
      </c>
      <c r="AA50" s="4">
        <v>0</v>
      </c>
      <c r="AB50" s="4">
        <v>0</v>
      </c>
      <c r="AC50" s="4"/>
      <c r="AD50" s="4">
        <v>0</v>
      </c>
      <c r="AE50" s="4">
        <v>0</v>
      </c>
      <c r="AF50" s="4">
        <v>0</v>
      </c>
      <c r="AG50" s="31">
        <f>SUM(F50:AF50)</f>
        <v>0</v>
      </c>
      <c r="AH50">
        <v>48</v>
      </c>
    </row>
    <row r="51" spans="3:34" x14ac:dyDescent="0.25">
      <c r="D51">
        <v>1079</v>
      </c>
      <c r="E51" t="s">
        <v>345</v>
      </c>
      <c r="F51" s="4">
        <v>0</v>
      </c>
      <c r="G51" s="4">
        <v>0</v>
      </c>
      <c r="H51" s="4">
        <v>0</v>
      </c>
      <c r="I51" s="4">
        <v>0</v>
      </c>
      <c r="J51" s="4">
        <v>0</v>
      </c>
      <c r="K51" s="4">
        <v>0</v>
      </c>
      <c r="L51" s="4">
        <v>0</v>
      </c>
      <c r="M51" s="4">
        <v>0</v>
      </c>
      <c r="N51" s="4">
        <v>0</v>
      </c>
      <c r="O51" s="4">
        <v>0</v>
      </c>
      <c r="P51" s="4">
        <v>0</v>
      </c>
      <c r="Q51" s="4"/>
      <c r="R51" s="4">
        <v>0</v>
      </c>
      <c r="S51" s="4">
        <v>0</v>
      </c>
      <c r="T51" s="4">
        <v>0</v>
      </c>
      <c r="U51" s="4"/>
      <c r="V51" s="4">
        <v>0</v>
      </c>
      <c r="W51" s="4">
        <v>0</v>
      </c>
      <c r="X51" s="4">
        <v>0</v>
      </c>
      <c r="Y51" s="4">
        <v>0</v>
      </c>
      <c r="Z51" s="4">
        <v>0</v>
      </c>
      <c r="AA51" s="4">
        <v>0</v>
      </c>
      <c r="AB51" s="4">
        <v>0</v>
      </c>
      <c r="AC51" s="4"/>
      <c r="AD51" s="4">
        <v>0</v>
      </c>
      <c r="AE51" s="4">
        <v>0</v>
      </c>
      <c r="AF51" s="4">
        <v>0</v>
      </c>
      <c r="AG51" s="31">
        <f>SUM(F51:AF51)</f>
        <v>0</v>
      </c>
      <c r="AH51">
        <v>49</v>
      </c>
    </row>
    <row r="52" spans="3:34" x14ac:dyDescent="0.25">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31"/>
      <c r="AH52">
        <v>50</v>
      </c>
    </row>
    <row r="53" spans="3:34" x14ac:dyDescent="0.25">
      <c r="C53" s="56">
        <v>108</v>
      </c>
      <c r="D53" s="56"/>
      <c r="E53" s="56" t="s">
        <v>246</v>
      </c>
      <c r="F53" s="57">
        <f>F54+F55+F56+F57+F58+F59</f>
        <v>0</v>
      </c>
      <c r="G53" s="57">
        <f t="shared" ref="G53:AF53" si="12">G54+G55+G56+G57+G58+G59</f>
        <v>0</v>
      </c>
      <c r="H53" s="57">
        <f t="shared" si="12"/>
        <v>0</v>
      </c>
      <c r="I53" s="57">
        <f t="shared" si="12"/>
        <v>0</v>
      </c>
      <c r="J53" s="57">
        <f t="shared" si="12"/>
        <v>773448.06</v>
      </c>
      <c r="K53" s="57">
        <f t="shared" si="12"/>
        <v>0</v>
      </c>
      <c r="L53" s="57">
        <f t="shared" si="12"/>
        <v>0</v>
      </c>
      <c r="M53" s="57">
        <f t="shared" si="12"/>
        <v>0</v>
      </c>
      <c r="N53" s="57">
        <f t="shared" si="12"/>
        <v>0</v>
      </c>
      <c r="O53" s="57">
        <f t="shared" si="12"/>
        <v>0</v>
      </c>
      <c r="P53" s="57">
        <f t="shared" si="12"/>
        <v>0</v>
      </c>
      <c r="Q53" s="57">
        <f t="shared" si="12"/>
        <v>0</v>
      </c>
      <c r="R53" s="57">
        <f t="shared" si="12"/>
        <v>0</v>
      </c>
      <c r="S53" s="57">
        <f t="shared" si="12"/>
        <v>0</v>
      </c>
      <c r="T53" s="57">
        <f t="shared" si="12"/>
        <v>0</v>
      </c>
      <c r="U53" s="57">
        <f t="shared" si="12"/>
        <v>0</v>
      </c>
      <c r="V53" s="57">
        <f t="shared" si="12"/>
        <v>0</v>
      </c>
      <c r="W53" s="57">
        <f t="shared" si="12"/>
        <v>0</v>
      </c>
      <c r="X53" s="57">
        <f t="shared" si="12"/>
        <v>0</v>
      </c>
      <c r="Y53" s="57">
        <f t="shared" si="12"/>
        <v>0</v>
      </c>
      <c r="Z53" s="57">
        <f t="shared" si="12"/>
        <v>257410</v>
      </c>
      <c r="AA53" s="57">
        <f t="shared" si="12"/>
        <v>0</v>
      </c>
      <c r="AB53" s="57">
        <f t="shared" si="12"/>
        <v>0</v>
      </c>
      <c r="AC53" s="57">
        <f t="shared" si="12"/>
        <v>0</v>
      </c>
      <c r="AD53" s="57">
        <f t="shared" si="12"/>
        <v>0</v>
      </c>
      <c r="AE53" s="57">
        <f t="shared" si="12"/>
        <v>0</v>
      </c>
      <c r="AF53" s="57">
        <f t="shared" si="12"/>
        <v>0</v>
      </c>
      <c r="AG53" s="57">
        <f t="shared" ref="AG53:AG59" si="13">SUM(F53:AF53)</f>
        <v>1030858.06</v>
      </c>
      <c r="AH53">
        <v>51</v>
      </c>
    </row>
    <row r="54" spans="3:34" x14ac:dyDescent="0.25">
      <c r="D54">
        <v>1080</v>
      </c>
      <c r="E54" t="s">
        <v>347</v>
      </c>
      <c r="F54" s="4">
        <v>0</v>
      </c>
      <c r="G54" s="4">
        <v>0</v>
      </c>
      <c r="H54" s="4">
        <v>0</v>
      </c>
      <c r="I54" s="4">
        <v>0</v>
      </c>
      <c r="J54" s="4">
        <v>773448.06</v>
      </c>
      <c r="K54" s="4">
        <v>0</v>
      </c>
      <c r="L54" s="4">
        <v>0</v>
      </c>
      <c r="M54" s="4">
        <v>0</v>
      </c>
      <c r="N54" s="4">
        <v>0</v>
      </c>
      <c r="O54" s="4">
        <v>0</v>
      </c>
      <c r="P54" s="4">
        <v>0</v>
      </c>
      <c r="Q54" s="4"/>
      <c r="R54" s="4">
        <v>0</v>
      </c>
      <c r="S54" s="4">
        <v>0</v>
      </c>
      <c r="T54" s="4">
        <v>0</v>
      </c>
      <c r="U54" s="4"/>
      <c r="V54" s="4">
        <v>0</v>
      </c>
      <c r="W54" s="4">
        <v>0</v>
      </c>
      <c r="X54" s="4">
        <v>0</v>
      </c>
      <c r="Y54" s="4">
        <v>0</v>
      </c>
      <c r="Z54" s="4">
        <v>257410</v>
      </c>
      <c r="AA54" s="4">
        <v>0</v>
      </c>
      <c r="AB54" s="4">
        <v>0</v>
      </c>
      <c r="AC54" s="4"/>
      <c r="AD54" s="4">
        <v>0</v>
      </c>
      <c r="AE54" s="4">
        <v>0</v>
      </c>
      <c r="AF54" s="4">
        <v>0</v>
      </c>
      <c r="AG54" s="31">
        <f t="shared" si="13"/>
        <v>1030858.06</v>
      </c>
      <c r="AH54">
        <v>52</v>
      </c>
    </row>
    <row r="55" spans="3:34" x14ac:dyDescent="0.25">
      <c r="D55">
        <v>1084</v>
      </c>
      <c r="E55" t="s">
        <v>348</v>
      </c>
      <c r="F55" s="4">
        <v>0</v>
      </c>
      <c r="G55" s="4">
        <v>0</v>
      </c>
      <c r="H55" s="4">
        <v>0</v>
      </c>
      <c r="I55" s="4">
        <v>0</v>
      </c>
      <c r="J55" s="4">
        <v>0</v>
      </c>
      <c r="K55" s="4">
        <v>0</v>
      </c>
      <c r="L55" s="4">
        <v>0</v>
      </c>
      <c r="M55" s="4">
        <v>0</v>
      </c>
      <c r="N55" s="4">
        <v>0</v>
      </c>
      <c r="O55" s="4">
        <v>0</v>
      </c>
      <c r="P55" s="4">
        <v>0</v>
      </c>
      <c r="Q55" s="4"/>
      <c r="R55" s="4">
        <v>0</v>
      </c>
      <c r="S55" s="4">
        <v>0</v>
      </c>
      <c r="T55" s="4">
        <v>0</v>
      </c>
      <c r="U55" s="4"/>
      <c r="V55" s="4">
        <v>0</v>
      </c>
      <c r="W55" s="4">
        <v>0</v>
      </c>
      <c r="X55" s="4">
        <v>0</v>
      </c>
      <c r="Y55" s="4">
        <v>0</v>
      </c>
      <c r="Z55" s="4">
        <v>0</v>
      </c>
      <c r="AA55" s="4">
        <v>0</v>
      </c>
      <c r="AB55" s="4">
        <v>0</v>
      </c>
      <c r="AC55" s="4"/>
      <c r="AD55" s="4">
        <v>0</v>
      </c>
      <c r="AE55" s="4">
        <v>0</v>
      </c>
      <c r="AF55" s="4">
        <v>0</v>
      </c>
      <c r="AG55" s="31">
        <f t="shared" si="13"/>
        <v>0</v>
      </c>
      <c r="AH55">
        <v>53</v>
      </c>
    </row>
    <row r="56" spans="3:34" x14ac:dyDescent="0.25">
      <c r="D56">
        <v>1086</v>
      </c>
      <c r="E56" t="s">
        <v>349</v>
      </c>
      <c r="F56" s="4">
        <v>0</v>
      </c>
      <c r="G56" s="4">
        <v>0</v>
      </c>
      <c r="H56" s="4">
        <v>0</v>
      </c>
      <c r="I56" s="4">
        <v>0</v>
      </c>
      <c r="J56" s="4">
        <v>0</v>
      </c>
      <c r="K56" s="4">
        <v>0</v>
      </c>
      <c r="L56" s="4">
        <v>0</v>
      </c>
      <c r="M56" s="4">
        <v>0</v>
      </c>
      <c r="N56" s="4">
        <v>0</v>
      </c>
      <c r="O56" s="4">
        <v>0</v>
      </c>
      <c r="P56" s="4">
        <v>0</v>
      </c>
      <c r="Q56" s="4"/>
      <c r="R56" s="4">
        <v>0</v>
      </c>
      <c r="S56" s="4">
        <v>0</v>
      </c>
      <c r="T56" s="4">
        <v>0</v>
      </c>
      <c r="U56" s="4"/>
      <c r="V56" s="4">
        <v>0</v>
      </c>
      <c r="W56" s="4">
        <v>0</v>
      </c>
      <c r="X56" s="4">
        <v>0</v>
      </c>
      <c r="Y56" s="4">
        <v>0</v>
      </c>
      <c r="Z56" s="4">
        <v>0</v>
      </c>
      <c r="AA56" s="4">
        <v>0</v>
      </c>
      <c r="AB56" s="4">
        <v>0</v>
      </c>
      <c r="AC56" s="4"/>
      <c r="AD56" s="4">
        <v>0</v>
      </c>
      <c r="AE56" s="4">
        <v>0</v>
      </c>
      <c r="AF56" s="4">
        <v>0</v>
      </c>
      <c r="AG56" s="31">
        <f t="shared" si="13"/>
        <v>0</v>
      </c>
      <c r="AH56">
        <v>54</v>
      </c>
    </row>
    <row r="57" spans="3:34" x14ac:dyDescent="0.25">
      <c r="D57">
        <v>1087</v>
      </c>
      <c r="E57" t="s">
        <v>350</v>
      </c>
      <c r="F57" s="4">
        <v>0</v>
      </c>
      <c r="G57" s="4">
        <v>0</v>
      </c>
      <c r="H57" s="4">
        <v>0</v>
      </c>
      <c r="I57" s="4">
        <v>0</v>
      </c>
      <c r="J57" s="4">
        <v>0</v>
      </c>
      <c r="K57" s="4">
        <v>0</v>
      </c>
      <c r="L57" s="4">
        <v>0</v>
      </c>
      <c r="M57" s="4">
        <v>0</v>
      </c>
      <c r="N57" s="4">
        <v>0</v>
      </c>
      <c r="O57" s="4">
        <v>0</v>
      </c>
      <c r="P57" s="4">
        <v>0</v>
      </c>
      <c r="Q57" s="4"/>
      <c r="R57" s="4">
        <v>0</v>
      </c>
      <c r="S57" s="4">
        <v>0</v>
      </c>
      <c r="T57" s="4">
        <v>0</v>
      </c>
      <c r="U57" s="4"/>
      <c r="V57" s="4">
        <v>0</v>
      </c>
      <c r="W57" s="4">
        <v>0</v>
      </c>
      <c r="X57" s="4">
        <v>0</v>
      </c>
      <c r="Y57" s="4">
        <v>0</v>
      </c>
      <c r="Z57" s="4">
        <v>0</v>
      </c>
      <c r="AA57" s="4">
        <v>0</v>
      </c>
      <c r="AB57" s="4">
        <v>0</v>
      </c>
      <c r="AC57" s="4"/>
      <c r="AD57" s="4">
        <v>0</v>
      </c>
      <c r="AE57" s="4">
        <v>0</v>
      </c>
      <c r="AF57" s="4">
        <v>0</v>
      </c>
      <c r="AG57" s="31">
        <f t="shared" si="13"/>
        <v>0</v>
      </c>
      <c r="AH57">
        <v>55</v>
      </c>
    </row>
    <row r="58" spans="3:34" x14ac:dyDescent="0.25">
      <c r="D58">
        <v>1088</v>
      </c>
      <c r="E58" t="s">
        <v>351</v>
      </c>
      <c r="F58" s="4">
        <v>0</v>
      </c>
      <c r="G58" s="4">
        <v>0</v>
      </c>
      <c r="H58" s="4">
        <v>0</v>
      </c>
      <c r="I58" s="4">
        <v>0</v>
      </c>
      <c r="J58" s="4">
        <v>0</v>
      </c>
      <c r="K58" s="4">
        <v>0</v>
      </c>
      <c r="L58" s="4">
        <v>0</v>
      </c>
      <c r="M58" s="4">
        <v>0</v>
      </c>
      <c r="N58" s="4">
        <v>0</v>
      </c>
      <c r="O58" s="4">
        <v>0</v>
      </c>
      <c r="P58" s="4">
        <v>0</v>
      </c>
      <c r="Q58" s="4"/>
      <c r="R58" s="4">
        <v>0</v>
      </c>
      <c r="S58" s="4">
        <v>0</v>
      </c>
      <c r="T58" s="4">
        <v>0</v>
      </c>
      <c r="U58" s="4"/>
      <c r="V58" s="4">
        <v>0</v>
      </c>
      <c r="W58" s="4">
        <v>0</v>
      </c>
      <c r="X58" s="4">
        <v>0</v>
      </c>
      <c r="Y58" s="4">
        <v>0</v>
      </c>
      <c r="Z58" s="4">
        <v>0</v>
      </c>
      <c r="AA58" s="4">
        <v>0</v>
      </c>
      <c r="AB58" s="4">
        <v>0</v>
      </c>
      <c r="AC58" s="4"/>
      <c r="AD58" s="4">
        <v>0</v>
      </c>
      <c r="AE58" s="4">
        <v>0</v>
      </c>
      <c r="AF58" s="4">
        <v>0</v>
      </c>
      <c r="AG58" s="31">
        <f t="shared" si="13"/>
        <v>0</v>
      </c>
      <c r="AH58">
        <v>56</v>
      </c>
    </row>
    <row r="59" spans="3:34" x14ac:dyDescent="0.25">
      <c r="D59">
        <v>1089</v>
      </c>
      <c r="E59" t="s">
        <v>352</v>
      </c>
      <c r="F59" s="4">
        <v>0</v>
      </c>
      <c r="G59" s="4">
        <v>0</v>
      </c>
      <c r="H59" s="4">
        <v>0</v>
      </c>
      <c r="I59" s="4">
        <v>0</v>
      </c>
      <c r="J59" s="4">
        <v>0</v>
      </c>
      <c r="K59" s="4">
        <v>0</v>
      </c>
      <c r="L59" s="4">
        <v>0</v>
      </c>
      <c r="M59" s="4">
        <v>0</v>
      </c>
      <c r="N59" s="4">
        <v>0</v>
      </c>
      <c r="O59" s="4">
        <v>0</v>
      </c>
      <c r="P59" s="4">
        <v>0</v>
      </c>
      <c r="Q59" s="4"/>
      <c r="R59" s="4">
        <v>0</v>
      </c>
      <c r="S59" s="4">
        <v>0</v>
      </c>
      <c r="T59" s="4">
        <v>0</v>
      </c>
      <c r="U59" s="4"/>
      <c r="V59" s="4">
        <v>0</v>
      </c>
      <c r="W59" s="4">
        <v>0</v>
      </c>
      <c r="X59" s="4">
        <v>0</v>
      </c>
      <c r="Y59" s="4">
        <v>0</v>
      </c>
      <c r="Z59" s="4">
        <v>0</v>
      </c>
      <c r="AA59" s="4">
        <v>0</v>
      </c>
      <c r="AB59" s="4">
        <v>0</v>
      </c>
      <c r="AC59" s="4"/>
      <c r="AD59" s="4">
        <v>0</v>
      </c>
      <c r="AE59" s="4">
        <v>0</v>
      </c>
      <c r="AF59" s="4">
        <v>0</v>
      </c>
      <c r="AG59" s="31">
        <f t="shared" si="13"/>
        <v>0</v>
      </c>
      <c r="AH59">
        <v>57</v>
      </c>
    </row>
    <row r="60" spans="3:34" x14ac:dyDescent="0.25">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31"/>
      <c r="AH60">
        <v>58</v>
      </c>
    </row>
    <row r="61" spans="3:34" x14ac:dyDescent="0.25">
      <c r="C61" s="56">
        <v>109</v>
      </c>
      <c r="D61" s="56"/>
      <c r="E61" s="56" t="s">
        <v>353</v>
      </c>
      <c r="F61" s="57">
        <f>F62+F63+F64+F65</f>
        <v>0</v>
      </c>
      <c r="G61" s="57">
        <f t="shared" ref="G61:AF61" si="14">G62+G63+G64+G65</f>
        <v>0</v>
      </c>
      <c r="H61" s="57">
        <f t="shared" si="14"/>
        <v>0</v>
      </c>
      <c r="I61" s="57">
        <f t="shared" si="14"/>
        <v>0</v>
      </c>
      <c r="J61" s="57">
        <f t="shared" si="14"/>
        <v>0</v>
      </c>
      <c r="K61" s="57">
        <f t="shared" si="14"/>
        <v>0</v>
      </c>
      <c r="L61" s="57">
        <f t="shared" si="14"/>
        <v>0</v>
      </c>
      <c r="M61" s="57">
        <f t="shared" si="14"/>
        <v>0</v>
      </c>
      <c r="N61" s="57">
        <f t="shared" si="14"/>
        <v>0</v>
      </c>
      <c r="O61" s="57">
        <f t="shared" si="14"/>
        <v>0</v>
      </c>
      <c r="P61" s="57">
        <f t="shared" si="14"/>
        <v>0</v>
      </c>
      <c r="Q61" s="57">
        <f t="shared" si="14"/>
        <v>0</v>
      </c>
      <c r="R61" s="57">
        <f t="shared" si="14"/>
        <v>0</v>
      </c>
      <c r="S61" s="57">
        <f t="shared" si="14"/>
        <v>0</v>
      </c>
      <c r="T61" s="57">
        <f t="shared" si="14"/>
        <v>0</v>
      </c>
      <c r="U61" s="57">
        <f t="shared" si="14"/>
        <v>0</v>
      </c>
      <c r="V61" s="57">
        <f t="shared" si="14"/>
        <v>0</v>
      </c>
      <c r="W61" s="57">
        <f t="shared" si="14"/>
        <v>0</v>
      </c>
      <c r="X61" s="57">
        <f t="shared" si="14"/>
        <v>0</v>
      </c>
      <c r="Y61" s="57">
        <f t="shared" si="14"/>
        <v>0</v>
      </c>
      <c r="Z61" s="57">
        <f t="shared" si="14"/>
        <v>0</v>
      </c>
      <c r="AA61" s="57">
        <f t="shared" si="14"/>
        <v>0</v>
      </c>
      <c r="AB61" s="57">
        <f t="shared" si="14"/>
        <v>0</v>
      </c>
      <c r="AC61" s="57">
        <f t="shared" si="14"/>
        <v>0</v>
      </c>
      <c r="AD61" s="57">
        <f t="shared" si="14"/>
        <v>0</v>
      </c>
      <c r="AE61" s="57">
        <f t="shared" si="14"/>
        <v>0</v>
      </c>
      <c r="AF61" s="57">
        <f t="shared" si="14"/>
        <v>0</v>
      </c>
      <c r="AG61" s="57">
        <f>SUM(F61:AF61)</f>
        <v>0</v>
      </c>
      <c r="AH61">
        <v>59</v>
      </c>
    </row>
    <row r="62" spans="3:34" x14ac:dyDescent="0.25">
      <c r="D62">
        <v>1090</v>
      </c>
      <c r="E62" t="s">
        <v>353</v>
      </c>
      <c r="F62" s="4">
        <v>0</v>
      </c>
      <c r="G62" s="4">
        <v>0</v>
      </c>
      <c r="H62" s="4">
        <v>0</v>
      </c>
      <c r="I62" s="4">
        <v>0</v>
      </c>
      <c r="J62" s="4">
        <v>0</v>
      </c>
      <c r="K62" s="4">
        <v>0</v>
      </c>
      <c r="L62" s="4">
        <v>0</v>
      </c>
      <c r="M62" s="4">
        <v>0</v>
      </c>
      <c r="N62" s="4">
        <v>0</v>
      </c>
      <c r="O62" s="4">
        <v>0</v>
      </c>
      <c r="P62" s="4">
        <v>0</v>
      </c>
      <c r="Q62" s="4"/>
      <c r="R62" s="4">
        <v>0</v>
      </c>
      <c r="S62" s="4">
        <v>0</v>
      </c>
      <c r="T62" s="4">
        <v>0</v>
      </c>
      <c r="U62" s="4"/>
      <c r="V62" s="4">
        <v>0</v>
      </c>
      <c r="W62" s="4">
        <v>0</v>
      </c>
      <c r="X62" s="4">
        <v>0</v>
      </c>
      <c r="Y62" s="4">
        <v>0</v>
      </c>
      <c r="Z62" s="4">
        <v>0</v>
      </c>
      <c r="AA62" s="4">
        <v>0</v>
      </c>
      <c r="AB62" s="4">
        <v>0</v>
      </c>
      <c r="AC62" s="4"/>
      <c r="AD62" s="4">
        <v>0</v>
      </c>
      <c r="AE62" s="4">
        <v>0</v>
      </c>
      <c r="AF62" s="4">
        <v>0</v>
      </c>
      <c r="AG62" s="31">
        <f>SUM(F62:AF62)</f>
        <v>0</v>
      </c>
      <c r="AH62">
        <v>60</v>
      </c>
    </row>
    <row r="63" spans="3:34" x14ac:dyDescent="0.25">
      <c r="D63">
        <v>1091</v>
      </c>
      <c r="E63" t="s">
        <v>354</v>
      </c>
      <c r="F63" s="4">
        <v>0</v>
      </c>
      <c r="G63" s="4">
        <v>0</v>
      </c>
      <c r="H63" s="4">
        <v>0</v>
      </c>
      <c r="I63" s="4">
        <v>0</v>
      </c>
      <c r="J63" s="4">
        <v>0</v>
      </c>
      <c r="K63" s="4">
        <v>0</v>
      </c>
      <c r="L63" s="4">
        <v>0</v>
      </c>
      <c r="M63" s="4">
        <v>0</v>
      </c>
      <c r="N63" s="4">
        <v>0</v>
      </c>
      <c r="O63" s="4">
        <v>0</v>
      </c>
      <c r="P63" s="4">
        <v>0</v>
      </c>
      <c r="Q63" s="4"/>
      <c r="R63" s="4">
        <v>0</v>
      </c>
      <c r="S63" s="4">
        <v>0</v>
      </c>
      <c r="T63" s="4">
        <v>0</v>
      </c>
      <c r="U63" s="4"/>
      <c r="V63" s="4">
        <v>0</v>
      </c>
      <c r="W63" s="4">
        <v>0</v>
      </c>
      <c r="X63" s="4">
        <v>0</v>
      </c>
      <c r="Y63" s="4">
        <v>0</v>
      </c>
      <c r="Z63" s="4">
        <v>0</v>
      </c>
      <c r="AA63" s="4">
        <v>0</v>
      </c>
      <c r="AB63" s="4">
        <v>0</v>
      </c>
      <c r="AC63" s="4"/>
      <c r="AD63" s="4">
        <v>0</v>
      </c>
      <c r="AE63" s="4">
        <v>0</v>
      </c>
      <c r="AF63" s="4">
        <v>0</v>
      </c>
      <c r="AG63" s="31">
        <f>SUM(F63:AF63)</f>
        <v>0</v>
      </c>
      <c r="AH63">
        <v>61</v>
      </c>
    </row>
    <row r="64" spans="3:34" x14ac:dyDescent="0.25">
      <c r="D64">
        <v>1092</v>
      </c>
      <c r="E64" t="s">
        <v>355</v>
      </c>
      <c r="F64" s="4">
        <v>0</v>
      </c>
      <c r="G64" s="4">
        <v>0</v>
      </c>
      <c r="H64" s="4">
        <v>0</v>
      </c>
      <c r="I64" s="4">
        <v>0</v>
      </c>
      <c r="J64" s="4">
        <v>0</v>
      </c>
      <c r="K64" s="4">
        <v>0</v>
      </c>
      <c r="L64" s="4">
        <v>0</v>
      </c>
      <c r="M64" s="4">
        <v>0</v>
      </c>
      <c r="N64" s="4">
        <v>0</v>
      </c>
      <c r="O64" s="4">
        <v>0</v>
      </c>
      <c r="P64" s="4">
        <v>0</v>
      </c>
      <c r="Q64" s="4"/>
      <c r="R64" s="4">
        <v>0</v>
      </c>
      <c r="S64" s="4">
        <v>0</v>
      </c>
      <c r="T64" s="4">
        <v>0</v>
      </c>
      <c r="U64" s="4"/>
      <c r="V64" s="4">
        <v>0</v>
      </c>
      <c r="W64" s="4">
        <v>0</v>
      </c>
      <c r="X64" s="4">
        <v>0</v>
      </c>
      <c r="Y64" s="4">
        <v>0</v>
      </c>
      <c r="Z64" s="4">
        <v>0</v>
      </c>
      <c r="AA64" s="4">
        <v>0</v>
      </c>
      <c r="AB64" s="4">
        <v>0</v>
      </c>
      <c r="AC64" s="4"/>
      <c r="AD64" s="4">
        <v>0</v>
      </c>
      <c r="AE64" s="4">
        <v>0</v>
      </c>
      <c r="AF64" s="4">
        <v>0</v>
      </c>
      <c r="AG64" s="31">
        <f>SUM(F64:AF64)</f>
        <v>0</v>
      </c>
      <c r="AH64">
        <v>62</v>
      </c>
    </row>
    <row r="65" spans="2:34" x14ac:dyDescent="0.25">
      <c r="D65">
        <v>1093</v>
      </c>
      <c r="E65" t="s">
        <v>356</v>
      </c>
      <c r="F65" s="4">
        <v>0</v>
      </c>
      <c r="G65" s="4">
        <v>0</v>
      </c>
      <c r="H65" s="4">
        <v>0</v>
      </c>
      <c r="I65" s="4">
        <v>0</v>
      </c>
      <c r="J65" s="4">
        <v>0</v>
      </c>
      <c r="K65" s="4">
        <v>0</v>
      </c>
      <c r="L65" s="4">
        <v>0</v>
      </c>
      <c r="M65" s="4">
        <v>0</v>
      </c>
      <c r="N65" s="4">
        <v>0</v>
      </c>
      <c r="O65" s="4">
        <v>0</v>
      </c>
      <c r="P65" s="4">
        <v>0</v>
      </c>
      <c r="Q65" s="4"/>
      <c r="R65" s="4">
        <v>0</v>
      </c>
      <c r="S65" s="4">
        <v>0</v>
      </c>
      <c r="T65" s="4">
        <v>0</v>
      </c>
      <c r="U65" s="4"/>
      <c r="V65" s="4">
        <v>0</v>
      </c>
      <c r="W65" s="4">
        <v>0</v>
      </c>
      <c r="X65" s="4">
        <v>0</v>
      </c>
      <c r="Y65" s="4">
        <v>0</v>
      </c>
      <c r="Z65" s="4">
        <v>0</v>
      </c>
      <c r="AA65" s="4">
        <v>0</v>
      </c>
      <c r="AB65" s="4">
        <v>0</v>
      </c>
      <c r="AC65" s="4"/>
      <c r="AD65" s="4">
        <v>0</v>
      </c>
      <c r="AE65" s="4">
        <v>0</v>
      </c>
      <c r="AF65" s="4">
        <v>0</v>
      </c>
      <c r="AG65" s="31">
        <f>SUM(F65:AF65)</f>
        <v>0</v>
      </c>
      <c r="AH65">
        <v>63</v>
      </c>
    </row>
    <row r="66" spans="2:34" x14ac:dyDescent="0.25">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31"/>
      <c r="AH66">
        <v>64</v>
      </c>
    </row>
    <row r="67" spans="2:34" x14ac:dyDescent="0.25">
      <c r="B67" s="62">
        <v>14</v>
      </c>
      <c r="C67" s="62"/>
      <c r="D67" s="62"/>
      <c r="E67" s="62" t="s">
        <v>247</v>
      </c>
      <c r="F67" s="63">
        <f>F68+F79+F85+F96+F107</f>
        <v>2031944.95</v>
      </c>
      <c r="G67" s="63">
        <f t="shared" ref="G67:AF67" si="15">G68+G79+G85+G96+G107</f>
        <v>67549091.819999993</v>
      </c>
      <c r="H67" s="63">
        <f t="shared" si="15"/>
        <v>20301</v>
      </c>
      <c r="I67" s="63">
        <f t="shared" si="15"/>
        <v>1790453.15</v>
      </c>
      <c r="J67" s="63">
        <f t="shared" si="15"/>
        <v>0</v>
      </c>
      <c r="K67" s="63">
        <f t="shared" si="15"/>
        <v>2495568.4500000002</v>
      </c>
      <c r="L67" s="63">
        <f t="shared" si="15"/>
        <v>495850</v>
      </c>
      <c r="M67" s="63">
        <f t="shared" si="15"/>
        <v>3704315.22</v>
      </c>
      <c r="N67" s="63">
        <f t="shared" si="15"/>
        <v>0</v>
      </c>
      <c r="O67" s="63">
        <f t="shared" si="15"/>
        <v>0</v>
      </c>
      <c r="P67" s="63">
        <f t="shared" si="15"/>
        <v>5287527.9000000004</v>
      </c>
      <c r="Q67" s="63">
        <f t="shared" si="15"/>
        <v>0</v>
      </c>
      <c r="R67" s="63">
        <f t="shared" si="15"/>
        <v>24800</v>
      </c>
      <c r="S67" s="63">
        <f t="shared" si="15"/>
        <v>2200</v>
      </c>
      <c r="T67" s="63">
        <f t="shared" si="15"/>
        <v>0</v>
      </c>
      <c r="U67" s="63">
        <f t="shared" si="15"/>
        <v>0</v>
      </c>
      <c r="V67" s="63">
        <f t="shared" si="15"/>
        <v>2003478.5</v>
      </c>
      <c r="W67" s="63">
        <f t="shared" si="15"/>
        <v>1388055.59</v>
      </c>
      <c r="X67" s="63">
        <f t="shared" si="15"/>
        <v>0</v>
      </c>
      <c r="Y67" s="63">
        <f t="shared" si="15"/>
        <v>183602</v>
      </c>
      <c r="Z67" s="63">
        <f t="shared" si="15"/>
        <v>21751151.649999999</v>
      </c>
      <c r="AA67" s="63">
        <f t="shared" si="15"/>
        <v>1468402.05</v>
      </c>
      <c r="AB67" s="63">
        <f t="shared" si="15"/>
        <v>1518910.67</v>
      </c>
      <c r="AC67" s="63">
        <f t="shared" si="15"/>
        <v>0</v>
      </c>
      <c r="AD67" s="63">
        <f t="shared" si="15"/>
        <v>0</v>
      </c>
      <c r="AE67" s="63">
        <f t="shared" si="15"/>
        <v>8156200.1500000004</v>
      </c>
      <c r="AF67" s="63">
        <f t="shared" si="15"/>
        <v>3380</v>
      </c>
      <c r="AG67" s="63">
        <f t="shared" ref="AG67:AG77" si="16">SUM(F67:AF67)</f>
        <v>119875233.10000002</v>
      </c>
      <c r="AH67">
        <v>65</v>
      </c>
    </row>
    <row r="68" spans="2:34" x14ac:dyDescent="0.25">
      <c r="C68" s="56">
        <v>140</v>
      </c>
      <c r="D68" s="56"/>
      <c r="E68" s="56" t="s">
        <v>249</v>
      </c>
      <c r="F68" s="57">
        <f>F69+F70+F71+F72+F73+F74+F75+F76+F77</f>
        <v>2031944.95</v>
      </c>
      <c r="G68" s="57">
        <f t="shared" ref="G68:AF68" si="17">G69+G70+G71+G72+G73+G74+G75+G76+G77</f>
        <v>67549091.819999993</v>
      </c>
      <c r="H68" s="57">
        <f t="shared" si="17"/>
        <v>20301</v>
      </c>
      <c r="I68" s="57">
        <f t="shared" si="17"/>
        <v>1769453.15</v>
      </c>
      <c r="J68" s="57">
        <f t="shared" si="17"/>
        <v>0</v>
      </c>
      <c r="K68" s="57">
        <f t="shared" si="17"/>
        <v>2495568.4500000002</v>
      </c>
      <c r="L68" s="57">
        <f t="shared" si="17"/>
        <v>495850</v>
      </c>
      <c r="M68" s="57">
        <f t="shared" si="17"/>
        <v>3646066.72</v>
      </c>
      <c r="N68" s="57">
        <f t="shared" si="17"/>
        <v>0</v>
      </c>
      <c r="O68" s="57">
        <f t="shared" si="17"/>
        <v>0</v>
      </c>
      <c r="P68" s="57">
        <f t="shared" si="17"/>
        <v>4937902.5</v>
      </c>
      <c r="Q68" s="57">
        <f t="shared" si="17"/>
        <v>0</v>
      </c>
      <c r="R68" s="57">
        <f t="shared" si="17"/>
        <v>24800</v>
      </c>
      <c r="S68" s="57">
        <f t="shared" si="17"/>
        <v>2200</v>
      </c>
      <c r="T68" s="57">
        <f t="shared" si="17"/>
        <v>0</v>
      </c>
      <c r="U68" s="57">
        <f t="shared" si="17"/>
        <v>0</v>
      </c>
      <c r="V68" s="57">
        <f t="shared" si="17"/>
        <v>2003478.5</v>
      </c>
      <c r="W68" s="57">
        <f t="shared" si="17"/>
        <v>1388055.59</v>
      </c>
      <c r="X68" s="57">
        <f t="shared" si="17"/>
        <v>0</v>
      </c>
      <c r="Y68" s="57">
        <f t="shared" si="17"/>
        <v>183602</v>
      </c>
      <c r="Z68" s="57">
        <f t="shared" si="17"/>
        <v>21751149.649999999</v>
      </c>
      <c r="AA68" s="57">
        <f t="shared" si="17"/>
        <v>1421521.45</v>
      </c>
      <c r="AB68" s="57">
        <f t="shared" si="17"/>
        <v>1518910.67</v>
      </c>
      <c r="AC68" s="57">
        <f t="shared" si="17"/>
        <v>0</v>
      </c>
      <c r="AD68" s="57">
        <f t="shared" si="17"/>
        <v>0</v>
      </c>
      <c r="AE68" s="57">
        <f t="shared" si="17"/>
        <v>8156200.1500000004</v>
      </c>
      <c r="AF68" s="57">
        <f t="shared" si="17"/>
        <v>3380</v>
      </c>
      <c r="AG68" s="57">
        <f t="shared" si="16"/>
        <v>119399476.60000002</v>
      </c>
      <c r="AH68">
        <v>66</v>
      </c>
    </row>
    <row r="69" spans="2:34" x14ac:dyDescent="0.25">
      <c r="D69">
        <v>1400</v>
      </c>
      <c r="E69" t="s">
        <v>357</v>
      </c>
      <c r="F69" s="4">
        <v>0</v>
      </c>
      <c r="G69" s="4">
        <v>0</v>
      </c>
      <c r="H69" s="4">
        <v>20301</v>
      </c>
      <c r="I69" s="4">
        <v>0</v>
      </c>
      <c r="J69" s="4">
        <v>0</v>
      </c>
      <c r="K69" s="4">
        <v>0</v>
      </c>
      <c r="L69" s="4">
        <v>0</v>
      </c>
      <c r="M69" s="4">
        <v>0</v>
      </c>
      <c r="N69" s="4">
        <v>0</v>
      </c>
      <c r="O69" s="4">
        <v>0</v>
      </c>
      <c r="P69" s="4">
        <v>0</v>
      </c>
      <c r="Q69" s="4"/>
      <c r="R69" s="4">
        <v>24800</v>
      </c>
      <c r="S69" s="4">
        <v>0</v>
      </c>
      <c r="T69" s="4">
        <v>0</v>
      </c>
      <c r="U69" s="4"/>
      <c r="V69" s="4">
        <v>2003477.5</v>
      </c>
      <c r="W69" s="4">
        <v>0</v>
      </c>
      <c r="X69" s="4">
        <v>0</v>
      </c>
      <c r="Y69" s="4">
        <v>16120</v>
      </c>
      <c r="Z69" s="4">
        <v>0</v>
      </c>
      <c r="AA69" s="4">
        <v>0</v>
      </c>
      <c r="AB69" s="4">
        <v>0</v>
      </c>
      <c r="AC69" s="4"/>
      <c r="AD69" s="4">
        <v>0</v>
      </c>
      <c r="AE69" s="4">
        <v>0</v>
      </c>
      <c r="AF69" s="4">
        <v>3380</v>
      </c>
      <c r="AG69" s="31">
        <f t="shared" si="16"/>
        <v>2068078.5</v>
      </c>
      <c r="AH69">
        <v>67</v>
      </c>
    </row>
    <row r="70" spans="2:34" x14ac:dyDescent="0.25">
      <c r="D70">
        <v>1401</v>
      </c>
      <c r="E70" t="s">
        <v>358</v>
      </c>
      <c r="F70" s="4">
        <v>0</v>
      </c>
      <c r="G70" s="4">
        <v>0</v>
      </c>
      <c r="H70" s="4">
        <v>0</v>
      </c>
      <c r="I70" s="4">
        <v>0</v>
      </c>
      <c r="J70" s="4">
        <v>0</v>
      </c>
      <c r="K70" s="4">
        <v>0</v>
      </c>
      <c r="L70" s="4">
        <v>0</v>
      </c>
      <c r="M70" s="4">
        <v>0</v>
      </c>
      <c r="N70" s="4">
        <v>0</v>
      </c>
      <c r="O70" s="4">
        <v>0</v>
      </c>
      <c r="P70" s="4">
        <v>0</v>
      </c>
      <c r="Q70" s="4"/>
      <c r="R70" s="4">
        <v>0</v>
      </c>
      <c r="S70" s="4">
        <v>0</v>
      </c>
      <c r="T70" s="4">
        <v>0</v>
      </c>
      <c r="U70" s="4"/>
      <c r="V70" s="4">
        <v>0</v>
      </c>
      <c r="W70" s="4">
        <v>0</v>
      </c>
      <c r="X70" s="4">
        <v>0</v>
      </c>
      <c r="Y70" s="4">
        <v>0</v>
      </c>
      <c r="Z70" s="4">
        <v>0</v>
      </c>
      <c r="AA70" s="4">
        <v>0</v>
      </c>
      <c r="AB70" s="4">
        <v>0</v>
      </c>
      <c r="AC70" s="4"/>
      <c r="AD70" s="4">
        <v>0</v>
      </c>
      <c r="AE70" s="4">
        <v>0</v>
      </c>
      <c r="AF70" s="4">
        <v>0</v>
      </c>
      <c r="AG70" s="31">
        <f t="shared" si="16"/>
        <v>0</v>
      </c>
      <c r="AH70">
        <v>68</v>
      </c>
    </row>
    <row r="71" spans="2:34" x14ac:dyDescent="0.25">
      <c r="D71">
        <v>1402</v>
      </c>
      <c r="E71" t="s">
        <v>359</v>
      </c>
      <c r="F71" s="4">
        <v>0</v>
      </c>
      <c r="G71" s="4">
        <v>78326.149999999994</v>
      </c>
      <c r="H71" s="4">
        <v>0</v>
      </c>
      <c r="I71" s="4">
        <v>0</v>
      </c>
      <c r="J71" s="4">
        <v>0</v>
      </c>
      <c r="K71" s="4">
        <v>0</v>
      </c>
      <c r="L71" s="4">
        <v>0</v>
      </c>
      <c r="M71" s="4">
        <v>0</v>
      </c>
      <c r="N71" s="4">
        <v>0</v>
      </c>
      <c r="O71" s="4">
        <v>0</v>
      </c>
      <c r="P71" s="4">
        <v>0</v>
      </c>
      <c r="Q71" s="4"/>
      <c r="R71" s="4">
        <v>0</v>
      </c>
      <c r="S71" s="4">
        <v>0</v>
      </c>
      <c r="T71" s="4">
        <v>0</v>
      </c>
      <c r="U71" s="4"/>
      <c r="V71" s="4">
        <v>0</v>
      </c>
      <c r="W71" s="4">
        <v>0</v>
      </c>
      <c r="X71" s="4">
        <v>0</v>
      </c>
      <c r="Y71" s="4">
        <v>0</v>
      </c>
      <c r="Z71" s="4">
        <v>0</v>
      </c>
      <c r="AA71" s="4">
        <v>0</v>
      </c>
      <c r="AB71" s="4">
        <v>0</v>
      </c>
      <c r="AC71" s="4"/>
      <c r="AD71" s="4">
        <v>0</v>
      </c>
      <c r="AE71" s="4">
        <v>0</v>
      </c>
      <c r="AF71" s="4">
        <v>0</v>
      </c>
      <c r="AG71" s="31">
        <f t="shared" si="16"/>
        <v>78326.149999999994</v>
      </c>
      <c r="AH71">
        <v>69</v>
      </c>
    </row>
    <row r="72" spans="2:34" x14ac:dyDescent="0.25">
      <c r="D72">
        <v>1403</v>
      </c>
      <c r="E72" t="s">
        <v>360</v>
      </c>
      <c r="F72" s="4">
        <v>0</v>
      </c>
      <c r="G72" s="4">
        <v>59202234.549999997</v>
      </c>
      <c r="H72" s="4">
        <v>0</v>
      </c>
      <c r="I72" s="4">
        <v>837104.45</v>
      </c>
      <c r="J72" s="4">
        <v>0</v>
      </c>
      <c r="K72" s="4">
        <v>0</v>
      </c>
      <c r="L72" s="4">
        <v>0</v>
      </c>
      <c r="M72" s="4">
        <v>2610546.9500000002</v>
      </c>
      <c r="N72" s="4">
        <v>0</v>
      </c>
      <c r="O72" s="4">
        <v>0</v>
      </c>
      <c r="P72" s="4">
        <v>0</v>
      </c>
      <c r="Q72" s="4"/>
      <c r="R72" s="4">
        <v>0</v>
      </c>
      <c r="S72" s="4">
        <v>2200</v>
      </c>
      <c r="T72" s="4">
        <v>0</v>
      </c>
      <c r="U72" s="4"/>
      <c r="V72" s="4">
        <v>0</v>
      </c>
      <c r="W72" s="4">
        <v>0</v>
      </c>
      <c r="X72" s="4">
        <v>0</v>
      </c>
      <c r="Y72" s="4">
        <v>167480</v>
      </c>
      <c r="Z72" s="4">
        <v>1131065.97</v>
      </c>
      <c r="AA72" s="4">
        <v>1414816.5</v>
      </c>
      <c r="AB72" s="4">
        <v>162300</v>
      </c>
      <c r="AC72" s="4"/>
      <c r="AD72" s="4">
        <v>0</v>
      </c>
      <c r="AE72" s="4">
        <v>0</v>
      </c>
      <c r="AF72" s="4">
        <v>0</v>
      </c>
      <c r="AG72" s="31">
        <f t="shared" si="16"/>
        <v>65527748.420000002</v>
      </c>
      <c r="AH72">
        <v>70</v>
      </c>
    </row>
    <row r="73" spans="2:34" x14ac:dyDescent="0.25">
      <c r="D73">
        <v>1404</v>
      </c>
      <c r="E73" t="s">
        <v>361</v>
      </c>
      <c r="F73" s="4">
        <v>2031944.95</v>
      </c>
      <c r="G73" s="4">
        <v>7904984.7400000002</v>
      </c>
      <c r="H73" s="4">
        <v>0</v>
      </c>
      <c r="I73" s="4">
        <v>296990.05</v>
      </c>
      <c r="J73" s="4">
        <v>0</v>
      </c>
      <c r="K73" s="4">
        <v>2495568.4500000002</v>
      </c>
      <c r="L73" s="4">
        <v>146400</v>
      </c>
      <c r="M73" s="4">
        <v>0</v>
      </c>
      <c r="N73" s="4">
        <v>0</v>
      </c>
      <c r="O73" s="4">
        <v>0</v>
      </c>
      <c r="P73" s="4">
        <v>50490</v>
      </c>
      <c r="Q73" s="4"/>
      <c r="R73" s="4">
        <v>0</v>
      </c>
      <c r="S73" s="4">
        <v>0</v>
      </c>
      <c r="T73" s="4">
        <v>0</v>
      </c>
      <c r="U73" s="4"/>
      <c r="V73" s="4">
        <v>0</v>
      </c>
      <c r="W73" s="4">
        <v>1388055.59</v>
      </c>
      <c r="X73" s="4">
        <v>0</v>
      </c>
      <c r="Y73" s="4">
        <v>1</v>
      </c>
      <c r="Z73" s="4">
        <v>20436895.98</v>
      </c>
      <c r="AA73" s="4">
        <v>6604.95</v>
      </c>
      <c r="AB73" s="4">
        <v>1162959.45</v>
      </c>
      <c r="AC73" s="4"/>
      <c r="AD73" s="4">
        <v>0</v>
      </c>
      <c r="AE73" s="4">
        <v>8080700</v>
      </c>
      <c r="AF73" s="4">
        <v>0</v>
      </c>
      <c r="AG73" s="31">
        <f t="shared" si="16"/>
        <v>44001595.160000011</v>
      </c>
      <c r="AH73">
        <v>71</v>
      </c>
    </row>
    <row r="74" spans="2:34" x14ac:dyDescent="0.25">
      <c r="D74">
        <v>1405</v>
      </c>
      <c r="E74" t="s">
        <v>362</v>
      </c>
      <c r="F74" s="4">
        <v>0</v>
      </c>
      <c r="G74" s="4">
        <v>0</v>
      </c>
      <c r="H74" s="4">
        <v>0</v>
      </c>
      <c r="I74" s="4">
        <v>0</v>
      </c>
      <c r="J74" s="4">
        <v>0</v>
      </c>
      <c r="K74" s="4">
        <v>0</v>
      </c>
      <c r="L74" s="4">
        <v>0</v>
      </c>
      <c r="M74" s="4">
        <v>0</v>
      </c>
      <c r="N74" s="4">
        <v>0</v>
      </c>
      <c r="O74" s="4">
        <v>0</v>
      </c>
      <c r="P74" s="4">
        <v>0</v>
      </c>
      <c r="Q74" s="4"/>
      <c r="R74" s="4">
        <v>0</v>
      </c>
      <c r="S74" s="4">
        <v>0</v>
      </c>
      <c r="T74" s="4">
        <v>0</v>
      </c>
      <c r="U74" s="4"/>
      <c r="V74" s="4">
        <v>1</v>
      </c>
      <c r="W74" s="4">
        <v>0</v>
      </c>
      <c r="X74" s="4">
        <v>0</v>
      </c>
      <c r="Y74" s="4">
        <v>0</v>
      </c>
      <c r="Z74" s="4">
        <v>0</v>
      </c>
      <c r="AA74" s="4">
        <v>0</v>
      </c>
      <c r="AB74" s="4">
        <v>0</v>
      </c>
      <c r="AC74" s="4"/>
      <c r="AD74" s="4">
        <v>0</v>
      </c>
      <c r="AE74" s="4">
        <v>0</v>
      </c>
      <c r="AF74" s="4">
        <v>0</v>
      </c>
      <c r="AG74" s="31">
        <f t="shared" si="16"/>
        <v>1</v>
      </c>
      <c r="AH74">
        <v>72</v>
      </c>
    </row>
    <row r="75" spans="2:34" x14ac:dyDescent="0.25">
      <c r="D75">
        <v>1406</v>
      </c>
      <c r="E75" t="s">
        <v>363</v>
      </c>
      <c r="F75" s="4">
        <v>0</v>
      </c>
      <c r="G75" s="4">
        <v>363546.38</v>
      </c>
      <c r="H75" s="4">
        <v>0</v>
      </c>
      <c r="I75" s="4">
        <v>531307.65</v>
      </c>
      <c r="J75" s="4">
        <v>0</v>
      </c>
      <c r="K75" s="4">
        <v>0</v>
      </c>
      <c r="L75" s="4">
        <v>349450</v>
      </c>
      <c r="M75" s="4">
        <v>0</v>
      </c>
      <c r="N75" s="4">
        <v>0</v>
      </c>
      <c r="O75" s="4">
        <v>0</v>
      </c>
      <c r="P75" s="4">
        <v>0</v>
      </c>
      <c r="Q75" s="4"/>
      <c r="R75" s="4">
        <v>0</v>
      </c>
      <c r="S75" s="4">
        <v>0</v>
      </c>
      <c r="T75" s="4">
        <v>0</v>
      </c>
      <c r="U75" s="4"/>
      <c r="V75" s="4">
        <v>0</v>
      </c>
      <c r="W75" s="4">
        <v>0</v>
      </c>
      <c r="X75" s="4">
        <v>0</v>
      </c>
      <c r="Y75" s="4">
        <v>1</v>
      </c>
      <c r="Z75" s="4">
        <v>183187.7</v>
      </c>
      <c r="AA75" s="4">
        <v>100</v>
      </c>
      <c r="AB75" s="4">
        <v>28433.7</v>
      </c>
      <c r="AC75" s="4"/>
      <c r="AD75" s="4">
        <v>0</v>
      </c>
      <c r="AE75" s="4">
        <v>75500.149999999994</v>
      </c>
      <c r="AF75" s="4">
        <v>0</v>
      </c>
      <c r="AG75" s="31">
        <f t="shared" si="16"/>
        <v>1531526.5799999998</v>
      </c>
      <c r="AH75">
        <v>73</v>
      </c>
    </row>
    <row r="76" spans="2:34" x14ac:dyDescent="0.25">
      <c r="D76">
        <v>1407</v>
      </c>
      <c r="E76" t="s">
        <v>364</v>
      </c>
      <c r="F76" s="4">
        <v>0</v>
      </c>
      <c r="G76" s="4">
        <v>0</v>
      </c>
      <c r="H76" s="4">
        <v>0</v>
      </c>
      <c r="I76" s="4">
        <v>104051</v>
      </c>
      <c r="J76" s="4">
        <v>0</v>
      </c>
      <c r="K76" s="4">
        <v>0</v>
      </c>
      <c r="L76" s="4">
        <v>0</v>
      </c>
      <c r="M76" s="4">
        <v>1035519.77</v>
      </c>
      <c r="N76" s="4">
        <v>0</v>
      </c>
      <c r="O76" s="4">
        <v>0</v>
      </c>
      <c r="P76" s="4">
        <v>4887412.5</v>
      </c>
      <c r="Q76" s="4"/>
      <c r="R76" s="4">
        <v>0</v>
      </c>
      <c r="S76" s="4">
        <v>0</v>
      </c>
      <c r="T76" s="4">
        <v>0</v>
      </c>
      <c r="U76" s="4"/>
      <c r="V76" s="4">
        <v>0</v>
      </c>
      <c r="W76" s="4">
        <v>0</v>
      </c>
      <c r="X76" s="4">
        <v>0</v>
      </c>
      <c r="Y76" s="4">
        <v>0</v>
      </c>
      <c r="Z76" s="4">
        <v>0</v>
      </c>
      <c r="AA76" s="4">
        <v>0</v>
      </c>
      <c r="AB76" s="4">
        <v>165217.51999999999</v>
      </c>
      <c r="AC76" s="4"/>
      <c r="AD76" s="4">
        <v>0</v>
      </c>
      <c r="AE76" s="4">
        <v>0</v>
      </c>
      <c r="AF76" s="4">
        <v>0</v>
      </c>
      <c r="AG76" s="31">
        <f t="shared" si="16"/>
        <v>6192200.7899999991</v>
      </c>
      <c r="AH76">
        <v>74</v>
      </c>
    </row>
    <row r="77" spans="2:34" x14ac:dyDescent="0.25">
      <c r="D77">
        <v>1409</v>
      </c>
      <c r="E77" t="s">
        <v>365</v>
      </c>
      <c r="F77" s="4">
        <v>0</v>
      </c>
      <c r="G77" s="4">
        <v>0</v>
      </c>
      <c r="H77" s="4">
        <v>0</v>
      </c>
      <c r="I77" s="4">
        <v>0</v>
      </c>
      <c r="J77" s="4">
        <v>0</v>
      </c>
      <c r="K77" s="4">
        <v>0</v>
      </c>
      <c r="L77" s="4">
        <v>0</v>
      </c>
      <c r="M77" s="4">
        <v>0</v>
      </c>
      <c r="N77" s="4">
        <v>0</v>
      </c>
      <c r="O77" s="4">
        <v>0</v>
      </c>
      <c r="P77" s="4">
        <v>0</v>
      </c>
      <c r="Q77" s="4"/>
      <c r="R77" s="4">
        <v>0</v>
      </c>
      <c r="S77" s="4">
        <v>0</v>
      </c>
      <c r="T77" s="4">
        <v>0</v>
      </c>
      <c r="U77" s="4"/>
      <c r="V77" s="4">
        <v>0</v>
      </c>
      <c r="W77" s="4">
        <v>0</v>
      </c>
      <c r="X77" s="4">
        <v>0</v>
      </c>
      <c r="Y77" s="4">
        <v>0</v>
      </c>
      <c r="Z77" s="4">
        <v>0</v>
      </c>
      <c r="AA77" s="4">
        <v>0</v>
      </c>
      <c r="AB77" s="4">
        <v>0</v>
      </c>
      <c r="AC77" s="4"/>
      <c r="AD77" s="4">
        <v>0</v>
      </c>
      <c r="AE77" s="4">
        <v>0</v>
      </c>
      <c r="AF77" s="4">
        <v>0</v>
      </c>
      <c r="AG77" s="31">
        <f t="shared" si="16"/>
        <v>0</v>
      </c>
      <c r="AH77">
        <v>75</v>
      </c>
    </row>
    <row r="78" spans="2:34" x14ac:dyDescent="0.25">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31"/>
      <c r="AH78">
        <v>76</v>
      </c>
    </row>
    <row r="79" spans="2:34" x14ac:dyDescent="0.25">
      <c r="C79" s="56">
        <v>142</v>
      </c>
      <c r="D79" s="56"/>
      <c r="E79" s="56" t="s">
        <v>581</v>
      </c>
      <c r="F79" s="57">
        <f t="shared" ref="F79:O79" si="18">F80+F81+F82+F83</f>
        <v>0</v>
      </c>
      <c r="G79" s="57">
        <f t="shared" si="18"/>
        <v>0</v>
      </c>
      <c r="H79" s="57">
        <f t="shared" si="18"/>
        <v>0</v>
      </c>
      <c r="I79" s="57">
        <f t="shared" si="18"/>
        <v>21000</v>
      </c>
      <c r="J79" s="57">
        <f t="shared" si="18"/>
        <v>0</v>
      </c>
      <c r="K79" s="57">
        <f t="shared" si="18"/>
        <v>0</v>
      </c>
      <c r="L79" s="57">
        <f t="shared" si="18"/>
        <v>0</v>
      </c>
      <c r="M79" s="57">
        <f t="shared" si="18"/>
        <v>58248.5</v>
      </c>
      <c r="N79" s="57">
        <f t="shared" si="18"/>
        <v>0</v>
      </c>
      <c r="O79" s="57">
        <f t="shared" si="18"/>
        <v>0</v>
      </c>
      <c r="P79" s="57">
        <f>P80+P81+P82+P83</f>
        <v>349625.4</v>
      </c>
      <c r="Q79" s="57">
        <f t="shared" ref="Q79:AF79" si="19">Q80+Q81+Q82+Q83</f>
        <v>0</v>
      </c>
      <c r="R79" s="57">
        <f t="shared" si="19"/>
        <v>0</v>
      </c>
      <c r="S79" s="57">
        <f t="shared" si="19"/>
        <v>0</v>
      </c>
      <c r="T79" s="57">
        <f t="shared" si="19"/>
        <v>0</v>
      </c>
      <c r="U79" s="57">
        <f t="shared" si="19"/>
        <v>0</v>
      </c>
      <c r="V79" s="57">
        <f t="shared" si="19"/>
        <v>0</v>
      </c>
      <c r="W79" s="57">
        <f t="shared" si="19"/>
        <v>0</v>
      </c>
      <c r="X79" s="57">
        <f t="shared" si="19"/>
        <v>0</v>
      </c>
      <c r="Y79" s="57">
        <f t="shared" si="19"/>
        <v>0</v>
      </c>
      <c r="Z79" s="57">
        <f t="shared" si="19"/>
        <v>0</v>
      </c>
      <c r="AA79" s="57">
        <f t="shared" si="19"/>
        <v>46880.6</v>
      </c>
      <c r="AB79" s="57">
        <f t="shared" si="19"/>
        <v>0</v>
      </c>
      <c r="AC79" s="57">
        <f t="shared" si="19"/>
        <v>0</v>
      </c>
      <c r="AD79" s="57">
        <f t="shared" si="19"/>
        <v>0</v>
      </c>
      <c r="AE79" s="57">
        <f t="shared" si="19"/>
        <v>0</v>
      </c>
      <c r="AF79" s="57">
        <f t="shared" si="19"/>
        <v>0</v>
      </c>
      <c r="AG79" s="57">
        <f>SUM(F79:AF79)</f>
        <v>475754.5</v>
      </c>
      <c r="AH79">
        <v>77</v>
      </c>
    </row>
    <row r="80" spans="2:34" x14ac:dyDescent="0.25">
      <c r="D80">
        <v>1420</v>
      </c>
      <c r="E80" t="s">
        <v>366</v>
      </c>
      <c r="F80" s="4">
        <v>0</v>
      </c>
      <c r="G80" s="4">
        <v>0</v>
      </c>
      <c r="H80" s="4">
        <v>0</v>
      </c>
      <c r="I80" s="4">
        <v>21000</v>
      </c>
      <c r="J80" s="4">
        <v>0</v>
      </c>
      <c r="K80" s="4">
        <v>0</v>
      </c>
      <c r="L80" s="4">
        <v>0</v>
      </c>
      <c r="M80" s="4">
        <v>4966</v>
      </c>
      <c r="N80" s="4">
        <v>0</v>
      </c>
      <c r="O80" s="4">
        <v>0</v>
      </c>
      <c r="P80" s="4">
        <v>12150</v>
      </c>
      <c r="Q80" s="4"/>
      <c r="R80" s="4">
        <v>0</v>
      </c>
      <c r="S80" s="4">
        <v>0</v>
      </c>
      <c r="T80" s="4">
        <v>0</v>
      </c>
      <c r="U80" s="4"/>
      <c r="V80" s="4">
        <v>0</v>
      </c>
      <c r="W80" s="4">
        <v>0</v>
      </c>
      <c r="X80" s="4">
        <v>0</v>
      </c>
      <c r="Y80" s="4">
        <v>0</v>
      </c>
      <c r="Z80" s="4">
        <v>0</v>
      </c>
      <c r="AA80" s="4">
        <v>0</v>
      </c>
      <c r="AB80" s="4">
        <v>0</v>
      </c>
      <c r="AC80" s="4"/>
      <c r="AD80" s="4">
        <v>0</v>
      </c>
      <c r="AE80" s="4">
        <v>0</v>
      </c>
      <c r="AF80" s="4">
        <v>0</v>
      </c>
      <c r="AG80" s="31">
        <f>SUM(F80:AF80)</f>
        <v>38116</v>
      </c>
      <c r="AH80">
        <v>78</v>
      </c>
    </row>
    <row r="81" spans="3:34" x14ac:dyDescent="0.25">
      <c r="D81">
        <v>1421</v>
      </c>
      <c r="E81" t="s">
        <v>367</v>
      </c>
      <c r="F81" s="4">
        <v>0</v>
      </c>
      <c r="G81" s="4">
        <v>0</v>
      </c>
      <c r="H81" s="4">
        <v>0</v>
      </c>
      <c r="I81" s="4">
        <v>0</v>
      </c>
      <c r="J81" s="4">
        <v>0</v>
      </c>
      <c r="K81" s="4">
        <v>0</v>
      </c>
      <c r="L81" s="4">
        <v>0</v>
      </c>
      <c r="M81" s="4">
        <v>0</v>
      </c>
      <c r="N81" s="4">
        <v>0</v>
      </c>
      <c r="O81" s="4">
        <v>0</v>
      </c>
      <c r="P81" s="4">
        <v>0</v>
      </c>
      <c r="Q81" s="4"/>
      <c r="R81" s="4">
        <v>0</v>
      </c>
      <c r="S81" s="4">
        <v>0</v>
      </c>
      <c r="T81" s="4">
        <v>0</v>
      </c>
      <c r="U81" s="4"/>
      <c r="V81" s="4">
        <v>0</v>
      </c>
      <c r="W81" s="4">
        <v>0</v>
      </c>
      <c r="X81" s="4">
        <v>0</v>
      </c>
      <c r="Y81" s="4">
        <v>0</v>
      </c>
      <c r="Z81" s="4">
        <v>0</v>
      </c>
      <c r="AA81" s="4">
        <v>0</v>
      </c>
      <c r="AB81" s="4">
        <v>0</v>
      </c>
      <c r="AC81" s="4"/>
      <c r="AD81" s="4">
        <v>0</v>
      </c>
      <c r="AE81" s="4">
        <v>0</v>
      </c>
      <c r="AF81" s="4">
        <v>0</v>
      </c>
      <c r="AG81" s="31">
        <f>SUM(F81:AF81)</f>
        <v>0</v>
      </c>
      <c r="AH81">
        <v>79</v>
      </c>
    </row>
    <row r="82" spans="3:34" x14ac:dyDescent="0.25">
      <c r="D82">
        <v>1427</v>
      </c>
      <c r="E82" t="s">
        <v>580</v>
      </c>
      <c r="F82" s="4">
        <v>0</v>
      </c>
      <c r="G82" s="4">
        <v>0</v>
      </c>
      <c r="H82" s="4">
        <v>0</v>
      </c>
      <c r="I82" s="4">
        <v>0</v>
      </c>
      <c r="J82" s="4">
        <v>0</v>
      </c>
      <c r="K82" s="4">
        <v>0</v>
      </c>
      <c r="L82" s="4">
        <v>0</v>
      </c>
      <c r="M82" s="4">
        <v>0</v>
      </c>
      <c r="N82" s="4">
        <v>0</v>
      </c>
      <c r="O82" s="4">
        <v>0</v>
      </c>
      <c r="P82" s="4">
        <v>337475.4</v>
      </c>
      <c r="Q82" s="4"/>
      <c r="R82" s="4">
        <v>0</v>
      </c>
      <c r="S82" s="4">
        <v>0</v>
      </c>
      <c r="T82" s="4">
        <v>0</v>
      </c>
      <c r="U82" s="4"/>
      <c r="V82" s="4">
        <v>0</v>
      </c>
      <c r="W82" s="4">
        <v>0</v>
      </c>
      <c r="X82" s="4">
        <v>0</v>
      </c>
      <c r="Y82" s="4">
        <v>0</v>
      </c>
      <c r="Z82" s="4">
        <v>0</v>
      </c>
      <c r="AA82" s="4">
        <v>0</v>
      </c>
      <c r="AB82" s="4">
        <v>0</v>
      </c>
      <c r="AC82" s="4"/>
      <c r="AD82" s="4">
        <v>0</v>
      </c>
      <c r="AE82" s="4">
        <v>0</v>
      </c>
      <c r="AF82" s="4">
        <v>0</v>
      </c>
      <c r="AG82" s="31">
        <f>SUM(F82:AF82)</f>
        <v>337475.4</v>
      </c>
      <c r="AH82">
        <v>80</v>
      </c>
    </row>
    <row r="83" spans="3:34" x14ac:dyDescent="0.25">
      <c r="D83">
        <v>1429</v>
      </c>
      <c r="E83" t="s">
        <v>465</v>
      </c>
      <c r="F83" s="4">
        <v>0</v>
      </c>
      <c r="G83" s="4">
        <v>0</v>
      </c>
      <c r="H83" s="4">
        <v>0</v>
      </c>
      <c r="I83" s="4">
        <v>0</v>
      </c>
      <c r="J83" s="4">
        <v>0</v>
      </c>
      <c r="K83" s="4">
        <v>0</v>
      </c>
      <c r="L83" s="4">
        <v>0</v>
      </c>
      <c r="M83" s="4">
        <v>53282.5</v>
      </c>
      <c r="N83" s="4">
        <v>0</v>
      </c>
      <c r="O83" s="4">
        <v>0</v>
      </c>
      <c r="P83" s="4">
        <v>0</v>
      </c>
      <c r="Q83" s="4"/>
      <c r="R83" s="4">
        <v>0</v>
      </c>
      <c r="S83" s="4">
        <v>0</v>
      </c>
      <c r="T83" s="4">
        <v>0</v>
      </c>
      <c r="U83" s="4"/>
      <c r="V83" s="4">
        <v>0</v>
      </c>
      <c r="W83" s="4">
        <v>0</v>
      </c>
      <c r="X83" s="4">
        <v>0</v>
      </c>
      <c r="Y83" s="4">
        <v>0</v>
      </c>
      <c r="Z83" s="4">
        <v>0</v>
      </c>
      <c r="AA83" s="4">
        <v>46880.6</v>
      </c>
      <c r="AB83" s="4">
        <v>0</v>
      </c>
      <c r="AC83" s="4"/>
      <c r="AD83" s="4">
        <v>0</v>
      </c>
      <c r="AE83" s="4">
        <v>0</v>
      </c>
      <c r="AF83" s="4">
        <v>0</v>
      </c>
      <c r="AG83" s="31">
        <f>SUM(F83:AF83)</f>
        <v>100163.1</v>
      </c>
      <c r="AH83">
        <v>81</v>
      </c>
    </row>
    <row r="84" spans="3:34" x14ac:dyDescent="0.25">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31"/>
      <c r="AH84">
        <v>82</v>
      </c>
    </row>
    <row r="85" spans="3:34" x14ac:dyDescent="0.25">
      <c r="C85" s="56">
        <v>144</v>
      </c>
      <c r="D85" s="56"/>
      <c r="E85" s="56" t="s">
        <v>250</v>
      </c>
      <c r="F85" s="57">
        <f>F86+F87+F88+F89+F90+F91+F92+F93+F94</f>
        <v>0</v>
      </c>
      <c r="G85" s="57">
        <f t="shared" ref="G85:AF85" si="20">G86+G87+G88+G89+G90+G91+G92+G93+G94</f>
        <v>0</v>
      </c>
      <c r="H85" s="57">
        <f t="shared" si="20"/>
        <v>0</v>
      </c>
      <c r="I85" s="57">
        <f t="shared" si="20"/>
        <v>0</v>
      </c>
      <c r="J85" s="57">
        <f t="shared" si="20"/>
        <v>0</v>
      </c>
      <c r="K85" s="57">
        <f t="shared" si="20"/>
        <v>0</v>
      </c>
      <c r="L85" s="57">
        <f t="shared" si="20"/>
        <v>0</v>
      </c>
      <c r="M85" s="57">
        <f t="shared" si="20"/>
        <v>0</v>
      </c>
      <c r="N85" s="57">
        <f t="shared" si="20"/>
        <v>0</v>
      </c>
      <c r="O85" s="57">
        <f t="shared" si="20"/>
        <v>0</v>
      </c>
      <c r="P85" s="57">
        <f t="shared" si="20"/>
        <v>0</v>
      </c>
      <c r="Q85" s="57">
        <f t="shared" si="20"/>
        <v>0</v>
      </c>
      <c r="R85" s="57">
        <f t="shared" si="20"/>
        <v>0</v>
      </c>
      <c r="S85" s="57">
        <f t="shared" si="20"/>
        <v>0</v>
      </c>
      <c r="T85" s="57">
        <f t="shared" si="20"/>
        <v>0</v>
      </c>
      <c r="U85" s="57">
        <f t="shared" si="20"/>
        <v>0</v>
      </c>
      <c r="V85" s="57">
        <f t="shared" si="20"/>
        <v>0</v>
      </c>
      <c r="W85" s="57">
        <f t="shared" si="20"/>
        <v>0</v>
      </c>
      <c r="X85" s="57">
        <f t="shared" si="20"/>
        <v>0</v>
      </c>
      <c r="Y85" s="57">
        <f t="shared" si="20"/>
        <v>0</v>
      </c>
      <c r="Z85" s="57">
        <f t="shared" si="20"/>
        <v>0</v>
      </c>
      <c r="AA85" s="57">
        <f t="shared" si="20"/>
        <v>0</v>
      </c>
      <c r="AB85" s="57">
        <f t="shared" si="20"/>
        <v>0</v>
      </c>
      <c r="AC85" s="57">
        <f t="shared" si="20"/>
        <v>0</v>
      </c>
      <c r="AD85" s="57">
        <f t="shared" si="20"/>
        <v>0</v>
      </c>
      <c r="AE85" s="57">
        <f t="shared" si="20"/>
        <v>0</v>
      </c>
      <c r="AF85" s="57">
        <f t="shared" si="20"/>
        <v>0</v>
      </c>
      <c r="AG85" s="57">
        <f t="shared" ref="AG85:AG94" si="21">SUM(F85:AF85)</f>
        <v>0</v>
      </c>
      <c r="AH85">
        <v>83</v>
      </c>
    </row>
    <row r="86" spans="3:34" x14ac:dyDescent="0.25">
      <c r="D86">
        <v>1440</v>
      </c>
      <c r="E86" t="s">
        <v>368</v>
      </c>
      <c r="F86" s="4">
        <v>0</v>
      </c>
      <c r="G86" s="4">
        <v>0</v>
      </c>
      <c r="H86" s="4">
        <v>0</v>
      </c>
      <c r="I86" s="4">
        <v>0</v>
      </c>
      <c r="J86" s="4">
        <v>0</v>
      </c>
      <c r="K86" s="4">
        <v>0</v>
      </c>
      <c r="L86" s="4">
        <v>0</v>
      </c>
      <c r="M86" s="4">
        <v>0</v>
      </c>
      <c r="N86" s="4">
        <v>0</v>
      </c>
      <c r="O86" s="4">
        <v>0</v>
      </c>
      <c r="P86" s="4">
        <v>0</v>
      </c>
      <c r="Q86" s="4"/>
      <c r="R86" s="4">
        <v>0</v>
      </c>
      <c r="S86" s="4">
        <v>0</v>
      </c>
      <c r="T86" s="4">
        <v>0</v>
      </c>
      <c r="U86" s="4"/>
      <c r="V86" s="4">
        <v>0</v>
      </c>
      <c r="W86" s="4">
        <v>0</v>
      </c>
      <c r="X86" s="4">
        <v>0</v>
      </c>
      <c r="Y86" s="4">
        <v>0</v>
      </c>
      <c r="Z86" s="4">
        <v>0</v>
      </c>
      <c r="AA86" s="4">
        <v>0</v>
      </c>
      <c r="AB86" s="4">
        <v>0</v>
      </c>
      <c r="AC86" s="4"/>
      <c r="AD86" s="4">
        <v>0</v>
      </c>
      <c r="AE86" s="4">
        <v>0</v>
      </c>
      <c r="AF86" s="4">
        <v>0</v>
      </c>
      <c r="AG86" s="31">
        <f t="shared" si="21"/>
        <v>0</v>
      </c>
      <c r="AH86">
        <v>84</v>
      </c>
    </row>
    <row r="87" spans="3:34" x14ac:dyDescent="0.25">
      <c r="D87">
        <v>1441</v>
      </c>
      <c r="E87" t="s">
        <v>370</v>
      </c>
      <c r="F87" s="4">
        <v>0</v>
      </c>
      <c r="G87" s="4">
        <v>0</v>
      </c>
      <c r="H87" s="4">
        <v>0</v>
      </c>
      <c r="I87" s="4">
        <v>0</v>
      </c>
      <c r="J87" s="4">
        <v>0</v>
      </c>
      <c r="K87" s="4">
        <v>0</v>
      </c>
      <c r="L87" s="4">
        <v>0</v>
      </c>
      <c r="M87" s="4">
        <v>0</v>
      </c>
      <c r="N87" s="4">
        <v>0</v>
      </c>
      <c r="O87" s="4">
        <v>0</v>
      </c>
      <c r="P87" s="4">
        <v>0</v>
      </c>
      <c r="Q87" s="4"/>
      <c r="R87" s="4">
        <v>0</v>
      </c>
      <c r="S87" s="4">
        <v>0</v>
      </c>
      <c r="T87" s="4">
        <v>0</v>
      </c>
      <c r="U87" s="4"/>
      <c r="V87" s="4">
        <v>0</v>
      </c>
      <c r="W87" s="4">
        <v>0</v>
      </c>
      <c r="X87" s="4">
        <v>0</v>
      </c>
      <c r="Y87" s="4">
        <v>0</v>
      </c>
      <c r="Z87" s="4">
        <v>0</v>
      </c>
      <c r="AA87" s="4">
        <v>0</v>
      </c>
      <c r="AB87" s="4">
        <v>0</v>
      </c>
      <c r="AC87" s="4"/>
      <c r="AD87" s="4">
        <v>0</v>
      </c>
      <c r="AE87" s="4">
        <v>0</v>
      </c>
      <c r="AF87" s="4">
        <v>0</v>
      </c>
      <c r="AG87" s="31">
        <f t="shared" si="21"/>
        <v>0</v>
      </c>
      <c r="AH87">
        <v>85</v>
      </c>
    </row>
    <row r="88" spans="3:34" x14ac:dyDescent="0.25">
      <c r="D88">
        <v>1442</v>
      </c>
      <c r="E88" t="s">
        <v>369</v>
      </c>
      <c r="F88" s="4">
        <v>0</v>
      </c>
      <c r="G88" s="4">
        <v>0</v>
      </c>
      <c r="H88" s="4">
        <v>0</v>
      </c>
      <c r="I88" s="4">
        <v>0</v>
      </c>
      <c r="J88" s="4">
        <v>0</v>
      </c>
      <c r="K88" s="4">
        <v>0</v>
      </c>
      <c r="L88" s="4">
        <v>0</v>
      </c>
      <c r="M88" s="4">
        <v>0</v>
      </c>
      <c r="N88" s="4">
        <v>0</v>
      </c>
      <c r="O88" s="4">
        <v>0</v>
      </c>
      <c r="P88" s="4">
        <v>0</v>
      </c>
      <c r="Q88" s="4"/>
      <c r="R88" s="4">
        <v>0</v>
      </c>
      <c r="S88" s="4">
        <v>0</v>
      </c>
      <c r="T88" s="4">
        <v>0</v>
      </c>
      <c r="U88" s="4"/>
      <c r="V88" s="4">
        <v>0</v>
      </c>
      <c r="W88" s="4">
        <v>0</v>
      </c>
      <c r="X88" s="4">
        <v>0</v>
      </c>
      <c r="Y88" s="4">
        <v>0</v>
      </c>
      <c r="Z88" s="4">
        <v>0</v>
      </c>
      <c r="AA88" s="4">
        <v>0</v>
      </c>
      <c r="AB88" s="4">
        <v>0</v>
      </c>
      <c r="AC88" s="4"/>
      <c r="AD88" s="4">
        <v>0</v>
      </c>
      <c r="AE88" s="4">
        <v>0</v>
      </c>
      <c r="AF88" s="4">
        <v>0</v>
      </c>
      <c r="AG88" s="31">
        <f t="shared" si="21"/>
        <v>0</v>
      </c>
      <c r="AH88">
        <v>86</v>
      </c>
    </row>
    <row r="89" spans="3:34" x14ac:dyDescent="0.25">
      <c r="D89">
        <v>1443</v>
      </c>
      <c r="E89" t="s">
        <v>371</v>
      </c>
      <c r="F89" s="4">
        <v>0</v>
      </c>
      <c r="G89" s="4">
        <v>0</v>
      </c>
      <c r="H89" s="4">
        <v>0</v>
      </c>
      <c r="I89" s="4">
        <v>0</v>
      </c>
      <c r="J89" s="4">
        <v>0</v>
      </c>
      <c r="K89" s="4">
        <v>0</v>
      </c>
      <c r="L89" s="4">
        <v>0</v>
      </c>
      <c r="M89" s="4">
        <v>0</v>
      </c>
      <c r="N89" s="4">
        <v>0</v>
      </c>
      <c r="O89" s="4">
        <v>0</v>
      </c>
      <c r="P89" s="4">
        <v>0</v>
      </c>
      <c r="Q89" s="4"/>
      <c r="R89" s="4">
        <v>0</v>
      </c>
      <c r="S89" s="4">
        <v>0</v>
      </c>
      <c r="T89" s="4">
        <v>0</v>
      </c>
      <c r="U89" s="4"/>
      <c r="V89" s="4">
        <v>0</v>
      </c>
      <c r="W89" s="4">
        <v>0</v>
      </c>
      <c r="X89" s="4">
        <v>0</v>
      </c>
      <c r="Y89" s="4">
        <v>0</v>
      </c>
      <c r="Z89" s="4">
        <v>0</v>
      </c>
      <c r="AA89" s="4">
        <v>0</v>
      </c>
      <c r="AB89" s="4">
        <v>0</v>
      </c>
      <c r="AC89" s="4"/>
      <c r="AD89" s="4">
        <v>0</v>
      </c>
      <c r="AE89" s="4">
        <v>0</v>
      </c>
      <c r="AF89" s="4">
        <v>0</v>
      </c>
      <c r="AG89" s="31">
        <f t="shared" si="21"/>
        <v>0</v>
      </c>
      <c r="AH89">
        <v>87</v>
      </c>
    </row>
    <row r="90" spans="3:34" x14ac:dyDescent="0.25">
      <c r="D90">
        <v>1444</v>
      </c>
      <c r="E90" t="s">
        <v>372</v>
      </c>
      <c r="F90" s="4">
        <v>0</v>
      </c>
      <c r="G90" s="4">
        <v>0</v>
      </c>
      <c r="H90" s="4">
        <v>0</v>
      </c>
      <c r="I90" s="4">
        <v>0</v>
      </c>
      <c r="J90" s="4">
        <v>0</v>
      </c>
      <c r="K90" s="4">
        <v>0</v>
      </c>
      <c r="L90" s="4">
        <v>0</v>
      </c>
      <c r="M90" s="4">
        <v>0</v>
      </c>
      <c r="N90" s="4">
        <v>0</v>
      </c>
      <c r="O90" s="4">
        <v>0</v>
      </c>
      <c r="P90" s="4">
        <v>0</v>
      </c>
      <c r="Q90" s="4"/>
      <c r="R90" s="4">
        <v>0</v>
      </c>
      <c r="S90" s="4">
        <v>0</v>
      </c>
      <c r="T90" s="4">
        <v>0</v>
      </c>
      <c r="U90" s="4"/>
      <c r="V90" s="4">
        <v>0</v>
      </c>
      <c r="W90" s="4">
        <v>0</v>
      </c>
      <c r="X90" s="4">
        <v>0</v>
      </c>
      <c r="Y90" s="4">
        <v>0</v>
      </c>
      <c r="Z90" s="4">
        <v>0</v>
      </c>
      <c r="AA90" s="4">
        <v>0</v>
      </c>
      <c r="AB90" s="4">
        <v>0</v>
      </c>
      <c r="AC90" s="4"/>
      <c r="AD90" s="4">
        <v>0</v>
      </c>
      <c r="AE90" s="4">
        <v>0</v>
      </c>
      <c r="AF90" s="4">
        <v>0</v>
      </c>
      <c r="AG90" s="31">
        <f t="shared" si="21"/>
        <v>0</v>
      </c>
      <c r="AH90">
        <v>88</v>
      </c>
    </row>
    <row r="91" spans="3:34" x14ac:dyDescent="0.25">
      <c r="D91">
        <v>1445</v>
      </c>
      <c r="E91" t="s">
        <v>373</v>
      </c>
      <c r="F91" s="4">
        <v>0</v>
      </c>
      <c r="G91" s="4">
        <v>0</v>
      </c>
      <c r="H91" s="4">
        <v>0</v>
      </c>
      <c r="I91" s="4">
        <v>0</v>
      </c>
      <c r="J91" s="4">
        <v>0</v>
      </c>
      <c r="K91" s="4">
        <v>0</v>
      </c>
      <c r="L91" s="4">
        <v>0</v>
      </c>
      <c r="M91" s="4">
        <v>0</v>
      </c>
      <c r="N91" s="4">
        <v>0</v>
      </c>
      <c r="O91" s="4">
        <v>0</v>
      </c>
      <c r="P91" s="4">
        <v>0</v>
      </c>
      <c r="Q91" s="4"/>
      <c r="R91" s="4">
        <v>0</v>
      </c>
      <c r="S91" s="4">
        <v>0</v>
      </c>
      <c r="T91" s="4">
        <v>0</v>
      </c>
      <c r="U91" s="4"/>
      <c r="V91" s="4">
        <v>0</v>
      </c>
      <c r="W91" s="4">
        <v>0</v>
      </c>
      <c r="X91" s="4">
        <v>0</v>
      </c>
      <c r="Y91" s="4">
        <v>0</v>
      </c>
      <c r="Z91" s="4">
        <v>0</v>
      </c>
      <c r="AA91" s="4">
        <v>0</v>
      </c>
      <c r="AB91" s="4">
        <v>0</v>
      </c>
      <c r="AC91" s="4"/>
      <c r="AD91" s="4">
        <v>0</v>
      </c>
      <c r="AE91" s="4">
        <v>0</v>
      </c>
      <c r="AF91" s="4">
        <v>0</v>
      </c>
      <c r="AG91" s="31">
        <f t="shared" si="21"/>
        <v>0</v>
      </c>
      <c r="AH91">
        <v>89</v>
      </c>
    </row>
    <row r="92" spans="3:34" x14ac:dyDescent="0.25">
      <c r="D92">
        <v>1446</v>
      </c>
      <c r="E92" t="s">
        <v>374</v>
      </c>
      <c r="F92" s="4">
        <v>0</v>
      </c>
      <c r="G92" s="4">
        <v>0</v>
      </c>
      <c r="H92" s="4">
        <v>0</v>
      </c>
      <c r="I92" s="4">
        <v>0</v>
      </c>
      <c r="J92" s="4">
        <v>0</v>
      </c>
      <c r="K92" s="4">
        <v>0</v>
      </c>
      <c r="L92" s="4">
        <v>0</v>
      </c>
      <c r="M92" s="4">
        <v>0</v>
      </c>
      <c r="N92" s="4">
        <v>0</v>
      </c>
      <c r="O92" s="4">
        <v>0</v>
      </c>
      <c r="P92" s="4">
        <v>0</v>
      </c>
      <c r="Q92" s="4"/>
      <c r="R92" s="4">
        <v>0</v>
      </c>
      <c r="S92" s="4">
        <v>0</v>
      </c>
      <c r="T92" s="4">
        <v>0</v>
      </c>
      <c r="U92" s="4"/>
      <c r="V92" s="4">
        <v>0</v>
      </c>
      <c r="W92" s="4">
        <v>0</v>
      </c>
      <c r="X92" s="4">
        <v>0</v>
      </c>
      <c r="Y92" s="4">
        <v>0</v>
      </c>
      <c r="Z92" s="4">
        <v>0</v>
      </c>
      <c r="AA92" s="4">
        <v>0</v>
      </c>
      <c r="AB92" s="4">
        <v>0</v>
      </c>
      <c r="AC92" s="4"/>
      <c r="AD92" s="4">
        <v>0</v>
      </c>
      <c r="AE92" s="4">
        <v>0</v>
      </c>
      <c r="AF92" s="4">
        <v>0</v>
      </c>
      <c r="AG92" s="31">
        <f t="shared" si="21"/>
        <v>0</v>
      </c>
      <c r="AH92">
        <v>90</v>
      </c>
    </row>
    <row r="93" spans="3:34" x14ac:dyDescent="0.25">
      <c r="D93">
        <v>1447</v>
      </c>
      <c r="E93" t="s">
        <v>375</v>
      </c>
      <c r="F93" s="4">
        <v>0</v>
      </c>
      <c r="G93" s="4">
        <v>0</v>
      </c>
      <c r="H93" s="4">
        <v>0</v>
      </c>
      <c r="I93" s="4">
        <v>0</v>
      </c>
      <c r="J93" s="4">
        <v>0</v>
      </c>
      <c r="K93" s="4">
        <v>0</v>
      </c>
      <c r="L93" s="4">
        <v>0</v>
      </c>
      <c r="M93" s="4">
        <v>0</v>
      </c>
      <c r="N93" s="4">
        <v>0</v>
      </c>
      <c r="O93" s="4">
        <v>0</v>
      </c>
      <c r="P93" s="4">
        <v>0</v>
      </c>
      <c r="Q93" s="4"/>
      <c r="R93" s="4">
        <v>0</v>
      </c>
      <c r="S93" s="4">
        <v>0</v>
      </c>
      <c r="T93" s="4">
        <v>0</v>
      </c>
      <c r="U93" s="4"/>
      <c r="V93" s="4">
        <v>0</v>
      </c>
      <c r="W93" s="4">
        <v>0</v>
      </c>
      <c r="X93" s="4">
        <v>0</v>
      </c>
      <c r="Y93" s="4">
        <v>0</v>
      </c>
      <c r="Z93" s="4">
        <v>0</v>
      </c>
      <c r="AA93" s="4">
        <v>0</v>
      </c>
      <c r="AB93" s="4">
        <v>0</v>
      </c>
      <c r="AC93" s="4"/>
      <c r="AD93" s="4">
        <v>0</v>
      </c>
      <c r="AE93" s="4">
        <v>0</v>
      </c>
      <c r="AF93" s="4">
        <v>0</v>
      </c>
      <c r="AG93" s="31">
        <f t="shared" si="21"/>
        <v>0</v>
      </c>
      <c r="AH93">
        <v>91</v>
      </c>
    </row>
    <row r="94" spans="3:34" x14ac:dyDescent="0.25">
      <c r="D94">
        <v>1448</v>
      </c>
      <c r="E94" t="s">
        <v>376</v>
      </c>
      <c r="F94" s="4">
        <v>0</v>
      </c>
      <c r="G94" s="4">
        <v>0</v>
      </c>
      <c r="H94" s="4">
        <v>0</v>
      </c>
      <c r="I94" s="4">
        <v>0</v>
      </c>
      <c r="J94" s="4">
        <v>0</v>
      </c>
      <c r="K94" s="4">
        <v>0</v>
      </c>
      <c r="L94" s="4">
        <v>0</v>
      </c>
      <c r="M94" s="4">
        <v>0</v>
      </c>
      <c r="N94" s="4">
        <v>0</v>
      </c>
      <c r="O94" s="4">
        <v>0</v>
      </c>
      <c r="P94" s="4">
        <v>0</v>
      </c>
      <c r="Q94" s="4"/>
      <c r="R94" s="4">
        <v>0</v>
      </c>
      <c r="S94" s="4">
        <v>0</v>
      </c>
      <c r="T94" s="4">
        <v>0</v>
      </c>
      <c r="U94" s="4"/>
      <c r="V94" s="4">
        <v>0</v>
      </c>
      <c r="W94" s="4">
        <v>0</v>
      </c>
      <c r="X94" s="4">
        <v>0</v>
      </c>
      <c r="Y94" s="4">
        <v>0</v>
      </c>
      <c r="Z94" s="4">
        <v>0</v>
      </c>
      <c r="AA94" s="4">
        <v>0</v>
      </c>
      <c r="AB94" s="4">
        <v>0</v>
      </c>
      <c r="AC94" s="4"/>
      <c r="AD94" s="4">
        <v>0</v>
      </c>
      <c r="AE94" s="4">
        <v>0</v>
      </c>
      <c r="AF94" s="4">
        <v>0</v>
      </c>
      <c r="AG94" s="31">
        <f t="shared" si="21"/>
        <v>0</v>
      </c>
      <c r="AH94">
        <v>92</v>
      </c>
    </row>
    <row r="95" spans="3:34" x14ac:dyDescent="0.25">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31"/>
      <c r="AH95">
        <v>93</v>
      </c>
    </row>
    <row r="96" spans="3:34" x14ac:dyDescent="0.25">
      <c r="C96" s="56">
        <v>145</v>
      </c>
      <c r="D96" s="56"/>
      <c r="E96" s="56" t="s">
        <v>379</v>
      </c>
      <c r="F96" s="57">
        <f>F97+F98+F99+F100+F101+F102+F103+F104+F105</f>
        <v>0</v>
      </c>
      <c r="G96" s="57">
        <f t="shared" ref="G96:AF96" si="22">G97+G98+G99+G100+G101+G102+G103+G104+G105</f>
        <v>0</v>
      </c>
      <c r="H96" s="57">
        <f t="shared" si="22"/>
        <v>0</v>
      </c>
      <c r="I96" s="57">
        <f t="shared" si="22"/>
        <v>0</v>
      </c>
      <c r="J96" s="57">
        <f t="shared" si="22"/>
        <v>0</v>
      </c>
      <c r="K96" s="57">
        <f t="shared" si="22"/>
        <v>0</v>
      </c>
      <c r="L96" s="57">
        <f t="shared" si="22"/>
        <v>0</v>
      </c>
      <c r="M96" s="57">
        <f t="shared" si="22"/>
        <v>0</v>
      </c>
      <c r="N96" s="57">
        <f t="shared" si="22"/>
        <v>0</v>
      </c>
      <c r="O96" s="57">
        <f t="shared" si="22"/>
        <v>0</v>
      </c>
      <c r="P96" s="57">
        <f t="shared" si="22"/>
        <v>0</v>
      </c>
      <c r="Q96" s="57">
        <f t="shared" si="22"/>
        <v>0</v>
      </c>
      <c r="R96" s="57">
        <f t="shared" si="22"/>
        <v>0</v>
      </c>
      <c r="S96" s="57">
        <f t="shared" si="22"/>
        <v>0</v>
      </c>
      <c r="T96" s="57">
        <f t="shared" si="22"/>
        <v>0</v>
      </c>
      <c r="U96" s="57">
        <f t="shared" si="22"/>
        <v>0</v>
      </c>
      <c r="V96" s="57">
        <f t="shared" si="22"/>
        <v>0</v>
      </c>
      <c r="W96" s="57">
        <f t="shared" si="22"/>
        <v>0</v>
      </c>
      <c r="X96" s="57">
        <f t="shared" si="22"/>
        <v>0</v>
      </c>
      <c r="Y96" s="57">
        <f t="shared" si="22"/>
        <v>0</v>
      </c>
      <c r="Z96" s="57">
        <f t="shared" si="22"/>
        <v>2</v>
      </c>
      <c r="AA96" s="57">
        <f t="shared" si="22"/>
        <v>0</v>
      </c>
      <c r="AB96" s="57">
        <f t="shared" si="22"/>
        <v>0</v>
      </c>
      <c r="AC96" s="57">
        <f t="shared" si="22"/>
        <v>0</v>
      </c>
      <c r="AD96" s="57">
        <f t="shared" si="22"/>
        <v>0</v>
      </c>
      <c r="AE96" s="57">
        <f t="shared" si="22"/>
        <v>0</v>
      </c>
      <c r="AF96" s="57">
        <f t="shared" si="22"/>
        <v>0</v>
      </c>
      <c r="AG96" s="57">
        <f t="shared" ref="AG96:AG105" si="23">SUM(F96:AF96)</f>
        <v>2</v>
      </c>
      <c r="AH96">
        <v>94</v>
      </c>
    </row>
    <row r="97" spans="3:34" x14ac:dyDescent="0.25">
      <c r="D97">
        <v>1450</v>
      </c>
      <c r="E97" t="s">
        <v>378</v>
      </c>
      <c r="F97" s="4">
        <v>0</v>
      </c>
      <c r="G97" s="4">
        <v>0</v>
      </c>
      <c r="H97" s="4">
        <v>0</v>
      </c>
      <c r="I97" s="4">
        <v>0</v>
      </c>
      <c r="J97" s="4">
        <v>0</v>
      </c>
      <c r="K97" s="4">
        <v>0</v>
      </c>
      <c r="L97" s="4">
        <v>0</v>
      </c>
      <c r="M97" s="4">
        <v>0</v>
      </c>
      <c r="N97" s="4">
        <v>0</v>
      </c>
      <c r="O97" s="4">
        <v>0</v>
      </c>
      <c r="P97" s="4">
        <v>0</v>
      </c>
      <c r="Q97" s="4"/>
      <c r="R97" s="4">
        <v>0</v>
      </c>
      <c r="S97" s="4">
        <v>0</v>
      </c>
      <c r="T97" s="4">
        <v>0</v>
      </c>
      <c r="U97" s="4"/>
      <c r="V97" s="4">
        <v>0</v>
      </c>
      <c r="W97" s="4">
        <v>0</v>
      </c>
      <c r="X97" s="4">
        <v>0</v>
      </c>
      <c r="Y97" s="4">
        <v>0</v>
      </c>
      <c r="Z97" s="4">
        <v>0</v>
      </c>
      <c r="AA97" s="4">
        <v>0</v>
      </c>
      <c r="AB97" s="4">
        <v>0</v>
      </c>
      <c r="AC97" s="4"/>
      <c r="AD97" s="4">
        <v>0</v>
      </c>
      <c r="AE97" s="4">
        <v>0</v>
      </c>
      <c r="AF97" s="4">
        <v>0</v>
      </c>
      <c r="AG97" s="31">
        <f t="shared" si="23"/>
        <v>0</v>
      </c>
      <c r="AH97">
        <v>95</v>
      </c>
    </row>
    <row r="98" spans="3:34" x14ac:dyDescent="0.25">
      <c r="D98">
        <v>1451</v>
      </c>
      <c r="E98" t="s">
        <v>377</v>
      </c>
      <c r="F98" s="4">
        <v>0</v>
      </c>
      <c r="G98" s="4">
        <v>0</v>
      </c>
      <c r="H98" s="4">
        <v>0</v>
      </c>
      <c r="I98" s="4">
        <v>0</v>
      </c>
      <c r="J98" s="4">
        <v>0</v>
      </c>
      <c r="K98" s="4">
        <v>0</v>
      </c>
      <c r="L98" s="4">
        <v>0</v>
      </c>
      <c r="M98" s="4">
        <v>0</v>
      </c>
      <c r="N98" s="4">
        <v>0</v>
      </c>
      <c r="O98" s="4">
        <v>0</v>
      </c>
      <c r="P98" s="4">
        <v>0</v>
      </c>
      <c r="Q98" s="4"/>
      <c r="R98" s="4">
        <v>0</v>
      </c>
      <c r="S98" s="4">
        <v>0</v>
      </c>
      <c r="T98" s="4">
        <v>0</v>
      </c>
      <c r="U98" s="4"/>
      <c r="V98" s="4">
        <v>0</v>
      </c>
      <c r="W98" s="4">
        <v>0</v>
      </c>
      <c r="X98" s="4">
        <v>0</v>
      </c>
      <c r="Y98" s="4">
        <v>0</v>
      </c>
      <c r="Z98" s="4">
        <v>0</v>
      </c>
      <c r="AA98" s="4">
        <v>0</v>
      </c>
      <c r="AB98" s="4">
        <v>0</v>
      </c>
      <c r="AC98" s="4"/>
      <c r="AD98" s="4">
        <v>0</v>
      </c>
      <c r="AE98" s="4">
        <v>0</v>
      </c>
      <c r="AF98" s="4">
        <v>0</v>
      </c>
      <c r="AG98" s="31">
        <f t="shared" si="23"/>
        <v>0</v>
      </c>
      <c r="AH98">
        <v>96</v>
      </c>
    </row>
    <row r="99" spans="3:34" x14ac:dyDescent="0.25">
      <c r="D99">
        <v>1452</v>
      </c>
      <c r="E99" t="s">
        <v>380</v>
      </c>
      <c r="F99" s="4">
        <v>0</v>
      </c>
      <c r="G99" s="4">
        <v>0</v>
      </c>
      <c r="H99" s="4">
        <v>0</v>
      </c>
      <c r="I99" s="4">
        <v>0</v>
      </c>
      <c r="J99" s="4">
        <v>0</v>
      </c>
      <c r="K99" s="4">
        <v>0</v>
      </c>
      <c r="L99" s="4">
        <v>0</v>
      </c>
      <c r="M99" s="4">
        <v>0</v>
      </c>
      <c r="N99" s="4">
        <v>0</v>
      </c>
      <c r="O99" s="4">
        <v>0</v>
      </c>
      <c r="P99" s="4">
        <v>0</v>
      </c>
      <c r="Q99" s="4"/>
      <c r="R99" s="4">
        <v>0</v>
      </c>
      <c r="S99" s="4">
        <v>0</v>
      </c>
      <c r="T99" s="4">
        <v>0</v>
      </c>
      <c r="U99" s="4"/>
      <c r="V99" s="4">
        <v>0</v>
      </c>
      <c r="W99" s="4">
        <v>0</v>
      </c>
      <c r="X99" s="4">
        <v>0</v>
      </c>
      <c r="Y99" s="4">
        <v>0</v>
      </c>
      <c r="Z99" s="4">
        <v>0</v>
      </c>
      <c r="AA99" s="4">
        <v>0</v>
      </c>
      <c r="AB99" s="4">
        <v>0</v>
      </c>
      <c r="AC99" s="4"/>
      <c r="AD99" s="4">
        <v>0</v>
      </c>
      <c r="AE99" s="4">
        <v>0</v>
      </c>
      <c r="AF99" s="4">
        <v>0</v>
      </c>
      <c r="AG99" s="31">
        <f t="shared" si="23"/>
        <v>0</v>
      </c>
      <c r="AH99">
        <v>97</v>
      </c>
    </row>
    <row r="100" spans="3:34" x14ac:dyDescent="0.25">
      <c r="D100">
        <v>1453</v>
      </c>
      <c r="E100" t="s">
        <v>381</v>
      </c>
      <c r="F100" s="4">
        <v>0</v>
      </c>
      <c r="G100" s="4">
        <v>0</v>
      </c>
      <c r="H100" s="4">
        <v>0</v>
      </c>
      <c r="I100" s="4">
        <v>0</v>
      </c>
      <c r="J100" s="4">
        <v>0</v>
      </c>
      <c r="K100" s="4">
        <v>0</v>
      </c>
      <c r="L100" s="4">
        <v>0</v>
      </c>
      <c r="M100" s="4">
        <v>0</v>
      </c>
      <c r="N100" s="4">
        <v>0</v>
      </c>
      <c r="O100" s="4">
        <v>0</v>
      </c>
      <c r="P100" s="4">
        <v>0</v>
      </c>
      <c r="Q100" s="4"/>
      <c r="R100" s="4">
        <v>0</v>
      </c>
      <c r="S100" s="4">
        <v>0</v>
      </c>
      <c r="T100" s="4">
        <v>0</v>
      </c>
      <c r="U100" s="4"/>
      <c r="V100" s="4">
        <v>0</v>
      </c>
      <c r="W100" s="4">
        <v>0</v>
      </c>
      <c r="X100" s="4">
        <v>0</v>
      </c>
      <c r="Y100" s="4">
        <v>0</v>
      </c>
      <c r="Z100" s="4">
        <v>0</v>
      </c>
      <c r="AA100" s="4">
        <v>0</v>
      </c>
      <c r="AB100" s="4">
        <v>0</v>
      </c>
      <c r="AC100" s="4"/>
      <c r="AD100" s="4">
        <v>0</v>
      </c>
      <c r="AE100" s="4">
        <v>0</v>
      </c>
      <c r="AF100" s="4">
        <v>0</v>
      </c>
      <c r="AG100" s="31">
        <f t="shared" si="23"/>
        <v>0</v>
      </c>
      <c r="AH100">
        <v>98</v>
      </c>
    </row>
    <row r="101" spans="3:34" x14ac:dyDescent="0.25">
      <c r="D101">
        <v>1454</v>
      </c>
      <c r="E101" t="s">
        <v>382</v>
      </c>
      <c r="F101" s="4">
        <v>0</v>
      </c>
      <c r="G101" s="4">
        <v>0</v>
      </c>
      <c r="H101" s="4">
        <v>0</v>
      </c>
      <c r="I101" s="4">
        <v>0</v>
      </c>
      <c r="J101" s="4">
        <v>0</v>
      </c>
      <c r="K101" s="4">
        <v>0</v>
      </c>
      <c r="L101" s="4">
        <v>0</v>
      </c>
      <c r="M101" s="4">
        <v>0</v>
      </c>
      <c r="N101" s="4">
        <v>0</v>
      </c>
      <c r="O101" s="4">
        <v>0</v>
      </c>
      <c r="P101" s="4">
        <v>0</v>
      </c>
      <c r="Q101" s="4"/>
      <c r="R101" s="4">
        <v>0</v>
      </c>
      <c r="S101" s="4">
        <v>0</v>
      </c>
      <c r="T101" s="4">
        <v>0</v>
      </c>
      <c r="U101" s="4"/>
      <c r="V101" s="4">
        <v>0</v>
      </c>
      <c r="W101" s="4">
        <v>0</v>
      </c>
      <c r="X101" s="4">
        <v>0</v>
      </c>
      <c r="Y101" s="4">
        <v>0</v>
      </c>
      <c r="Z101" s="4">
        <v>0</v>
      </c>
      <c r="AA101" s="4">
        <v>0</v>
      </c>
      <c r="AB101" s="4">
        <v>0</v>
      </c>
      <c r="AC101" s="4"/>
      <c r="AD101" s="4">
        <v>0</v>
      </c>
      <c r="AE101" s="4">
        <v>0</v>
      </c>
      <c r="AF101" s="4">
        <v>0</v>
      </c>
      <c r="AG101" s="31">
        <f t="shared" si="23"/>
        <v>0</v>
      </c>
      <c r="AH101">
        <v>99</v>
      </c>
    </row>
    <row r="102" spans="3:34" x14ac:dyDescent="0.25">
      <c r="D102">
        <v>1455</v>
      </c>
      <c r="E102" t="s">
        <v>383</v>
      </c>
      <c r="F102" s="4">
        <v>0</v>
      </c>
      <c r="G102" s="4">
        <v>0</v>
      </c>
      <c r="H102" s="4">
        <v>0</v>
      </c>
      <c r="I102" s="4">
        <v>0</v>
      </c>
      <c r="J102" s="4">
        <v>0</v>
      </c>
      <c r="K102" s="4">
        <v>0</v>
      </c>
      <c r="L102" s="4">
        <v>0</v>
      </c>
      <c r="M102" s="4">
        <v>0</v>
      </c>
      <c r="N102" s="4">
        <v>0</v>
      </c>
      <c r="O102" s="4">
        <v>0</v>
      </c>
      <c r="P102" s="4">
        <v>0</v>
      </c>
      <c r="Q102" s="4"/>
      <c r="R102" s="4">
        <v>0</v>
      </c>
      <c r="S102" s="4">
        <v>0</v>
      </c>
      <c r="T102" s="4">
        <v>0</v>
      </c>
      <c r="U102" s="4"/>
      <c r="V102" s="4">
        <v>0</v>
      </c>
      <c r="W102" s="4">
        <v>0</v>
      </c>
      <c r="X102" s="4">
        <v>0</v>
      </c>
      <c r="Y102" s="4">
        <v>0</v>
      </c>
      <c r="Z102" s="4">
        <v>2</v>
      </c>
      <c r="AA102" s="4">
        <v>0</v>
      </c>
      <c r="AB102" s="4">
        <v>0</v>
      </c>
      <c r="AC102" s="4"/>
      <c r="AD102" s="4">
        <v>0</v>
      </c>
      <c r="AE102" s="4">
        <v>0</v>
      </c>
      <c r="AF102" s="4">
        <v>0</v>
      </c>
      <c r="AG102" s="31">
        <f t="shared" si="23"/>
        <v>2</v>
      </c>
      <c r="AH102">
        <v>100</v>
      </c>
    </row>
    <row r="103" spans="3:34" x14ac:dyDescent="0.25">
      <c r="D103">
        <v>1456</v>
      </c>
      <c r="E103" t="s">
        <v>384</v>
      </c>
      <c r="F103" s="4">
        <v>0</v>
      </c>
      <c r="G103" s="4">
        <v>0</v>
      </c>
      <c r="H103" s="4">
        <v>0</v>
      </c>
      <c r="I103" s="4">
        <v>0</v>
      </c>
      <c r="J103" s="4">
        <v>0</v>
      </c>
      <c r="K103" s="4">
        <v>0</v>
      </c>
      <c r="L103" s="4">
        <v>0</v>
      </c>
      <c r="M103" s="4">
        <v>0</v>
      </c>
      <c r="N103" s="4">
        <v>0</v>
      </c>
      <c r="O103" s="4">
        <v>0</v>
      </c>
      <c r="P103" s="4">
        <v>0</v>
      </c>
      <c r="Q103" s="4"/>
      <c r="R103" s="4">
        <v>0</v>
      </c>
      <c r="S103" s="4">
        <v>0</v>
      </c>
      <c r="T103" s="4">
        <v>0</v>
      </c>
      <c r="U103" s="4"/>
      <c r="V103" s="4">
        <v>0</v>
      </c>
      <c r="W103" s="4">
        <v>0</v>
      </c>
      <c r="X103" s="4">
        <v>0</v>
      </c>
      <c r="Y103" s="4">
        <v>0</v>
      </c>
      <c r="Z103" s="4">
        <v>0</v>
      </c>
      <c r="AA103" s="4">
        <v>0</v>
      </c>
      <c r="AB103" s="4">
        <v>0</v>
      </c>
      <c r="AC103" s="4"/>
      <c r="AD103" s="4">
        <v>0</v>
      </c>
      <c r="AE103" s="4">
        <v>0</v>
      </c>
      <c r="AF103" s="4">
        <v>0</v>
      </c>
      <c r="AG103" s="31">
        <f t="shared" si="23"/>
        <v>0</v>
      </c>
      <c r="AH103">
        <v>101</v>
      </c>
    </row>
    <row r="104" spans="3:34" x14ac:dyDescent="0.25">
      <c r="D104">
        <v>1457</v>
      </c>
      <c r="E104" t="s">
        <v>385</v>
      </c>
      <c r="F104" s="4">
        <v>0</v>
      </c>
      <c r="G104" s="4">
        <v>0</v>
      </c>
      <c r="H104" s="4">
        <v>0</v>
      </c>
      <c r="I104" s="4">
        <v>0</v>
      </c>
      <c r="J104" s="4">
        <v>0</v>
      </c>
      <c r="K104" s="4">
        <v>0</v>
      </c>
      <c r="L104" s="4">
        <v>0</v>
      </c>
      <c r="M104" s="4">
        <v>0</v>
      </c>
      <c r="N104" s="4">
        <v>0</v>
      </c>
      <c r="O104" s="4">
        <v>0</v>
      </c>
      <c r="P104" s="4">
        <v>0</v>
      </c>
      <c r="Q104" s="4"/>
      <c r="R104" s="4">
        <v>0</v>
      </c>
      <c r="S104" s="4">
        <v>0</v>
      </c>
      <c r="T104" s="4">
        <v>0</v>
      </c>
      <c r="U104" s="4"/>
      <c r="V104" s="4">
        <v>0</v>
      </c>
      <c r="W104" s="4">
        <v>0</v>
      </c>
      <c r="X104" s="4">
        <v>0</v>
      </c>
      <c r="Y104" s="4">
        <v>0</v>
      </c>
      <c r="Z104" s="4">
        <v>0</v>
      </c>
      <c r="AA104" s="4">
        <v>0</v>
      </c>
      <c r="AB104" s="4">
        <v>0</v>
      </c>
      <c r="AC104" s="4"/>
      <c r="AD104" s="4">
        <v>0</v>
      </c>
      <c r="AE104" s="4">
        <v>0</v>
      </c>
      <c r="AF104" s="4">
        <v>0</v>
      </c>
      <c r="AG104" s="31">
        <f t="shared" si="23"/>
        <v>0</v>
      </c>
      <c r="AH104">
        <v>102</v>
      </c>
    </row>
    <row r="105" spans="3:34" x14ac:dyDescent="0.25">
      <c r="D105">
        <v>1458</v>
      </c>
      <c r="E105" t="s">
        <v>386</v>
      </c>
      <c r="F105" s="4">
        <v>0</v>
      </c>
      <c r="G105" s="4">
        <v>0</v>
      </c>
      <c r="H105" s="4">
        <v>0</v>
      </c>
      <c r="I105" s="4">
        <v>0</v>
      </c>
      <c r="J105" s="4">
        <v>0</v>
      </c>
      <c r="K105" s="4">
        <v>0</v>
      </c>
      <c r="L105" s="4">
        <v>0</v>
      </c>
      <c r="M105" s="4">
        <v>0</v>
      </c>
      <c r="N105" s="4">
        <v>0</v>
      </c>
      <c r="O105" s="4">
        <v>0</v>
      </c>
      <c r="P105" s="4">
        <v>0</v>
      </c>
      <c r="Q105" s="4"/>
      <c r="R105" s="4">
        <v>0</v>
      </c>
      <c r="S105" s="4">
        <v>0</v>
      </c>
      <c r="T105" s="4">
        <v>0</v>
      </c>
      <c r="U105" s="4"/>
      <c r="V105" s="4">
        <v>0</v>
      </c>
      <c r="W105" s="4">
        <v>0</v>
      </c>
      <c r="X105" s="4">
        <v>0</v>
      </c>
      <c r="Y105" s="4">
        <v>0</v>
      </c>
      <c r="Z105" s="4">
        <v>0</v>
      </c>
      <c r="AA105" s="4">
        <v>0</v>
      </c>
      <c r="AB105" s="4">
        <v>0</v>
      </c>
      <c r="AC105" s="4"/>
      <c r="AD105" s="4">
        <v>0</v>
      </c>
      <c r="AE105" s="4">
        <v>0</v>
      </c>
      <c r="AF105" s="4">
        <v>0</v>
      </c>
      <c r="AG105" s="31">
        <f t="shared" si="23"/>
        <v>0</v>
      </c>
      <c r="AH105">
        <v>103</v>
      </c>
    </row>
    <row r="106" spans="3:34" x14ac:dyDescent="0.25">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31"/>
      <c r="AH106">
        <v>104</v>
      </c>
    </row>
    <row r="107" spans="3:34" x14ac:dyDescent="0.25">
      <c r="C107" s="56">
        <v>146</v>
      </c>
      <c r="D107" s="56"/>
      <c r="E107" s="56" t="s">
        <v>397</v>
      </c>
      <c r="F107" s="57">
        <f>F108+F109+F110+F111+F112+F113+F114+F115+F116+F117</f>
        <v>0</v>
      </c>
      <c r="G107" s="57">
        <f t="shared" ref="G107:AF107" si="24">G108+G109+G110+G111+G112+G113+G114+G115+G116+G117</f>
        <v>0</v>
      </c>
      <c r="H107" s="57">
        <f t="shared" si="24"/>
        <v>0</v>
      </c>
      <c r="I107" s="57">
        <f t="shared" si="24"/>
        <v>0</v>
      </c>
      <c r="J107" s="57">
        <f t="shared" si="24"/>
        <v>0</v>
      </c>
      <c r="K107" s="57">
        <f t="shared" si="24"/>
        <v>0</v>
      </c>
      <c r="L107" s="57">
        <f t="shared" si="24"/>
        <v>0</v>
      </c>
      <c r="M107" s="57">
        <f t="shared" si="24"/>
        <v>0</v>
      </c>
      <c r="N107" s="57">
        <f t="shared" si="24"/>
        <v>0</v>
      </c>
      <c r="O107" s="57">
        <f t="shared" si="24"/>
        <v>0</v>
      </c>
      <c r="P107" s="57">
        <f t="shared" si="24"/>
        <v>0</v>
      </c>
      <c r="Q107" s="57">
        <f t="shared" si="24"/>
        <v>0</v>
      </c>
      <c r="R107" s="57">
        <f t="shared" si="24"/>
        <v>0</v>
      </c>
      <c r="S107" s="57">
        <f t="shared" si="24"/>
        <v>0</v>
      </c>
      <c r="T107" s="57">
        <f t="shared" si="24"/>
        <v>0</v>
      </c>
      <c r="U107" s="57">
        <f t="shared" si="24"/>
        <v>0</v>
      </c>
      <c r="V107" s="57">
        <f t="shared" si="24"/>
        <v>0</v>
      </c>
      <c r="W107" s="57">
        <f t="shared" si="24"/>
        <v>0</v>
      </c>
      <c r="X107" s="57">
        <f t="shared" si="24"/>
        <v>0</v>
      </c>
      <c r="Y107" s="57">
        <f t="shared" si="24"/>
        <v>0</v>
      </c>
      <c r="Z107" s="57">
        <f t="shared" si="24"/>
        <v>0</v>
      </c>
      <c r="AA107" s="57">
        <f t="shared" si="24"/>
        <v>0</v>
      </c>
      <c r="AB107" s="57">
        <v>0</v>
      </c>
      <c r="AC107" s="57">
        <f t="shared" si="24"/>
        <v>0</v>
      </c>
      <c r="AD107" s="57">
        <f t="shared" si="24"/>
        <v>0</v>
      </c>
      <c r="AE107" s="57">
        <f t="shared" si="24"/>
        <v>0</v>
      </c>
      <c r="AF107" s="57">
        <f t="shared" si="24"/>
        <v>0</v>
      </c>
      <c r="AG107" s="57">
        <f t="shared" ref="AG107:AG117" si="25">SUM(F107:AF107)</f>
        <v>0</v>
      </c>
      <c r="AH107">
        <v>105</v>
      </c>
    </row>
    <row r="108" spans="3:34" x14ac:dyDescent="0.25">
      <c r="D108">
        <v>1460</v>
      </c>
      <c r="E108" t="s">
        <v>394</v>
      </c>
      <c r="F108" s="4">
        <v>0</v>
      </c>
      <c r="G108" s="4">
        <v>0</v>
      </c>
      <c r="H108" s="4">
        <v>0</v>
      </c>
      <c r="I108" s="4">
        <v>0</v>
      </c>
      <c r="J108" s="4">
        <v>0</v>
      </c>
      <c r="K108" s="4">
        <v>0</v>
      </c>
      <c r="L108" s="4">
        <v>0</v>
      </c>
      <c r="M108" s="4">
        <v>0</v>
      </c>
      <c r="N108" s="4">
        <v>0</v>
      </c>
      <c r="O108" s="4">
        <v>0</v>
      </c>
      <c r="P108" s="4">
        <v>0</v>
      </c>
      <c r="Q108" s="4"/>
      <c r="R108" s="4">
        <v>0</v>
      </c>
      <c r="S108" s="4">
        <v>0</v>
      </c>
      <c r="T108" s="4">
        <v>0</v>
      </c>
      <c r="U108" s="4"/>
      <c r="V108" s="4">
        <v>0</v>
      </c>
      <c r="W108" s="4">
        <v>0</v>
      </c>
      <c r="X108" s="4">
        <v>0</v>
      </c>
      <c r="Y108" s="4">
        <v>0</v>
      </c>
      <c r="Z108" s="4">
        <v>0</v>
      </c>
      <c r="AA108" s="4">
        <v>0</v>
      </c>
      <c r="AB108" s="4">
        <v>0</v>
      </c>
      <c r="AC108" s="4"/>
      <c r="AD108" s="4">
        <v>0</v>
      </c>
      <c r="AE108" s="4">
        <v>0</v>
      </c>
      <c r="AF108" s="4">
        <v>0</v>
      </c>
      <c r="AG108" s="31">
        <f t="shared" si="25"/>
        <v>0</v>
      </c>
      <c r="AH108">
        <v>106</v>
      </c>
    </row>
    <row r="109" spans="3:34" x14ac:dyDescent="0.25">
      <c r="D109">
        <v>1461</v>
      </c>
      <c r="E109" t="s">
        <v>395</v>
      </c>
      <c r="F109" s="4">
        <v>0</v>
      </c>
      <c r="G109" s="4">
        <v>0</v>
      </c>
      <c r="H109" s="4">
        <v>0</v>
      </c>
      <c r="I109" s="4">
        <v>0</v>
      </c>
      <c r="J109" s="4">
        <v>0</v>
      </c>
      <c r="K109" s="4">
        <v>0</v>
      </c>
      <c r="L109" s="4">
        <v>0</v>
      </c>
      <c r="M109" s="4">
        <v>0</v>
      </c>
      <c r="N109" s="4">
        <v>0</v>
      </c>
      <c r="O109" s="4">
        <v>0</v>
      </c>
      <c r="P109" s="4">
        <v>0</v>
      </c>
      <c r="Q109" s="4"/>
      <c r="R109" s="4">
        <v>0</v>
      </c>
      <c r="S109" s="4">
        <v>0</v>
      </c>
      <c r="T109" s="4">
        <v>0</v>
      </c>
      <c r="U109" s="4"/>
      <c r="V109" s="4">
        <v>0</v>
      </c>
      <c r="W109" s="4">
        <v>0</v>
      </c>
      <c r="X109" s="4">
        <v>0</v>
      </c>
      <c r="Y109" s="4">
        <v>0</v>
      </c>
      <c r="Z109" s="4">
        <v>0</v>
      </c>
      <c r="AA109" s="4">
        <v>0</v>
      </c>
      <c r="AB109" s="4">
        <v>0</v>
      </c>
      <c r="AC109" s="4"/>
      <c r="AD109" s="4">
        <v>0</v>
      </c>
      <c r="AE109" s="4">
        <v>0</v>
      </c>
      <c r="AF109" s="4">
        <v>0</v>
      </c>
      <c r="AG109" s="31">
        <f t="shared" si="25"/>
        <v>0</v>
      </c>
      <c r="AH109">
        <v>107</v>
      </c>
    </row>
    <row r="110" spans="3:34" x14ac:dyDescent="0.25">
      <c r="D110">
        <v>1462</v>
      </c>
      <c r="E110" t="s">
        <v>387</v>
      </c>
      <c r="F110" s="4">
        <v>0</v>
      </c>
      <c r="G110" s="4">
        <v>0</v>
      </c>
      <c r="H110" s="4">
        <v>0</v>
      </c>
      <c r="I110" s="4">
        <v>0</v>
      </c>
      <c r="J110" s="4">
        <v>0</v>
      </c>
      <c r="K110" s="4">
        <v>0</v>
      </c>
      <c r="L110" s="4">
        <v>0</v>
      </c>
      <c r="M110" s="4">
        <v>0</v>
      </c>
      <c r="N110" s="4">
        <v>0</v>
      </c>
      <c r="O110" s="4">
        <v>0</v>
      </c>
      <c r="P110" s="4">
        <v>0</v>
      </c>
      <c r="Q110" s="4"/>
      <c r="R110" s="4">
        <v>0</v>
      </c>
      <c r="S110" s="4">
        <v>0</v>
      </c>
      <c r="T110" s="4">
        <v>0</v>
      </c>
      <c r="U110" s="4"/>
      <c r="V110" s="4">
        <v>0</v>
      </c>
      <c r="W110" s="4">
        <v>0</v>
      </c>
      <c r="X110" s="4">
        <v>0</v>
      </c>
      <c r="Y110" s="4">
        <v>0</v>
      </c>
      <c r="Z110" s="4">
        <v>0</v>
      </c>
      <c r="AA110" s="4">
        <v>0</v>
      </c>
      <c r="AB110" s="4">
        <v>0</v>
      </c>
      <c r="AC110" s="4"/>
      <c r="AD110" s="4">
        <v>0</v>
      </c>
      <c r="AE110" s="4">
        <v>0</v>
      </c>
      <c r="AF110" s="4">
        <v>0</v>
      </c>
      <c r="AG110" s="31">
        <f t="shared" si="25"/>
        <v>0</v>
      </c>
      <c r="AH110">
        <v>108</v>
      </c>
    </row>
    <row r="111" spans="3:34" x14ac:dyDescent="0.25">
      <c r="D111">
        <v>1463</v>
      </c>
      <c r="E111" t="s">
        <v>388</v>
      </c>
      <c r="F111" s="4">
        <v>0</v>
      </c>
      <c r="G111" s="4">
        <v>0</v>
      </c>
      <c r="H111" s="4">
        <v>0</v>
      </c>
      <c r="I111" s="4">
        <v>0</v>
      </c>
      <c r="J111" s="4">
        <v>0</v>
      </c>
      <c r="K111" s="4">
        <v>0</v>
      </c>
      <c r="L111" s="4">
        <v>0</v>
      </c>
      <c r="M111" s="4">
        <v>0</v>
      </c>
      <c r="N111" s="4">
        <v>0</v>
      </c>
      <c r="O111" s="4">
        <v>0</v>
      </c>
      <c r="P111" s="4">
        <v>0</v>
      </c>
      <c r="Q111" s="4"/>
      <c r="R111" s="4">
        <v>0</v>
      </c>
      <c r="S111" s="4">
        <v>0</v>
      </c>
      <c r="T111" s="4">
        <v>0</v>
      </c>
      <c r="U111" s="4"/>
      <c r="V111" s="4">
        <v>0</v>
      </c>
      <c r="W111" s="4">
        <v>0</v>
      </c>
      <c r="X111" s="4">
        <v>0</v>
      </c>
      <c r="Y111" s="4">
        <v>0</v>
      </c>
      <c r="Z111" s="4">
        <v>0</v>
      </c>
      <c r="AA111" s="4">
        <v>0</v>
      </c>
      <c r="AB111" s="4">
        <v>0</v>
      </c>
      <c r="AC111" s="4"/>
      <c r="AD111" s="4">
        <v>0</v>
      </c>
      <c r="AE111" s="4">
        <v>0</v>
      </c>
      <c r="AF111" s="4">
        <v>0</v>
      </c>
      <c r="AG111" s="31">
        <f t="shared" si="25"/>
        <v>0</v>
      </c>
      <c r="AH111">
        <v>109</v>
      </c>
    </row>
    <row r="112" spans="3:34" x14ac:dyDescent="0.25">
      <c r="D112">
        <v>1464</v>
      </c>
      <c r="E112" t="s">
        <v>389</v>
      </c>
      <c r="F112" s="4">
        <v>0</v>
      </c>
      <c r="G112" s="4">
        <v>0</v>
      </c>
      <c r="H112" s="4">
        <v>0</v>
      </c>
      <c r="I112" s="4">
        <v>0</v>
      </c>
      <c r="J112" s="4">
        <v>0</v>
      </c>
      <c r="K112" s="4">
        <v>0</v>
      </c>
      <c r="L112" s="4">
        <v>0</v>
      </c>
      <c r="M112" s="4">
        <v>0</v>
      </c>
      <c r="N112" s="4">
        <v>0</v>
      </c>
      <c r="O112" s="4">
        <v>0</v>
      </c>
      <c r="P112" s="4">
        <v>0</v>
      </c>
      <c r="Q112" s="4"/>
      <c r="R112" s="4">
        <v>0</v>
      </c>
      <c r="S112" s="4">
        <v>0</v>
      </c>
      <c r="T112" s="4">
        <v>0</v>
      </c>
      <c r="U112" s="4"/>
      <c r="V112" s="4">
        <v>0</v>
      </c>
      <c r="W112" s="4">
        <v>0</v>
      </c>
      <c r="X112" s="4">
        <v>0</v>
      </c>
      <c r="Y112" s="4">
        <v>0</v>
      </c>
      <c r="Z112" s="4">
        <v>0</v>
      </c>
      <c r="AA112" s="4">
        <v>0</v>
      </c>
      <c r="AB112" s="4">
        <v>0</v>
      </c>
      <c r="AC112" s="4"/>
      <c r="AD112" s="4">
        <v>0</v>
      </c>
      <c r="AE112" s="4">
        <v>0</v>
      </c>
      <c r="AF112" s="4">
        <v>0</v>
      </c>
      <c r="AG112" s="31">
        <f t="shared" si="25"/>
        <v>0</v>
      </c>
      <c r="AH112">
        <v>110</v>
      </c>
    </row>
    <row r="113" spans="1:34" x14ac:dyDescent="0.25">
      <c r="D113">
        <v>1465</v>
      </c>
      <c r="E113" t="s">
        <v>390</v>
      </c>
      <c r="F113" s="4">
        <v>0</v>
      </c>
      <c r="G113" s="4">
        <v>0</v>
      </c>
      <c r="H113" s="4">
        <v>0</v>
      </c>
      <c r="I113" s="4">
        <v>0</v>
      </c>
      <c r="J113" s="4">
        <v>0</v>
      </c>
      <c r="K113" s="4">
        <v>0</v>
      </c>
      <c r="L113" s="4">
        <v>0</v>
      </c>
      <c r="M113" s="4">
        <v>0</v>
      </c>
      <c r="N113" s="4">
        <v>0</v>
      </c>
      <c r="O113" s="4">
        <v>0</v>
      </c>
      <c r="P113" s="4">
        <v>0</v>
      </c>
      <c r="Q113" s="4"/>
      <c r="R113" s="4">
        <v>0</v>
      </c>
      <c r="S113" s="4">
        <v>0</v>
      </c>
      <c r="T113" s="4">
        <v>0</v>
      </c>
      <c r="U113" s="4"/>
      <c r="V113" s="4">
        <v>0</v>
      </c>
      <c r="W113" s="4">
        <v>0</v>
      </c>
      <c r="X113" s="4">
        <v>0</v>
      </c>
      <c r="Y113" s="4">
        <v>0</v>
      </c>
      <c r="Z113" s="4">
        <v>0</v>
      </c>
      <c r="AA113" s="4">
        <v>0</v>
      </c>
      <c r="AB113" s="4">
        <v>0</v>
      </c>
      <c r="AC113" s="4"/>
      <c r="AD113" s="4">
        <v>0</v>
      </c>
      <c r="AE113" s="4">
        <v>0</v>
      </c>
      <c r="AF113" s="4">
        <v>0</v>
      </c>
      <c r="AG113" s="31">
        <f t="shared" si="25"/>
        <v>0</v>
      </c>
      <c r="AH113">
        <v>111</v>
      </c>
    </row>
    <row r="114" spans="1:34" x14ac:dyDescent="0.25">
      <c r="D114">
        <v>1466</v>
      </c>
      <c r="E114" t="s">
        <v>396</v>
      </c>
      <c r="F114" s="4">
        <v>0</v>
      </c>
      <c r="G114" s="4">
        <v>0</v>
      </c>
      <c r="H114" s="4">
        <v>0</v>
      </c>
      <c r="I114" s="4">
        <v>0</v>
      </c>
      <c r="J114" s="4">
        <v>0</v>
      </c>
      <c r="K114" s="4">
        <v>0</v>
      </c>
      <c r="L114" s="4">
        <v>0</v>
      </c>
      <c r="M114" s="4">
        <v>0</v>
      </c>
      <c r="N114" s="4">
        <v>0</v>
      </c>
      <c r="O114" s="4">
        <v>0</v>
      </c>
      <c r="P114" s="4">
        <v>0</v>
      </c>
      <c r="Q114" s="4"/>
      <c r="R114" s="4">
        <v>0</v>
      </c>
      <c r="S114" s="4">
        <v>0</v>
      </c>
      <c r="T114" s="4">
        <v>0</v>
      </c>
      <c r="U114" s="4"/>
      <c r="V114" s="4">
        <v>0</v>
      </c>
      <c r="W114" s="4">
        <v>0</v>
      </c>
      <c r="X114" s="4">
        <v>0</v>
      </c>
      <c r="Y114" s="4">
        <v>0</v>
      </c>
      <c r="Z114" s="4">
        <v>0</v>
      </c>
      <c r="AA114" s="4">
        <v>0</v>
      </c>
      <c r="AB114" s="4">
        <v>0</v>
      </c>
      <c r="AC114" s="4"/>
      <c r="AD114" s="4">
        <v>0</v>
      </c>
      <c r="AE114" s="4">
        <v>0</v>
      </c>
      <c r="AF114" s="4">
        <v>0</v>
      </c>
      <c r="AG114" s="31">
        <f t="shared" si="25"/>
        <v>0</v>
      </c>
      <c r="AH114">
        <v>112</v>
      </c>
    </row>
    <row r="115" spans="1:34" x14ac:dyDescent="0.25">
      <c r="D115">
        <v>1467</v>
      </c>
      <c r="E115" t="s">
        <v>391</v>
      </c>
      <c r="F115" s="4">
        <v>0</v>
      </c>
      <c r="G115" s="4">
        <v>0</v>
      </c>
      <c r="H115" s="4">
        <v>0</v>
      </c>
      <c r="I115" s="4">
        <v>0</v>
      </c>
      <c r="J115" s="4">
        <v>0</v>
      </c>
      <c r="K115" s="4">
        <v>0</v>
      </c>
      <c r="L115" s="4">
        <v>0</v>
      </c>
      <c r="M115" s="4">
        <v>0</v>
      </c>
      <c r="N115" s="4">
        <v>0</v>
      </c>
      <c r="O115" s="4">
        <v>0</v>
      </c>
      <c r="P115" s="4">
        <v>0</v>
      </c>
      <c r="Q115" s="4"/>
      <c r="R115" s="4">
        <v>0</v>
      </c>
      <c r="S115" s="4">
        <v>0</v>
      </c>
      <c r="T115" s="4">
        <v>0</v>
      </c>
      <c r="U115" s="4"/>
      <c r="V115" s="4">
        <v>0</v>
      </c>
      <c r="W115" s="4">
        <v>0</v>
      </c>
      <c r="X115" s="4">
        <v>0</v>
      </c>
      <c r="Y115" s="4">
        <v>0</v>
      </c>
      <c r="Z115" s="4">
        <v>0</v>
      </c>
      <c r="AA115" s="4">
        <v>0</v>
      </c>
      <c r="AB115" s="4">
        <v>0</v>
      </c>
      <c r="AC115" s="4"/>
      <c r="AD115" s="4">
        <v>0</v>
      </c>
      <c r="AE115" s="4">
        <v>0</v>
      </c>
      <c r="AF115" s="4">
        <v>0</v>
      </c>
      <c r="AG115" s="31">
        <f t="shared" si="25"/>
        <v>0</v>
      </c>
      <c r="AH115">
        <v>113</v>
      </c>
    </row>
    <row r="116" spans="1:34" x14ac:dyDescent="0.25">
      <c r="D116">
        <v>1468</v>
      </c>
      <c r="E116" t="s">
        <v>392</v>
      </c>
      <c r="F116" s="4">
        <v>0</v>
      </c>
      <c r="G116" s="4">
        <v>0</v>
      </c>
      <c r="H116" s="4">
        <v>0</v>
      </c>
      <c r="I116" s="4">
        <v>0</v>
      </c>
      <c r="J116" s="4">
        <v>0</v>
      </c>
      <c r="K116" s="4">
        <v>0</v>
      </c>
      <c r="L116" s="4">
        <v>0</v>
      </c>
      <c r="M116" s="4">
        <v>0</v>
      </c>
      <c r="N116" s="4">
        <v>0</v>
      </c>
      <c r="O116" s="4">
        <v>0</v>
      </c>
      <c r="P116" s="4">
        <v>0</v>
      </c>
      <c r="Q116" s="4"/>
      <c r="R116" s="4">
        <v>0</v>
      </c>
      <c r="S116" s="4">
        <v>0</v>
      </c>
      <c r="T116" s="4">
        <v>0</v>
      </c>
      <c r="U116" s="4"/>
      <c r="V116" s="4">
        <v>0</v>
      </c>
      <c r="W116" s="4">
        <v>0</v>
      </c>
      <c r="X116" s="4">
        <v>0</v>
      </c>
      <c r="Y116" s="4">
        <v>0</v>
      </c>
      <c r="Z116" s="4">
        <v>0</v>
      </c>
      <c r="AA116" s="4">
        <v>0</v>
      </c>
      <c r="AB116" s="4">
        <v>0</v>
      </c>
      <c r="AC116" s="4"/>
      <c r="AD116" s="4">
        <v>0</v>
      </c>
      <c r="AE116" s="4">
        <v>0</v>
      </c>
      <c r="AF116" s="4">
        <v>0</v>
      </c>
      <c r="AG116" s="31">
        <f t="shared" si="25"/>
        <v>0</v>
      </c>
      <c r="AH116">
        <v>114</v>
      </c>
    </row>
    <row r="117" spans="1:34" x14ac:dyDescent="0.25">
      <c r="D117">
        <v>1469</v>
      </c>
      <c r="E117" t="s">
        <v>393</v>
      </c>
      <c r="F117" s="4">
        <v>0</v>
      </c>
      <c r="G117" s="4">
        <v>0</v>
      </c>
      <c r="H117" s="4">
        <v>0</v>
      </c>
      <c r="I117" s="4">
        <v>0</v>
      </c>
      <c r="J117" s="4">
        <v>0</v>
      </c>
      <c r="K117" s="4">
        <v>0</v>
      </c>
      <c r="L117" s="4">
        <v>0</v>
      </c>
      <c r="M117" s="4">
        <v>0</v>
      </c>
      <c r="N117" s="4">
        <v>0</v>
      </c>
      <c r="O117" s="4">
        <v>0</v>
      </c>
      <c r="P117" s="4">
        <v>0</v>
      </c>
      <c r="Q117" s="4"/>
      <c r="R117" s="4">
        <v>0</v>
      </c>
      <c r="S117" s="4">
        <v>0</v>
      </c>
      <c r="T117" s="4">
        <v>0</v>
      </c>
      <c r="U117" s="4"/>
      <c r="V117" s="4">
        <v>0</v>
      </c>
      <c r="W117" s="4">
        <v>0</v>
      </c>
      <c r="X117" s="4">
        <v>0</v>
      </c>
      <c r="Y117" s="4">
        <v>0</v>
      </c>
      <c r="Z117" s="4">
        <v>0</v>
      </c>
      <c r="AA117" s="4">
        <v>0</v>
      </c>
      <c r="AB117" s="4">
        <v>0</v>
      </c>
      <c r="AC117" s="4"/>
      <c r="AD117" s="4">
        <v>0</v>
      </c>
      <c r="AE117" s="4">
        <v>0</v>
      </c>
      <c r="AF117" s="4">
        <v>0</v>
      </c>
      <c r="AG117" s="31">
        <f t="shared" si="25"/>
        <v>0</v>
      </c>
      <c r="AH117">
        <v>115</v>
      </c>
    </row>
    <row r="118" spans="1:34" x14ac:dyDescent="0.25">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31"/>
      <c r="AH118">
        <v>116</v>
      </c>
    </row>
    <row r="119" spans="1:34" x14ac:dyDescent="0.25">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31"/>
      <c r="AH119">
        <v>117</v>
      </c>
    </row>
    <row r="120" spans="1:34" ht="21" x14ac:dyDescent="0.35">
      <c r="A120" s="64">
        <v>2</v>
      </c>
      <c r="B120" s="64"/>
      <c r="C120" s="64"/>
      <c r="D120" s="64"/>
      <c r="E120" s="64" t="s">
        <v>251</v>
      </c>
      <c r="F120" s="71">
        <f>F122+F132+F142+F152+F164+F172+F183+F190+F193+F197+F200+F203+F206+F209+F212+F215</f>
        <v>2230447.5699999998</v>
      </c>
      <c r="G120" s="71">
        <f t="shared" ref="G120:AF120" si="26">G122+G132+G142+G152+G164+G172+G183+G190+G193+G197+G200+G203+G206+G209+G212+G215</f>
        <v>71117295.879999995</v>
      </c>
      <c r="H120" s="71">
        <f t="shared" si="26"/>
        <v>238666.75</v>
      </c>
      <c r="I120" s="71">
        <f t="shared" si="26"/>
        <v>9496698.9900000002</v>
      </c>
      <c r="J120" s="71">
        <f t="shared" si="26"/>
        <v>933919.45</v>
      </c>
      <c r="K120" s="71">
        <f t="shared" si="26"/>
        <v>2781909.8100000005</v>
      </c>
      <c r="L120" s="71">
        <f t="shared" si="26"/>
        <v>925444.01</v>
      </c>
      <c r="M120" s="71">
        <f t="shared" si="26"/>
        <v>5094729.34</v>
      </c>
      <c r="N120" s="71">
        <f t="shared" si="26"/>
        <v>98110.3</v>
      </c>
      <c r="O120" s="71">
        <f t="shared" si="26"/>
        <v>149290.84</v>
      </c>
      <c r="P120" s="71">
        <f t="shared" si="26"/>
        <v>14283261.68</v>
      </c>
      <c r="Q120" s="71">
        <f t="shared" si="26"/>
        <v>0</v>
      </c>
      <c r="R120" s="71">
        <f t="shared" si="26"/>
        <v>31437.19</v>
      </c>
      <c r="S120" s="71">
        <f t="shared" si="26"/>
        <v>45817.549999999996</v>
      </c>
      <c r="T120" s="71">
        <f t="shared" si="26"/>
        <v>5669.75</v>
      </c>
      <c r="U120" s="71">
        <f t="shared" si="26"/>
        <v>0</v>
      </c>
      <c r="V120" s="71">
        <f t="shared" si="26"/>
        <v>2267822.06</v>
      </c>
      <c r="W120" s="71">
        <f t="shared" si="26"/>
        <v>1404727.7</v>
      </c>
      <c r="X120" s="71">
        <f t="shared" si="26"/>
        <v>33899.649999999994</v>
      </c>
      <c r="Y120" s="71">
        <f t="shared" si="26"/>
        <v>3042463.27</v>
      </c>
      <c r="Z120" s="71">
        <f t="shared" si="26"/>
        <v>24461703.419999998</v>
      </c>
      <c r="AA120" s="71">
        <f t="shared" si="26"/>
        <v>1804531.1800000002</v>
      </c>
      <c r="AB120" s="71">
        <f t="shared" si="26"/>
        <v>3310425.87</v>
      </c>
      <c r="AC120" s="71">
        <f t="shared" si="26"/>
        <v>0</v>
      </c>
      <c r="AD120" s="71">
        <f t="shared" si="26"/>
        <v>150475.9</v>
      </c>
      <c r="AE120" s="71">
        <f t="shared" si="26"/>
        <v>8747101.1699999999</v>
      </c>
      <c r="AF120" s="71">
        <f t="shared" si="26"/>
        <v>755282.5</v>
      </c>
      <c r="AG120" s="65">
        <f t="shared" ref="AG120:AG130" si="27">SUM(F120:AF120)</f>
        <v>153411131.83000001</v>
      </c>
      <c r="AH120">
        <v>118</v>
      </c>
    </row>
    <row r="121" spans="1:34" x14ac:dyDescent="0.25">
      <c r="A121" s="7"/>
      <c r="B121" s="68">
        <v>20</v>
      </c>
      <c r="C121" s="68"/>
      <c r="D121" s="68"/>
      <c r="E121" s="68" t="s">
        <v>252</v>
      </c>
      <c r="F121" s="69">
        <f>F122+F132+F142+F152+F164+F172+F183</f>
        <v>1462265.3599999999</v>
      </c>
      <c r="G121" s="69">
        <f t="shared" ref="G121:AF121" si="28">G122+G132+G142+G152+G164+G172+G183</f>
        <v>741238.91999999993</v>
      </c>
      <c r="H121" s="69">
        <f t="shared" si="28"/>
        <v>23955.599999999999</v>
      </c>
      <c r="I121" s="69">
        <f t="shared" si="28"/>
        <v>2167339.5</v>
      </c>
      <c r="J121" s="69">
        <f t="shared" si="28"/>
        <v>933919.45</v>
      </c>
      <c r="K121" s="69">
        <f t="shared" si="28"/>
        <v>2645497.8600000003</v>
      </c>
      <c r="L121" s="69">
        <f t="shared" si="28"/>
        <v>925444.01</v>
      </c>
      <c r="M121" s="69">
        <f t="shared" si="28"/>
        <v>4636516.55</v>
      </c>
      <c r="N121" s="69">
        <f t="shared" si="28"/>
        <v>98110.3</v>
      </c>
      <c r="O121" s="69">
        <f t="shared" si="28"/>
        <v>21949.600000000002</v>
      </c>
      <c r="P121" s="69">
        <f t="shared" si="28"/>
        <v>243896.25</v>
      </c>
      <c r="Q121" s="69">
        <f t="shared" si="28"/>
        <v>0</v>
      </c>
      <c r="R121" s="69">
        <f t="shared" si="28"/>
        <v>28866.6</v>
      </c>
      <c r="S121" s="69">
        <f t="shared" si="28"/>
        <v>-527.45000000000005</v>
      </c>
      <c r="T121" s="69">
        <f t="shared" si="28"/>
        <v>0</v>
      </c>
      <c r="U121" s="69">
        <f t="shared" si="28"/>
        <v>0</v>
      </c>
      <c r="V121" s="69">
        <f t="shared" si="28"/>
        <v>1741610.74</v>
      </c>
      <c r="W121" s="69">
        <f t="shared" si="28"/>
        <v>1389527.95</v>
      </c>
      <c r="X121" s="69">
        <f t="shared" si="28"/>
        <v>7234.75</v>
      </c>
      <c r="Y121" s="69">
        <f t="shared" si="28"/>
        <v>456154.74</v>
      </c>
      <c r="Z121" s="69">
        <f t="shared" si="28"/>
        <v>23135009.859999999</v>
      </c>
      <c r="AA121" s="69">
        <f t="shared" si="28"/>
        <v>1535460.6</v>
      </c>
      <c r="AB121" s="69">
        <f t="shared" si="28"/>
        <v>1660293.72</v>
      </c>
      <c r="AC121" s="69">
        <f t="shared" si="28"/>
        <v>0</v>
      </c>
      <c r="AD121" s="69">
        <f t="shared" si="28"/>
        <v>150475.9</v>
      </c>
      <c r="AE121" s="69">
        <f t="shared" si="28"/>
        <v>8282724.4900000002</v>
      </c>
      <c r="AF121" s="69">
        <f t="shared" si="28"/>
        <v>289792.8</v>
      </c>
      <c r="AG121" s="69">
        <f t="shared" si="27"/>
        <v>52576758.100000001</v>
      </c>
      <c r="AH121">
        <v>119</v>
      </c>
    </row>
    <row r="122" spans="1:34" x14ac:dyDescent="0.25">
      <c r="C122" s="66">
        <v>200</v>
      </c>
      <c r="D122" s="66"/>
      <c r="E122" s="66" t="s">
        <v>253</v>
      </c>
      <c r="F122" s="67">
        <f>F123+F124+F125+F126+F127+F128+F129+F130</f>
        <v>81088.509999999995</v>
      </c>
      <c r="G122" s="67">
        <f t="shared" ref="G122:AF122" si="29">G123+G124+G125+G126+G127+G128+G129+G130</f>
        <v>643656.85</v>
      </c>
      <c r="H122" s="67">
        <f t="shared" si="29"/>
        <v>0</v>
      </c>
      <c r="I122" s="67">
        <f t="shared" si="29"/>
        <v>2167339.5</v>
      </c>
      <c r="J122" s="67">
        <f t="shared" si="29"/>
        <v>11119.45</v>
      </c>
      <c r="K122" s="67">
        <f t="shared" si="29"/>
        <v>128850.46</v>
      </c>
      <c r="L122" s="67">
        <f t="shared" si="29"/>
        <v>409825.01</v>
      </c>
      <c r="M122" s="67">
        <f t="shared" si="29"/>
        <v>78717.89</v>
      </c>
      <c r="N122" s="67">
        <f t="shared" si="29"/>
        <v>13878.95</v>
      </c>
      <c r="O122" s="67">
        <f t="shared" si="29"/>
        <v>0</v>
      </c>
      <c r="P122" s="67">
        <f t="shared" si="29"/>
        <v>240460.95</v>
      </c>
      <c r="Q122" s="67">
        <f t="shared" si="29"/>
        <v>0</v>
      </c>
      <c r="R122" s="67">
        <f t="shared" si="29"/>
        <v>0</v>
      </c>
      <c r="S122" s="67">
        <f t="shared" si="29"/>
        <v>0</v>
      </c>
      <c r="T122" s="67">
        <f t="shared" si="29"/>
        <v>0</v>
      </c>
      <c r="U122" s="67">
        <f t="shared" si="29"/>
        <v>0</v>
      </c>
      <c r="V122" s="67">
        <f t="shared" si="29"/>
        <v>15810.74</v>
      </c>
      <c r="W122" s="67">
        <f t="shared" si="29"/>
        <v>0</v>
      </c>
      <c r="X122" s="67">
        <f t="shared" si="29"/>
        <v>7234.75</v>
      </c>
      <c r="Y122" s="67">
        <f t="shared" si="29"/>
        <v>51842.19</v>
      </c>
      <c r="Z122" s="67">
        <f t="shared" si="29"/>
        <v>1160284.69</v>
      </c>
      <c r="AA122" s="67">
        <f t="shared" si="29"/>
        <v>0</v>
      </c>
      <c r="AB122" s="67">
        <f t="shared" si="29"/>
        <v>118497.67</v>
      </c>
      <c r="AC122" s="67">
        <f t="shared" si="29"/>
        <v>0</v>
      </c>
      <c r="AD122" s="67">
        <f t="shared" si="29"/>
        <v>0</v>
      </c>
      <c r="AE122" s="67">
        <f t="shared" si="29"/>
        <v>230085.49</v>
      </c>
      <c r="AF122" s="67">
        <f t="shared" si="29"/>
        <v>0</v>
      </c>
      <c r="AG122" s="67">
        <f t="shared" si="27"/>
        <v>5358693.1000000015</v>
      </c>
      <c r="AH122">
        <v>120</v>
      </c>
    </row>
    <row r="123" spans="1:34" x14ac:dyDescent="0.25">
      <c r="D123">
        <v>2000</v>
      </c>
      <c r="E123" t="s">
        <v>398</v>
      </c>
      <c r="F123" s="4">
        <v>81088.509999999995</v>
      </c>
      <c r="G123" s="4">
        <v>722486</v>
      </c>
      <c r="H123" s="4">
        <v>0</v>
      </c>
      <c r="I123" s="4">
        <v>1368309.7</v>
      </c>
      <c r="J123" s="4">
        <v>11119.45</v>
      </c>
      <c r="K123" s="4">
        <v>128850.46</v>
      </c>
      <c r="L123" s="4">
        <v>110171.42</v>
      </c>
      <c r="M123" s="4">
        <v>78708.94</v>
      </c>
      <c r="N123" s="4">
        <v>0</v>
      </c>
      <c r="O123" s="4">
        <v>0</v>
      </c>
      <c r="P123" s="4">
        <v>240460.95</v>
      </c>
      <c r="Q123" s="4"/>
      <c r="R123" s="4">
        <v>0</v>
      </c>
      <c r="S123" s="4">
        <v>0</v>
      </c>
      <c r="T123" s="4">
        <v>0</v>
      </c>
      <c r="U123" s="4"/>
      <c r="V123" s="4">
        <v>15810.74</v>
      </c>
      <c r="W123" s="4">
        <v>0</v>
      </c>
      <c r="X123" s="4">
        <v>7234.75</v>
      </c>
      <c r="Y123" s="4">
        <v>53322.8</v>
      </c>
      <c r="Z123" s="4">
        <v>1121247.54</v>
      </c>
      <c r="AA123" s="4">
        <v>0</v>
      </c>
      <c r="AB123" s="4">
        <v>118497.67</v>
      </c>
      <c r="AC123" s="4"/>
      <c r="AD123" s="4">
        <v>0</v>
      </c>
      <c r="AE123" s="4">
        <v>168397.24</v>
      </c>
      <c r="AF123" s="4">
        <v>0</v>
      </c>
      <c r="AG123" s="31">
        <f t="shared" si="27"/>
        <v>4225706.17</v>
      </c>
      <c r="AH123">
        <v>121</v>
      </c>
    </row>
    <row r="124" spans="1:34" x14ac:dyDescent="0.25">
      <c r="D124">
        <v>2001</v>
      </c>
      <c r="E124" t="s">
        <v>399</v>
      </c>
      <c r="F124" s="4">
        <v>0</v>
      </c>
      <c r="G124" s="4">
        <v>-16947.599999999999</v>
      </c>
      <c r="H124" s="4">
        <v>0</v>
      </c>
      <c r="I124" s="4">
        <v>0</v>
      </c>
      <c r="J124" s="4">
        <v>0</v>
      </c>
      <c r="K124" s="4">
        <v>0</v>
      </c>
      <c r="L124" s="4">
        <v>0</v>
      </c>
      <c r="M124" s="4">
        <v>0</v>
      </c>
      <c r="N124" s="4">
        <v>13878.95</v>
      </c>
      <c r="O124" s="4">
        <v>0</v>
      </c>
      <c r="P124" s="4">
        <v>0</v>
      </c>
      <c r="Q124" s="4"/>
      <c r="R124" s="4">
        <v>0</v>
      </c>
      <c r="S124" s="4">
        <v>0</v>
      </c>
      <c r="T124" s="4">
        <v>0</v>
      </c>
      <c r="U124" s="4"/>
      <c r="V124" s="4">
        <v>0</v>
      </c>
      <c r="W124" s="4">
        <v>0</v>
      </c>
      <c r="X124" s="4">
        <v>0</v>
      </c>
      <c r="Y124" s="4">
        <v>0</v>
      </c>
      <c r="Z124" s="4">
        <v>39037.15</v>
      </c>
      <c r="AA124" s="4">
        <v>0</v>
      </c>
      <c r="AB124" s="4">
        <v>0</v>
      </c>
      <c r="AC124" s="4"/>
      <c r="AD124" s="4">
        <v>0</v>
      </c>
      <c r="AE124" s="4">
        <v>0</v>
      </c>
      <c r="AF124" s="4">
        <v>0</v>
      </c>
      <c r="AG124" s="31">
        <f t="shared" si="27"/>
        <v>35968.5</v>
      </c>
      <c r="AH124">
        <v>122</v>
      </c>
    </row>
    <row r="125" spans="1:34" x14ac:dyDescent="0.25">
      <c r="D125">
        <v>2002</v>
      </c>
      <c r="E125" t="s">
        <v>400</v>
      </c>
      <c r="F125" s="4">
        <v>0</v>
      </c>
      <c r="G125" s="4">
        <v>-61881.55</v>
      </c>
      <c r="H125" s="4">
        <v>0</v>
      </c>
      <c r="I125" s="4">
        <v>0</v>
      </c>
      <c r="J125" s="4">
        <v>0</v>
      </c>
      <c r="K125" s="4">
        <v>0</v>
      </c>
      <c r="L125" s="4">
        <v>0</v>
      </c>
      <c r="M125" s="4">
        <v>8.9499999999999993</v>
      </c>
      <c r="N125" s="4">
        <v>0</v>
      </c>
      <c r="O125" s="4">
        <v>0</v>
      </c>
      <c r="P125" s="4">
        <v>0</v>
      </c>
      <c r="Q125" s="4"/>
      <c r="R125" s="4">
        <v>0</v>
      </c>
      <c r="S125" s="4">
        <v>0</v>
      </c>
      <c r="T125" s="4">
        <v>0</v>
      </c>
      <c r="U125" s="4"/>
      <c r="V125" s="4">
        <v>0</v>
      </c>
      <c r="W125" s="4">
        <v>0</v>
      </c>
      <c r="X125" s="4">
        <v>0</v>
      </c>
      <c r="Y125" s="4">
        <v>-1480.61</v>
      </c>
      <c r="Z125" s="4">
        <v>0</v>
      </c>
      <c r="AA125" s="4">
        <v>0</v>
      </c>
      <c r="AB125" s="4">
        <v>0</v>
      </c>
      <c r="AC125" s="4"/>
      <c r="AD125" s="4">
        <v>0</v>
      </c>
      <c r="AE125" s="4">
        <v>0</v>
      </c>
      <c r="AF125" s="4">
        <v>0</v>
      </c>
      <c r="AG125" s="31">
        <f t="shared" si="27"/>
        <v>-63353.210000000006</v>
      </c>
      <c r="AH125">
        <v>123</v>
      </c>
    </row>
    <row r="126" spans="1:34" x14ac:dyDescent="0.25">
      <c r="D126">
        <v>2003</v>
      </c>
      <c r="E126" t="s">
        <v>401</v>
      </c>
      <c r="F126" s="4">
        <v>0</v>
      </c>
      <c r="G126" s="4">
        <v>0</v>
      </c>
      <c r="H126" s="4">
        <v>0</v>
      </c>
      <c r="I126" s="4">
        <v>0</v>
      </c>
      <c r="J126" s="4">
        <v>0</v>
      </c>
      <c r="K126" s="4">
        <v>0</v>
      </c>
      <c r="L126" s="4">
        <v>0</v>
      </c>
      <c r="M126" s="4">
        <v>0</v>
      </c>
      <c r="N126" s="4">
        <v>0</v>
      </c>
      <c r="O126" s="4">
        <v>0</v>
      </c>
      <c r="P126" s="4">
        <v>0</v>
      </c>
      <c r="Q126" s="4"/>
      <c r="R126" s="4">
        <v>0</v>
      </c>
      <c r="S126" s="4">
        <v>0</v>
      </c>
      <c r="T126" s="4">
        <v>0</v>
      </c>
      <c r="U126" s="4"/>
      <c r="V126" s="4">
        <v>0</v>
      </c>
      <c r="W126" s="4">
        <v>0</v>
      </c>
      <c r="X126" s="4">
        <v>0</v>
      </c>
      <c r="Y126" s="4">
        <v>0</v>
      </c>
      <c r="Z126" s="4">
        <v>0</v>
      </c>
      <c r="AA126" s="4">
        <v>0</v>
      </c>
      <c r="AB126" s="4">
        <v>0</v>
      </c>
      <c r="AC126" s="4"/>
      <c r="AD126" s="4">
        <v>0</v>
      </c>
      <c r="AE126" s="4">
        <v>0</v>
      </c>
      <c r="AF126" s="4">
        <v>0</v>
      </c>
      <c r="AG126" s="31">
        <f t="shared" si="27"/>
        <v>0</v>
      </c>
      <c r="AH126">
        <v>124</v>
      </c>
    </row>
    <row r="127" spans="1:34" x14ac:dyDescent="0.25">
      <c r="D127">
        <v>2004</v>
      </c>
      <c r="E127" t="s">
        <v>402</v>
      </c>
      <c r="F127" s="4">
        <v>0</v>
      </c>
      <c r="G127" s="4">
        <v>0</v>
      </c>
      <c r="H127" s="4">
        <v>0</v>
      </c>
      <c r="I127" s="4">
        <v>749769.35</v>
      </c>
      <c r="J127" s="4">
        <v>0</v>
      </c>
      <c r="K127" s="4">
        <v>0</v>
      </c>
      <c r="L127" s="4">
        <v>0</v>
      </c>
      <c r="M127" s="4">
        <v>0</v>
      </c>
      <c r="N127" s="4">
        <v>0</v>
      </c>
      <c r="O127" s="4">
        <v>0</v>
      </c>
      <c r="P127" s="4">
        <v>0</v>
      </c>
      <c r="Q127" s="4"/>
      <c r="R127" s="4">
        <v>0</v>
      </c>
      <c r="S127" s="4">
        <v>0</v>
      </c>
      <c r="T127" s="4">
        <v>0</v>
      </c>
      <c r="U127" s="4"/>
      <c r="V127" s="4">
        <v>0</v>
      </c>
      <c r="W127" s="4">
        <v>0</v>
      </c>
      <c r="X127" s="4">
        <v>0</v>
      </c>
      <c r="Y127" s="4">
        <v>0</v>
      </c>
      <c r="Z127" s="4">
        <v>0</v>
      </c>
      <c r="AA127" s="4">
        <v>0</v>
      </c>
      <c r="AB127" s="4">
        <v>0</v>
      </c>
      <c r="AC127" s="4"/>
      <c r="AD127" s="4">
        <v>0</v>
      </c>
      <c r="AE127" s="4">
        <v>0</v>
      </c>
      <c r="AF127" s="4">
        <v>0</v>
      </c>
      <c r="AG127" s="31">
        <f t="shared" si="27"/>
        <v>749769.35</v>
      </c>
      <c r="AH127">
        <v>125</v>
      </c>
    </row>
    <row r="128" spans="1:34" x14ac:dyDescent="0.25">
      <c r="D128">
        <v>2005</v>
      </c>
      <c r="E128" t="s">
        <v>323</v>
      </c>
      <c r="F128" s="4">
        <v>0</v>
      </c>
      <c r="G128" s="4">
        <v>0</v>
      </c>
      <c r="H128" s="4">
        <v>0</v>
      </c>
      <c r="I128" s="4">
        <v>0</v>
      </c>
      <c r="J128" s="4">
        <v>0</v>
      </c>
      <c r="K128" s="4">
        <v>0</v>
      </c>
      <c r="L128" s="4">
        <v>299653.59000000003</v>
      </c>
      <c r="M128" s="4">
        <v>0</v>
      </c>
      <c r="N128" s="4">
        <v>0</v>
      </c>
      <c r="O128" s="4">
        <v>0</v>
      </c>
      <c r="P128" s="4">
        <v>0</v>
      </c>
      <c r="Q128" s="4"/>
      <c r="R128" s="4">
        <v>0</v>
      </c>
      <c r="S128" s="4">
        <v>0</v>
      </c>
      <c r="T128" s="4">
        <v>0</v>
      </c>
      <c r="U128" s="4"/>
      <c r="V128" s="4">
        <v>0</v>
      </c>
      <c r="W128" s="4">
        <v>0</v>
      </c>
      <c r="X128" s="4">
        <v>0</v>
      </c>
      <c r="Y128" s="4">
        <v>0</v>
      </c>
      <c r="Z128" s="4">
        <v>0</v>
      </c>
      <c r="AA128" s="4">
        <v>0</v>
      </c>
      <c r="AB128" s="4">
        <v>0</v>
      </c>
      <c r="AC128" s="4"/>
      <c r="AD128" s="4">
        <v>0</v>
      </c>
      <c r="AE128" s="4">
        <v>5357.8</v>
      </c>
      <c r="AF128" s="4">
        <v>0</v>
      </c>
      <c r="AG128" s="31">
        <f t="shared" si="27"/>
        <v>305011.39</v>
      </c>
      <c r="AH128">
        <v>126</v>
      </c>
    </row>
    <row r="129" spans="3:34" x14ac:dyDescent="0.25">
      <c r="D129">
        <v>2006</v>
      </c>
      <c r="E129" t="s">
        <v>447</v>
      </c>
      <c r="F129" s="4">
        <v>0</v>
      </c>
      <c r="G129" s="4">
        <v>0</v>
      </c>
      <c r="H129" s="4">
        <v>0</v>
      </c>
      <c r="I129" s="4">
        <v>49260.45</v>
      </c>
      <c r="J129" s="4">
        <v>0</v>
      </c>
      <c r="K129" s="4">
        <v>0</v>
      </c>
      <c r="L129" s="4">
        <v>0</v>
      </c>
      <c r="M129" s="4">
        <v>0</v>
      </c>
      <c r="N129" s="4">
        <v>0</v>
      </c>
      <c r="O129" s="4">
        <v>0</v>
      </c>
      <c r="P129" s="4">
        <v>0</v>
      </c>
      <c r="Q129" s="4"/>
      <c r="R129" s="4">
        <v>0</v>
      </c>
      <c r="S129" s="4">
        <v>0</v>
      </c>
      <c r="T129" s="4">
        <v>0</v>
      </c>
      <c r="U129" s="4"/>
      <c r="V129" s="4">
        <v>0</v>
      </c>
      <c r="W129" s="4">
        <v>0</v>
      </c>
      <c r="X129" s="4">
        <v>0</v>
      </c>
      <c r="Y129" s="4">
        <v>0</v>
      </c>
      <c r="Z129" s="4">
        <v>0</v>
      </c>
      <c r="AA129" s="4">
        <v>0</v>
      </c>
      <c r="AB129" s="4">
        <v>0</v>
      </c>
      <c r="AC129" s="4"/>
      <c r="AD129" s="4">
        <v>0</v>
      </c>
      <c r="AE129" s="4">
        <v>56330.45</v>
      </c>
      <c r="AF129" s="4">
        <v>0</v>
      </c>
      <c r="AG129" s="31">
        <f t="shared" si="27"/>
        <v>105590.9</v>
      </c>
      <c r="AH129">
        <v>127</v>
      </c>
    </row>
    <row r="130" spans="3:34" x14ac:dyDescent="0.25">
      <c r="D130">
        <v>2009</v>
      </c>
      <c r="E130" t="s">
        <v>404</v>
      </c>
      <c r="F130" s="4">
        <v>0</v>
      </c>
      <c r="G130" s="4">
        <v>0</v>
      </c>
      <c r="H130" s="4">
        <v>0</v>
      </c>
      <c r="I130" s="4">
        <v>0</v>
      </c>
      <c r="J130" s="4">
        <v>0</v>
      </c>
      <c r="K130" s="4">
        <v>0</v>
      </c>
      <c r="L130" s="4">
        <v>0</v>
      </c>
      <c r="M130" s="4">
        <v>0</v>
      </c>
      <c r="N130" s="4">
        <v>0</v>
      </c>
      <c r="O130" s="4">
        <v>0</v>
      </c>
      <c r="P130" s="4">
        <v>0</v>
      </c>
      <c r="Q130" s="4"/>
      <c r="R130" s="4">
        <v>0</v>
      </c>
      <c r="S130" s="4">
        <v>0</v>
      </c>
      <c r="T130" s="4">
        <v>0</v>
      </c>
      <c r="U130" s="4"/>
      <c r="V130" s="4">
        <v>0</v>
      </c>
      <c r="W130" s="4">
        <v>0</v>
      </c>
      <c r="X130" s="4">
        <v>0</v>
      </c>
      <c r="Y130" s="4">
        <v>0</v>
      </c>
      <c r="Z130" s="4">
        <v>0</v>
      </c>
      <c r="AA130" s="4">
        <v>0</v>
      </c>
      <c r="AB130" s="4">
        <v>0</v>
      </c>
      <c r="AC130" s="4"/>
      <c r="AD130" s="4">
        <v>0</v>
      </c>
      <c r="AE130" s="4">
        <v>0</v>
      </c>
      <c r="AF130" s="4">
        <v>0</v>
      </c>
      <c r="AG130" s="31">
        <f t="shared" si="27"/>
        <v>0</v>
      </c>
      <c r="AH130">
        <v>128</v>
      </c>
    </row>
    <row r="131" spans="3:34" x14ac:dyDescent="0.25">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31"/>
      <c r="AH131">
        <v>129</v>
      </c>
    </row>
    <row r="132" spans="3:34" x14ac:dyDescent="0.25">
      <c r="C132" s="66">
        <v>201</v>
      </c>
      <c r="D132" s="66"/>
      <c r="E132" s="66" t="s">
        <v>254</v>
      </c>
      <c r="F132" s="67">
        <f>F133+F134+F135+F136+F137+F138+F139+F140</f>
        <v>0</v>
      </c>
      <c r="G132" s="67">
        <f t="shared" ref="G132:AF132" si="30">G133+G134+G135+G136+G137+G138+G139+G140</f>
        <v>0</v>
      </c>
      <c r="H132" s="67">
        <f t="shared" si="30"/>
        <v>0</v>
      </c>
      <c r="I132" s="67">
        <f t="shared" si="30"/>
        <v>0</v>
      </c>
      <c r="J132" s="67">
        <f t="shared" si="30"/>
        <v>0</v>
      </c>
      <c r="K132" s="67">
        <f t="shared" si="30"/>
        <v>317920</v>
      </c>
      <c r="L132" s="67">
        <f t="shared" si="30"/>
        <v>0</v>
      </c>
      <c r="M132" s="67">
        <f t="shared" si="30"/>
        <v>923798.66</v>
      </c>
      <c r="N132" s="67">
        <f t="shared" si="30"/>
        <v>0</v>
      </c>
      <c r="O132" s="67">
        <f t="shared" si="30"/>
        <v>0</v>
      </c>
      <c r="P132" s="67">
        <f t="shared" si="30"/>
        <v>0</v>
      </c>
      <c r="Q132" s="67">
        <f t="shared" si="30"/>
        <v>0</v>
      </c>
      <c r="R132" s="67">
        <f t="shared" si="30"/>
        <v>0</v>
      </c>
      <c r="S132" s="67">
        <f t="shared" si="30"/>
        <v>0</v>
      </c>
      <c r="T132" s="67">
        <f t="shared" si="30"/>
        <v>0</v>
      </c>
      <c r="U132" s="67">
        <f t="shared" si="30"/>
        <v>0</v>
      </c>
      <c r="V132" s="67">
        <f t="shared" si="30"/>
        <v>0</v>
      </c>
      <c r="W132" s="67">
        <f t="shared" si="30"/>
        <v>889527.95</v>
      </c>
      <c r="X132" s="67">
        <f t="shared" si="30"/>
        <v>0</v>
      </c>
      <c r="Y132" s="67">
        <f t="shared" si="30"/>
        <v>105040</v>
      </c>
      <c r="Z132" s="67">
        <f t="shared" si="30"/>
        <v>8113844.4199999999</v>
      </c>
      <c r="AA132" s="67">
        <f t="shared" si="30"/>
        <v>0</v>
      </c>
      <c r="AB132" s="67">
        <f t="shared" si="30"/>
        <v>132500</v>
      </c>
      <c r="AC132" s="67">
        <f t="shared" si="30"/>
        <v>0</v>
      </c>
      <c r="AD132" s="67">
        <f t="shared" si="30"/>
        <v>0</v>
      </c>
      <c r="AE132" s="67">
        <f t="shared" si="30"/>
        <v>450000</v>
      </c>
      <c r="AF132" s="67">
        <f t="shared" si="30"/>
        <v>0</v>
      </c>
      <c r="AG132" s="67">
        <f t="shared" ref="AG132:AG140" si="31">SUM(F132:AF132)</f>
        <v>10932631.030000001</v>
      </c>
      <c r="AH132">
        <v>130</v>
      </c>
    </row>
    <row r="133" spans="3:34" x14ac:dyDescent="0.25">
      <c r="D133">
        <v>2010</v>
      </c>
      <c r="E133" t="s">
        <v>405</v>
      </c>
      <c r="F133" s="4">
        <v>0</v>
      </c>
      <c r="G133" s="4">
        <v>0</v>
      </c>
      <c r="H133" s="4">
        <v>0</v>
      </c>
      <c r="I133" s="4">
        <v>0</v>
      </c>
      <c r="J133" s="4">
        <v>0</v>
      </c>
      <c r="K133" s="4">
        <v>0</v>
      </c>
      <c r="L133" s="4">
        <v>0</v>
      </c>
      <c r="M133" s="4">
        <v>923798.66</v>
      </c>
      <c r="N133" s="4">
        <v>0</v>
      </c>
      <c r="O133" s="4">
        <v>0</v>
      </c>
      <c r="P133" s="4">
        <v>0</v>
      </c>
      <c r="Q133" s="4"/>
      <c r="R133" s="4">
        <v>0</v>
      </c>
      <c r="S133" s="4">
        <v>0</v>
      </c>
      <c r="T133" s="4">
        <v>0</v>
      </c>
      <c r="U133" s="4"/>
      <c r="V133" s="4">
        <v>0</v>
      </c>
      <c r="W133" s="4">
        <v>889527.95</v>
      </c>
      <c r="X133" s="4">
        <v>0</v>
      </c>
      <c r="Y133" s="4">
        <v>0</v>
      </c>
      <c r="Z133" s="4">
        <v>8113844.4199999999</v>
      </c>
      <c r="AA133" s="4">
        <v>0</v>
      </c>
      <c r="AB133" s="4">
        <v>0</v>
      </c>
      <c r="AC133" s="4"/>
      <c r="AD133" s="4">
        <v>0</v>
      </c>
      <c r="AE133" s="4">
        <v>0</v>
      </c>
      <c r="AF133" s="4">
        <v>0</v>
      </c>
      <c r="AG133" s="31">
        <f t="shared" si="31"/>
        <v>9927171.0299999993</v>
      </c>
      <c r="AH133">
        <v>131</v>
      </c>
    </row>
    <row r="134" spans="3:34" x14ac:dyDescent="0.25">
      <c r="D134">
        <v>2011</v>
      </c>
      <c r="E134" t="s">
        <v>406</v>
      </c>
      <c r="F134" s="4">
        <v>0</v>
      </c>
      <c r="G134" s="4">
        <v>0</v>
      </c>
      <c r="H134" s="4">
        <v>0</v>
      </c>
      <c r="I134" s="4">
        <v>0</v>
      </c>
      <c r="J134" s="4">
        <v>0</v>
      </c>
      <c r="K134" s="4">
        <v>0</v>
      </c>
      <c r="L134" s="4">
        <v>0</v>
      </c>
      <c r="M134" s="4">
        <v>0</v>
      </c>
      <c r="N134" s="4">
        <v>0</v>
      </c>
      <c r="O134" s="4">
        <v>0</v>
      </c>
      <c r="P134" s="4">
        <v>0</v>
      </c>
      <c r="Q134" s="4"/>
      <c r="R134" s="4">
        <v>0</v>
      </c>
      <c r="S134" s="4">
        <v>0</v>
      </c>
      <c r="T134" s="4">
        <v>0</v>
      </c>
      <c r="U134" s="4"/>
      <c r="V134" s="4">
        <v>0</v>
      </c>
      <c r="W134" s="4">
        <v>0</v>
      </c>
      <c r="X134" s="4">
        <v>0</v>
      </c>
      <c r="Y134" s="4">
        <v>0</v>
      </c>
      <c r="Z134" s="4">
        <v>0</v>
      </c>
      <c r="AA134" s="4">
        <v>0</v>
      </c>
      <c r="AB134" s="4">
        <v>0</v>
      </c>
      <c r="AC134" s="4"/>
      <c r="AD134" s="4">
        <v>0</v>
      </c>
      <c r="AE134" s="4">
        <v>0</v>
      </c>
      <c r="AF134" s="4">
        <v>0</v>
      </c>
      <c r="AG134" s="31">
        <f t="shared" si="31"/>
        <v>0</v>
      </c>
      <c r="AH134">
        <v>132</v>
      </c>
    </row>
    <row r="135" spans="3:34" x14ac:dyDescent="0.25">
      <c r="D135">
        <v>2012</v>
      </c>
      <c r="E135" t="s">
        <v>407</v>
      </c>
      <c r="F135" s="4">
        <v>0</v>
      </c>
      <c r="G135" s="4">
        <v>0</v>
      </c>
      <c r="H135" s="4">
        <v>0</v>
      </c>
      <c r="I135" s="4">
        <v>0</v>
      </c>
      <c r="J135" s="4">
        <v>0</v>
      </c>
      <c r="K135" s="4">
        <v>0</v>
      </c>
      <c r="L135" s="4">
        <v>0</v>
      </c>
      <c r="M135" s="4">
        <v>0</v>
      </c>
      <c r="N135" s="4">
        <v>0</v>
      </c>
      <c r="O135" s="4">
        <v>0</v>
      </c>
      <c r="P135" s="4">
        <v>0</v>
      </c>
      <c r="Q135" s="4"/>
      <c r="R135" s="4">
        <v>0</v>
      </c>
      <c r="S135" s="4">
        <v>0</v>
      </c>
      <c r="T135" s="4">
        <v>0</v>
      </c>
      <c r="U135" s="4"/>
      <c r="V135" s="4">
        <v>0</v>
      </c>
      <c r="W135" s="4">
        <v>0</v>
      </c>
      <c r="X135" s="4">
        <v>0</v>
      </c>
      <c r="Y135" s="4">
        <v>0</v>
      </c>
      <c r="Z135" s="4">
        <v>0</v>
      </c>
      <c r="AA135" s="4">
        <v>0</v>
      </c>
      <c r="AB135" s="4">
        <v>0</v>
      </c>
      <c r="AC135" s="4"/>
      <c r="AD135" s="4">
        <v>0</v>
      </c>
      <c r="AE135" s="4">
        <v>0</v>
      </c>
      <c r="AF135" s="4">
        <v>0</v>
      </c>
      <c r="AG135" s="31">
        <f t="shared" si="31"/>
        <v>0</v>
      </c>
      <c r="AH135">
        <v>133</v>
      </c>
    </row>
    <row r="136" spans="3:34" x14ac:dyDescent="0.25">
      <c r="D136">
        <v>2013</v>
      </c>
      <c r="E136" t="s">
        <v>408</v>
      </c>
      <c r="F136" s="4">
        <v>0</v>
      </c>
      <c r="G136" s="4">
        <v>0</v>
      </c>
      <c r="H136" s="4">
        <v>0</v>
      </c>
      <c r="I136" s="4">
        <v>0</v>
      </c>
      <c r="J136" s="4">
        <v>0</v>
      </c>
      <c r="K136" s="4">
        <v>0</v>
      </c>
      <c r="L136" s="4">
        <v>0</v>
      </c>
      <c r="M136" s="4">
        <v>0</v>
      </c>
      <c r="N136" s="4">
        <v>0</v>
      </c>
      <c r="O136" s="4">
        <v>0</v>
      </c>
      <c r="P136" s="4">
        <v>0</v>
      </c>
      <c r="Q136" s="4"/>
      <c r="R136" s="4">
        <v>0</v>
      </c>
      <c r="S136" s="4">
        <v>0</v>
      </c>
      <c r="T136" s="4">
        <v>0</v>
      </c>
      <c r="U136" s="4"/>
      <c r="V136" s="4">
        <v>0</v>
      </c>
      <c r="W136" s="4">
        <v>0</v>
      </c>
      <c r="X136" s="4">
        <v>0</v>
      </c>
      <c r="Y136" s="4">
        <v>0</v>
      </c>
      <c r="Z136" s="4">
        <v>0</v>
      </c>
      <c r="AA136" s="4">
        <v>0</v>
      </c>
      <c r="AB136" s="4">
        <v>0</v>
      </c>
      <c r="AC136" s="4"/>
      <c r="AD136" s="4">
        <v>0</v>
      </c>
      <c r="AE136" s="4">
        <v>0</v>
      </c>
      <c r="AF136" s="4">
        <v>0</v>
      </c>
      <c r="AG136" s="31">
        <f t="shared" si="31"/>
        <v>0</v>
      </c>
      <c r="AH136">
        <v>134</v>
      </c>
    </row>
    <row r="137" spans="3:34" x14ac:dyDescent="0.25">
      <c r="D137">
        <v>2014</v>
      </c>
      <c r="E137" t="s">
        <v>410</v>
      </c>
      <c r="F137" s="4">
        <v>0</v>
      </c>
      <c r="G137" s="4">
        <v>0</v>
      </c>
      <c r="H137" s="4">
        <v>0</v>
      </c>
      <c r="I137" s="4">
        <v>0</v>
      </c>
      <c r="J137" s="4">
        <v>0</v>
      </c>
      <c r="K137" s="4">
        <v>317920</v>
      </c>
      <c r="L137" s="4">
        <v>0</v>
      </c>
      <c r="M137" s="4">
        <v>0</v>
      </c>
      <c r="N137" s="4">
        <v>0</v>
      </c>
      <c r="O137" s="4">
        <v>0</v>
      </c>
      <c r="P137" s="4">
        <v>0</v>
      </c>
      <c r="Q137" s="4"/>
      <c r="R137" s="4">
        <v>0</v>
      </c>
      <c r="S137" s="4">
        <v>0</v>
      </c>
      <c r="T137" s="4">
        <v>0</v>
      </c>
      <c r="U137" s="4"/>
      <c r="V137" s="4">
        <v>0</v>
      </c>
      <c r="W137" s="4">
        <v>0</v>
      </c>
      <c r="X137" s="4">
        <v>0</v>
      </c>
      <c r="Y137" s="4">
        <v>105040</v>
      </c>
      <c r="Z137" s="4">
        <v>0</v>
      </c>
      <c r="AA137" s="4">
        <v>0</v>
      </c>
      <c r="AB137" s="4">
        <v>132500</v>
      </c>
      <c r="AC137" s="4"/>
      <c r="AD137" s="4">
        <v>0</v>
      </c>
      <c r="AE137" s="4">
        <v>450000</v>
      </c>
      <c r="AF137" s="4">
        <v>0</v>
      </c>
      <c r="AG137" s="31">
        <f t="shared" si="31"/>
        <v>1005460</v>
      </c>
      <c r="AH137">
        <v>135</v>
      </c>
    </row>
    <row r="138" spans="3:34" x14ac:dyDescent="0.25">
      <c r="D138">
        <v>2015</v>
      </c>
      <c r="E138" t="s">
        <v>409</v>
      </c>
      <c r="F138" s="4">
        <v>0</v>
      </c>
      <c r="G138" s="4">
        <v>0</v>
      </c>
      <c r="H138" s="4">
        <v>0</v>
      </c>
      <c r="I138" s="4">
        <v>0</v>
      </c>
      <c r="J138" s="4">
        <v>0</v>
      </c>
      <c r="K138" s="4">
        <v>0</v>
      </c>
      <c r="L138" s="4">
        <v>0</v>
      </c>
      <c r="M138" s="4">
        <v>0</v>
      </c>
      <c r="N138" s="4">
        <v>0</v>
      </c>
      <c r="O138" s="4">
        <v>0</v>
      </c>
      <c r="P138" s="4">
        <v>0</v>
      </c>
      <c r="Q138" s="4"/>
      <c r="R138" s="4">
        <v>0</v>
      </c>
      <c r="S138" s="4">
        <v>0</v>
      </c>
      <c r="T138" s="4">
        <v>0</v>
      </c>
      <c r="U138" s="4"/>
      <c r="V138" s="4">
        <v>0</v>
      </c>
      <c r="W138" s="4">
        <v>0</v>
      </c>
      <c r="X138" s="4">
        <v>0</v>
      </c>
      <c r="Y138" s="4">
        <v>0</v>
      </c>
      <c r="Z138" s="4">
        <v>0</v>
      </c>
      <c r="AA138" s="4">
        <v>0</v>
      </c>
      <c r="AB138" s="4">
        <v>0</v>
      </c>
      <c r="AC138" s="4"/>
      <c r="AD138" s="4">
        <v>0</v>
      </c>
      <c r="AE138" s="4">
        <v>0</v>
      </c>
      <c r="AF138" s="4">
        <v>0</v>
      </c>
      <c r="AG138" s="31">
        <f t="shared" si="31"/>
        <v>0</v>
      </c>
      <c r="AH138">
        <v>136</v>
      </c>
    </row>
    <row r="139" spans="3:34" x14ac:dyDescent="0.25">
      <c r="D139">
        <v>2016</v>
      </c>
      <c r="E139" t="s">
        <v>269</v>
      </c>
      <c r="F139" s="4">
        <v>0</v>
      </c>
      <c r="G139" s="4">
        <v>0</v>
      </c>
      <c r="H139" s="4">
        <v>0</v>
      </c>
      <c r="I139" s="4">
        <v>0</v>
      </c>
      <c r="J139" s="4">
        <v>0</v>
      </c>
      <c r="K139" s="4">
        <v>0</v>
      </c>
      <c r="L139" s="4">
        <v>0</v>
      </c>
      <c r="M139" s="4">
        <v>0</v>
      </c>
      <c r="N139" s="4">
        <v>0</v>
      </c>
      <c r="O139" s="4">
        <v>0</v>
      </c>
      <c r="P139" s="4">
        <v>0</v>
      </c>
      <c r="Q139" s="4"/>
      <c r="R139" s="4">
        <v>0</v>
      </c>
      <c r="S139" s="4">
        <v>0</v>
      </c>
      <c r="T139" s="4">
        <v>0</v>
      </c>
      <c r="U139" s="4"/>
      <c r="V139" s="4">
        <v>0</v>
      </c>
      <c r="W139" s="4">
        <v>0</v>
      </c>
      <c r="X139" s="4">
        <v>0</v>
      </c>
      <c r="Y139" s="4">
        <v>0</v>
      </c>
      <c r="Z139" s="4">
        <v>0</v>
      </c>
      <c r="AA139" s="4">
        <v>0</v>
      </c>
      <c r="AB139" s="4">
        <v>0</v>
      </c>
      <c r="AC139" s="4"/>
      <c r="AD139" s="4">
        <v>0</v>
      </c>
      <c r="AE139" s="4">
        <v>0</v>
      </c>
      <c r="AF139" s="4">
        <v>0</v>
      </c>
      <c r="AG139" s="31">
        <f t="shared" si="31"/>
        <v>0</v>
      </c>
      <c r="AH139">
        <v>137</v>
      </c>
    </row>
    <row r="140" spans="3:34" x14ac:dyDescent="0.25">
      <c r="D140">
        <v>2019</v>
      </c>
      <c r="E140" t="s">
        <v>411</v>
      </c>
      <c r="F140" s="4">
        <v>0</v>
      </c>
      <c r="G140" s="4">
        <v>0</v>
      </c>
      <c r="H140" s="4">
        <v>0</v>
      </c>
      <c r="I140" s="4">
        <v>0</v>
      </c>
      <c r="J140" s="4">
        <v>0</v>
      </c>
      <c r="K140" s="4">
        <v>0</v>
      </c>
      <c r="L140" s="4">
        <v>0</v>
      </c>
      <c r="M140" s="4">
        <v>0</v>
      </c>
      <c r="N140" s="4">
        <v>0</v>
      </c>
      <c r="O140" s="4">
        <v>0</v>
      </c>
      <c r="P140" s="4">
        <v>0</v>
      </c>
      <c r="Q140" s="4"/>
      <c r="R140" s="4">
        <v>0</v>
      </c>
      <c r="S140" s="4">
        <v>0</v>
      </c>
      <c r="T140" s="4">
        <v>0</v>
      </c>
      <c r="U140" s="4"/>
      <c r="V140" s="4">
        <v>0</v>
      </c>
      <c r="W140" s="4">
        <v>0</v>
      </c>
      <c r="X140" s="4">
        <v>0</v>
      </c>
      <c r="Y140" s="4">
        <v>0</v>
      </c>
      <c r="Z140" s="4">
        <v>0</v>
      </c>
      <c r="AA140" s="4">
        <v>0</v>
      </c>
      <c r="AB140" s="4">
        <v>0</v>
      </c>
      <c r="AC140" s="4"/>
      <c r="AD140" s="4">
        <v>0</v>
      </c>
      <c r="AE140" s="4">
        <v>0</v>
      </c>
      <c r="AF140" s="4">
        <v>0</v>
      </c>
      <c r="AG140" s="31">
        <f t="shared" si="31"/>
        <v>0</v>
      </c>
      <c r="AH140">
        <v>138</v>
      </c>
    </row>
    <row r="141" spans="3:34" x14ac:dyDescent="0.25">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31"/>
      <c r="AH141">
        <v>139</v>
      </c>
    </row>
    <row r="142" spans="3:34" x14ac:dyDescent="0.25">
      <c r="C142" s="66">
        <v>204</v>
      </c>
      <c r="D142" s="66"/>
      <c r="E142" s="66" t="s">
        <v>255</v>
      </c>
      <c r="F142" s="67">
        <f>F143+F144+F145+F146+F147+F148+F149+F150</f>
        <v>75076.850000000006</v>
      </c>
      <c r="G142" s="67">
        <f t="shared" ref="G142:AF142" si="32">G143+G144+G145+G146+G147+G148+G149+G150</f>
        <v>97582.07</v>
      </c>
      <c r="H142" s="67">
        <f t="shared" si="32"/>
        <v>3655.6</v>
      </c>
      <c r="I142" s="67">
        <f t="shared" si="32"/>
        <v>0</v>
      </c>
      <c r="J142" s="67">
        <f t="shared" si="32"/>
        <v>0</v>
      </c>
      <c r="K142" s="67">
        <f t="shared" si="32"/>
        <v>27277.200000000001</v>
      </c>
      <c r="L142" s="67">
        <f t="shared" si="32"/>
        <v>15619</v>
      </c>
      <c r="M142" s="67">
        <f t="shared" si="32"/>
        <v>0</v>
      </c>
      <c r="N142" s="67">
        <f t="shared" si="32"/>
        <v>71243.350000000006</v>
      </c>
      <c r="O142" s="67">
        <f t="shared" si="32"/>
        <v>21949.600000000002</v>
      </c>
      <c r="P142" s="67">
        <f t="shared" si="32"/>
        <v>3435.3</v>
      </c>
      <c r="Q142" s="67">
        <f t="shared" si="32"/>
        <v>0</v>
      </c>
      <c r="R142" s="67">
        <f t="shared" si="32"/>
        <v>4066.6</v>
      </c>
      <c r="S142" s="67">
        <f t="shared" si="32"/>
        <v>-527.45000000000005</v>
      </c>
      <c r="T142" s="67">
        <f t="shared" si="32"/>
        <v>0</v>
      </c>
      <c r="U142" s="67">
        <f t="shared" si="32"/>
        <v>0</v>
      </c>
      <c r="V142" s="67">
        <f t="shared" si="32"/>
        <v>800</v>
      </c>
      <c r="W142" s="67">
        <f t="shared" si="32"/>
        <v>0</v>
      </c>
      <c r="X142" s="67">
        <f t="shared" si="32"/>
        <v>0</v>
      </c>
      <c r="Y142" s="67">
        <f t="shared" si="32"/>
        <v>23473.23</v>
      </c>
      <c r="Z142" s="67">
        <f t="shared" si="32"/>
        <v>164239.54999999999</v>
      </c>
      <c r="AA142" s="67">
        <f t="shared" si="32"/>
        <v>13624.8</v>
      </c>
      <c r="AB142" s="67">
        <f t="shared" si="32"/>
        <v>30796.05</v>
      </c>
      <c r="AC142" s="67">
        <f t="shared" si="32"/>
        <v>0</v>
      </c>
      <c r="AD142" s="67">
        <f t="shared" si="32"/>
        <v>475.9</v>
      </c>
      <c r="AE142" s="67">
        <f t="shared" si="32"/>
        <v>2639</v>
      </c>
      <c r="AF142" s="67">
        <f t="shared" si="32"/>
        <v>289792.8</v>
      </c>
      <c r="AG142" s="67">
        <f t="shared" ref="AG142:AG150" si="33">SUM(F142:AF142)</f>
        <v>845219.45</v>
      </c>
      <c r="AH142">
        <v>140</v>
      </c>
    </row>
    <row r="143" spans="3:34" x14ac:dyDescent="0.25">
      <c r="D143">
        <v>2040</v>
      </c>
      <c r="E143" t="s">
        <v>61</v>
      </c>
      <c r="F143" s="4">
        <v>0</v>
      </c>
      <c r="G143" s="4">
        <v>0</v>
      </c>
      <c r="H143" s="4">
        <v>0</v>
      </c>
      <c r="I143" s="4">
        <v>0</v>
      </c>
      <c r="J143" s="4">
        <v>0</v>
      </c>
      <c r="K143" s="4">
        <v>4724.7</v>
      </c>
      <c r="L143" s="4">
        <v>0</v>
      </c>
      <c r="M143" s="4">
        <v>0</v>
      </c>
      <c r="N143" s="4">
        <v>0</v>
      </c>
      <c r="O143" s="4">
        <v>3437.65</v>
      </c>
      <c r="P143" s="4">
        <v>0</v>
      </c>
      <c r="Q143" s="4"/>
      <c r="R143" s="4">
        <v>0</v>
      </c>
      <c r="S143" s="4">
        <v>-527.45000000000005</v>
      </c>
      <c r="T143" s="4">
        <v>0</v>
      </c>
      <c r="U143" s="4"/>
      <c r="V143" s="4">
        <v>0</v>
      </c>
      <c r="W143" s="4">
        <v>0</v>
      </c>
      <c r="X143" s="4">
        <v>0</v>
      </c>
      <c r="Y143" s="4">
        <v>0</v>
      </c>
      <c r="Z143" s="4">
        <v>0</v>
      </c>
      <c r="AA143" s="4">
        <v>0</v>
      </c>
      <c r="AB143" s="4">
        <v>2000</v>
      </c>
      <c r="AC143" s="4"/>
      <c r="AD143" s="4">
        <v>0</v>
      </c>
      <c r="AE143" s="4">
        <v>0</v>
      </c>
      <c r="AF143" s="4">
        <v>0</v>
      </c>
      <c r="AG143" s="31">
        <f t="shared" si="33"/>
        <v>9634.9000000000015</v>
      </c>
      <c r="AH143">
        <v>141</v>
      </c>
    </row>
    <row r="144" spans="3:34" x14ac:dyDescent="0.25">
      <c r="D144">
        <v>2041</v>
      </c>
      <c r="E144" t="s">
        <v>277</v>
      </c>
      <c r="F144" s="4">
        <v>38025.199999999997</v>
      </c>
      <c r="G144" s="4">
        <v>97582.07</v>
      </c>
      <c r="H144" s="4">
        <v>3655.6</v>
      </c>
      <c r="I144" s="4">
        <v>0</v>
      </c>
      <c r="J144" s="4">
        <v>0</v>
      </c>
      <c r="K144" s="4">
        <v>18749.95</v>
      </c>
      <c r="L144" s="4">
        <v>15619</v>
      </c>
      <c r="M144" s="4">
        <v>0</v>
      </c>
      <c r="N144" s="4">
        <v>60174.25</v>
      </c>
      <c r="O144" s="4">
        <v>18511.95</v>
      </c>
      <c r="P144" s="4">
        <v>0</v>
      </c>
      <c r="Q144" s="4"/>
      <c r="R144" s="4">
        <v>4066.6</v>
      </c>
      <c r="S144" s="4">
        <v>0</v>
      </c>
      <c r="T144" s="4">
        <v>0</v>
      </c>
      <c r="U144" s="4"/>
      <c r="V144" s="4">
        <v>0</v>
      </c>
      <c r="W144" s="4">
        <v>0</v>
      </c>
      <c r="X144" s="4">
        <v>0</v>
      </c>
      <c r="Y144" s="4">
        <v>23473.23</v>
      </c>
      <c r="Z144" s="4">
        <v>72721.25</v>
      </c>
      <c r="AA144" s="4">
        <v>13624.8</v>
      </c>
      <c r="AB144" s="4">
        <v>28796.05</v>
      </c>
      <c r="AC144" s="4"/>
      <c r="AD144" s="4">
        <v>475.9</v>
      </c>
      <c r="AE144" s="4">
        <v>2639</v>
      </c>
      <c r="AF144" s="4">
        <v>289792.8</v>
      </c>
      <c r="AG144" s="31">
        <f t="shared" si="33"/>
        <v>687907.65</v>
      </c>
      <c r="AH144">
        <v>142</v>
      </c>
    </row>
    <row r="145" spans="3:34" x14ac:dyDescent="0.25">
      <c r="D145">
        <v>2042</v>
      </c>
      <c r="E145" t="s">
        <v>331</v>
      </c>
      <c r="F145" s="4">
        <v>0</v>
      </c>
      <c r="G145" s="4">
        <v>0</v>
      </c>
      <c r="H145" s="4">
        <v>0</v>
      </c>
      <c r="I145" s="4">
        <v>0</v>
      </c>
      <c r="J145" s="4">
        <v>0</v>
      </c>
      <c r="K145" s="4">
        <v>0</v>
      </c>
      <c r="L145" s="4">
        <v>0</v>
      </c>
      <c r="M145" s="4">
        <v>0</v>
      </c>
      <c r="N145" s="4">
        <v>0</v>
      </c>
      <c r="O145" s="4">
        <v>0</v>
      </c>
      <c r="P145" s="4">
        <v>0</v>
      </c>
      <c r="Q145" s="4"/>
      <c r="R145" s="4">
        <v>0</v>
      </c>
      <c r="S145" s="4">
        <v>0</v>
      </c>
      <c r="T145" s="4">
        <v>0</v>
      </c>
      <c r="U145" s="4"/>
      <c r="V145" s="4">
        <v>0</v>
      </c>
      <c r="W145" s="4">
        <v>0</v>
      </c>
      <c r="X145" s="4">
        <v>0</v>
      </c>
      <c r="Y145" s="4">
        <v>0</v>
      </c>
      <c r="Z145" s="4">
        <v>0</v>
      </c>
      <c r="AA145" s="4">
        <v>0</v>
      </c>
      <c r="AB145" s="4">
        <v>0</v>
      </c>
      <c r="AC145" s="4"/>
      <c r="AD145" s="4">
        <v>0</v>
      </c>
      <c r="AE145" s="4">
        <v>0</v>
      </c>
      <c r="AF145" s="4">
        <v>0</v>
      </c>
      <c r="AG145" s="31">
        <f t="shared" si="33"/>
        <v>0</v>
      </c>
      <c r="AH145">
        <v>143</v>
      </c>
    </row>
    <row r="146" spans="3:34" x14ac:dyDescent="0.25">
      <c r="D146">
        <v>2043</v>
      </c>
      <c r="E146" t="s">
        <v>332</v>
      </c>
      <c r="F146" s="4">
        <v>0</v>
      </c>
      <c r="G146" s="4">
        <v>0</v>
      </c>
      <c r="H146" s="4">
        <v>0</v>
      </c>
      <c r="I146" s="4">
        <v>0</v>
      </c>
      <c r="J146" s="4">
        <v>0</v>
      </c>
      <c r="K146" s="4">
        <v>0</v>
      </c>
      <c r="L146" s="4">
        <v>0</v>
      </c>
      <c r="M146" s="4">
        <v>0</v>
      </c>
      <c r="N146" s="4">
        <v>0</v>
      </c>
      <c r="O146" s="4">
        <v>0</v>
      </c>
      <c r="P146" s="4">
        <v>0</v>
      </c>
      <c r="Q146" s="4"/>
      <c r="R146" s="4">
        <v>0</v>
      </c>
      <c r="S146" s="4">
        <v>0</v>
      </c>
      <c r="T146" s="4">
        <v>0</v>
      </c>
      <c r="U146" s="4"/>
      <c r="V146" s="4">
        <v>0</v>
      </c>
      <c r="W146" s="4">
        <v>0</v>
      </c>
      <c r="X146" s="4">
        <v>0</v>
      </c>
      <c r="Y146" s="4">
        <v>0</v>
      </c>
      <c r="Z146" s="4">
        <v>91518.3</v>
      </c>
      <c r="AA146" s="4">
        <v>0</v>
      </c>
      <c r="AB146" s="4">
        <v>0</v>
      </c>
      <c r="AC146" s="4"/>
      <c r="AD146" s="4">
        <v>0</v>
      </c>
      <c r="AE146" s="4">
        <v>0</v>
      </c>
      <c r="AF146" s="4">
        <v>0</v>
      </c>
      <c r="AG146" s="31">
        <f t="shared" si="33"/>
        <v>91518.3</v>
      </c>
      <c r="AH146">
        <v>144</v>
      </c>
    </row>
    <row r="147" spans="3:34" x14ac:dyDescent="0.25">
      <c r="D147">
        <v>2044</v>
      </c>
      <c r="E147" t="s">
        <v>412</v>
      </c>
      <c r="F147" s="4">
        <v>37051.65</v>
      </c>
      <c r="G147" s="4">
        <v>0</v>
      </c>
      <c r="H147" s="4">
        <v>0</v>
      </c>
      <c r="I147" s="4">
        <v>0</v>
      </c>
      <c r="J147" s="4">
        <v>0</v>
      </c>
      <c r="K147" s="4">
        <v>3802.55</v>
      </c>
      <c r="L147" s="4">
        <v>0</v>
      </c>
      <c r="M147" s="4">
        <v>0</v>
      </c>
      <c r="N147" s="4">
        <v>11069.1</v>
      </c>
      <c r="O147" s="4">
        <v>0</v>
      </c>
      <c r="P147" s="4">
        <v>0</v>
      </c>
      <c r="Q147" s="4"/>
      <c r="R147" s="4">
        <v>0</v>
      </c>
      <c r="S147" s="4">
        <v>0</v>
      </c>
      <c r="T147" s="4">
        <v>0</v>
      </c>
      <c r="U147" s="4"/>
      <c r="V147" s="4">
        <v>0</v>
      </c>
      <c r="W147" s="4">
        <v>0</v>
      </c>
      <c r="X147" s="4">
        <v>0</v>
      </c>
      <c r="Y147" s="4">
        <v>0</v>
      </c>
      <c r="Z147" s="4">
        <v>0</v>
      </c>
      <c r="AA147" s="4">
        <v>0</v>
      </c>
      <c r="AB147" s="4">
        <v>0</v>
      </c>
      <c r="AC147" s="4"/>
      <c r="AD147" s="4">
        <v>0</v>
      </c>
      <c r="AE147" s="4">
        <v>0</v>
      </c>
      <c r="AF147" s="4">
        <v>0</v>
      </c>
      <c r="AG147" s="31">
        <f t="shared" si="33"/>
        <v>51923.3</v>
      </c>
      <c r="AH147">
        <v>145</v>
      </c>
    </row>
    <row r="148" spans="3:34" x14ac:dyDescent="0.25">
      <c r="D148">
        <v>2045</v>
      </c>
      <c r="E148" t="s">
        <v>334</v>
      </c>
      <c r="F148" s="4">
        <v>0</v>
      </c>
      <c r="G148" s="4">
        <v>0</v>
      </c>
      <c r="H148" s="4">
        <v>0</v>
      </c>
      <c r="I148" s="4">
        <v>0</v>
      </c>
      <c r="J148" s="4">
        <v>0</v>
      </c>
      <c r="K148" s="4">
        <v>0</v>
      </c>
      <c r="L148" s="4">
        <v>0</v>
      </c>
      <c r="M148" s="4">
        <v>0</v>
      </c>
      <c r="N148" s="4">
        <v>0</v>
      </c>
      <c r="O148" s="4">
        <v>0</v>
      </c>
      <c r="P148" s="4">
        <v>3435.3</v>
      </c>
      <c r="Q148" s="4"/>
      <c r="R148" s="4">
        <v>0</v>
      </c>
      <c r="S148" s="4">
        <v>0</v>
      </c>
      <c r="T148" s="4">
        <v>0</v>
      </c>
      <c r="U148" s="4"/>
      <c r="V148" s="4">
        <v>0</v>
      </c>
      <c r="W148" s="4">
        <v>0</v>
      </c>
      <c r="X148" s="4">
        <v>0</v>
      </c>
      <c r="Y148" s="4">
        <v>0</v>
      </c>
      <c r="Z148" s="4">
        <v>0</v>
      </c>
      <c r="AA148" s="4">
        <v>0</v>
      </c>
      <c r="AB148" s="4">
        <v>0</v>
      </c>
      <c r="AC148" s="4"/>
      <c r="AD148" s="4">
        <v>0</v>
      </c>
      <c r="AE148" s="4">
        <v>0</v>
      </c>
      <c r="AF148" s="4">
        <v>0</v>
      </c>
      <c r="AG148" s="31">
        <f t="shared" si="33"/>
        <v>3435.3</v>
      </c>
      <c r="AH148">
        <v>146</v>
      </c>
    </row>
    <row r="149" spans="3:34" x14ac:dyDescent="0.25">
      <c r="D149">
        <v>2046</v>
      </c>
      <c r="E149" t="s">
        <v>413</v>
      </c>
      <c r="F149" s="4">
        <v>0</v>
      </c>
      <c r="G149" s="4">
        <v>0</v>
      </c>
      <c r="H149" s="4">
        <v>0</v>
      </c>
      <c r="I149" s="4">
        <v>0</v>
      </c>
      <c r="J149" s="4">
        <v>0</v>
      </c>
      <c r="K149" s="4">
        <v>0</v>
      </c>
      <c r="L149" s="4">
        <v>0</v>
      </c>
      <c r="M149" s="4">
        <v>0</v>
      </c>
      <c r="N149" s="4">
        <v>0</v>
      </c>
      <c r="O149" s="4">
        <v>0</v>
      </c>
      <c r="P149" s="4">
        <v>0</v>
      </c>
      <c r="Q149" s="4"/>
      <c r="R149" s="4">
        <v>0</v>
      </c>
      <c r="S149" s="4">
        <v>0</v>
      </c>
      <c r="T149" s="4">
        <v>0</v>
      </c>
      <c r="U149" s="4"/>
      <c r="V149" s="4">
        <v>0</v>
      </c>
      <c r="W149" s="4">
        <v>0</v>
      </c>
      <c r="X149" s="4">
        <v>0</v>
      </c>
      <c r="Y149" s="4">
        <v>0</v>
      </c>
      <c r="Z149" s="4">
        <v>0</v>
      </c>
      <c r="AA149" s="4">
        <v>0</v>
      </c>
      <c r="AB149" s="4">
        <v>0</v>
      </c>
      <c r="AC149" s="4"/>
      <c r="AD149" s="4">
        <v>0</v>
      </c>
      <c r="AE149" s="4">
        <v>0</v>
      </c>
      <c r="AF149" s="4">
        <v>0</v>
      </c>
      <c r="AG149" s="31">
        <f t="shared" si="33"/>
        <v>0</v>
      </c>
      <c r="AH149">
        <v>147</v>
      </c>
    </row>
    <row r="150" spans="3:34" x14ac:dyDescent="0.25">
      <c r="D150">
        <v>2049</v>
      </c>
      <c r="E150" t="s">
        <v>414</v>
      </c>
      <c r="F150" s="4">
        <v>0</v>
      </c>
      <c r="G150" s="4">
        <v>0</v>
      </c>
      <c r="H150" s="4">
        <v>0</v>
      </c>
      <c r="I150" s="4">
        <v>0</v>
      </c>
      <c r="J150" s="4">
        <v>0</v>
      </c>
      <c r="K150" s="4">
        <v>0</v>
      </c>
      <c r="L150" s="4">
        <v>0</v>
      </c>
      <c r="M150" s="4">
        <v>0</v>
      </c>
      <c r="N150" s="4">
        <v>0</v>
      </c>
      <c r="O150" s="4">
        <v>0</v>
      </c>
      <c r="P150" s="4">
        <v>0</v>
      </c>
      <c r="Q150" s="4"/>
      <c r="R150" s="4">
        <v>0</v>
      </c>
      <c r="S150" s="4">
        <v>0</v>
      </c>
      <c r="T150" s="4">
        <v>0</v>
      </c>
      <c r="U150" s="4"/>
      <c r="V150" s="4">
        <v>800</v>
      </c>
      <c r="W150" s="4">
        <v>0</v>
      </c>
      <c r="X150" s="4">
        <v>0</v>
      </c>
      <c r="Y150" s="4">
        <v>0</v>
      </c>
      <c r="Z150" s="4">
        <v>0</v>
      </c>
      <c r="AA150" s="4">
        <v>0</v>
      </c>
      <c r="AB150" s="4">
        <v>0</v>
      </c>
      <c r="AC150" s="4"/>
      <c r="AD150" s="4">
        <v>0</v>
      </c>
      <c r="AE150" s="4">
        <v>0</v>
      </c>
      <c r="AF150" s="4">
        <v>0</v>
      </c>
      <c r="AG150" s="31">
        <f t="shared" si="33"/>
        <v>800</v>
      </c>
      <c r="AH150">
        <v>148</v>
      </c>
    </row>
    <row r="151" spans="3:34" x14ac:dyDescent="0.25">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31"/>
      <c r="AH151">
        <v>149</v>
      </c>
    </row>
    <row r="152" spans="3:34" x14ac:dyDescent="0.25">
      <c r="C152" s="66">
        <v>205</v>
      </c>
      <c r="D152" s="66"/>
      <c r="E152" s="66" t="s">
        <v>256</v>
      </c>
      <c r="F152" s="67">
        <f>F153+F154+F155+F156+F157+F158+F159+F160+F161+F162</f>
        <v>0</v>
      </c>
      <c r="G152" s="67">
        <f t="shared" ref="G152:AF152" si="34">G153+G154+G155+G156+G157+G158+G159+G160+G161+G162</f>
        <v>0</v>
      </c>
      <c r="H152" s="67">
        <f t="shared" si="34"/>
        <v>0</v>
      </c>
      <c r="I152" s="67">
        <f t="shared" si="34"/>
        <v>0</v>
      </c>
      <c r="J152" s="67">
        <f t="shared" si="34"/>
        <v>0</v>
      </c>
      <c r="K152" s="67">
        <f t="shared" si="34"/>
        <v>0</v>
      </c>
      <c r="L152" s="67">
        <f t="shared" si="34"/>
        <v>0</v>
      </c>
      <c r="M152" s="67">
        <f t="shared" si="34"/>
        <v>0</v>
      </c>
      <c r="N152" s="67">
        <f t="shared" si="34"/>
        <v>0</v>
      </c>
      <c r="O152" s="67">
        <f t="shared" si="34"/>
        <v>0</v>
      </c>
      <c r="P152" s="67">
        <f t="shared" si="34"/>
        <v>0</v>
      </c>
      <c r="Q152" s="67">
        <f t="shared" si="34"/>
        <v>0</v>
      </c>
      <c r="R152" s="67">
        <f t="shared" si="34"/>
        <v>0</v>
      </c>
      <c r="S152" s="67">
        <f t="shared" si="34"/>
        <v>0</v>
      </c>
      <c r="T152" s="67">
        <f t="shared" si="34"/>
        <v>0</v>
      </c>
      <c r="U152" s="67">
        <f t="shared" si="34"/>
        <v>0</v>
      </c>
      <c r="V152" s="67">
        <f t="shared" si="34"/>
        <v>0</v>
      </c>
      <c r="W152" s="67">
        <f t="shared" si="34"/>
        <v>0</v>
      </c>
      <c r="X152" s="67">
        <f t="shared" si="34"/>
        <v>0</v>
      </c>
      <c r="Y152" s="67">
        <f t="shared" si="34"/>
        <v>0</v>
      </c>
      <c r="Z152" s="67">
        <f t="shared" si="34"/>
        <v>78041.2</v>
      </c>
      <c r="AA152" s="67">
        <f t="shared" si="34"/>
        <v>0</v>
      </c>
      <c r="AB152" s="67">
        <f t="shared" si="34"/>
        <v>0</v>
      </c>
      <c r="AC152" s="67">
        <f t="shared" si="34"/>
        <v>0</v>
      </c>
      <c r="AD152" s="67">
        <f t="shared" si="34"/>
        <v>0</v>
      </c>
      <c r="AE152" s="67">
        <f t="shared" si="34"/>
        <v>0</v>
      </c>
      <c r="AF152" s="67">
        <f t="shared" si="34"/>
        <v>0</v>
      </c>
      <c r="AG152" s="67">
        <f t="shared" ref="AG152:AG162" si="35">SUM(F152:AF152)</f>
        <v>78041.2</v>
      </c>
      <c r="AH152">
        <v>150</v>
      </c>
    </row>
    <row r="153" spans="3:34" x14ac:dyDescent="0.25">
      <c r="D153">
        <v>2050</v>
      </c>
      <c r="E153" t="s">
        <v>415</v>
      </c>
      <c r="F153" s="4">
        <v>0</v>
      </c>
      <c r="G153" s="4">
        <v>0</v>
      </c>
      <c r="H153" s="4">
        <v>0</v>
      </c>
      <c r="I153" s="4">
        <v>0</v>
      </c>
      <c r="J153" s="4">
        <v>0</v>
      </c>
      <c r="K153" s="4">
        <v>0</v>
      </c>
      <c r="L153" s="4">
        <v>0</v>
      </c>
      <c r="M153" s="4">
        <v>0</v>
      </c>
      <c r="N153" s="4">
        <v>0</v>
      </c>
      <c r="O153" s="4">
        <v>0</v>
      </c>
      <c r="P153" s="4">
        <v>0</v>
      </c>
      <c r="Q153" s="4"/>
      <c r="R153" s="4">
        <v>0</v>
      </c>
      <c r="S153" s="4">
        <v>0</v>
      </c>
      <c r="T153" s="4">
        <v>0</v>
      </c>
      <c r="U153" s="4"/>
      <c r="V153" s="4">
        <v>0</v>
      </c>
      <c r="W153" s="4">
        <v>0</v>
      </c>
      <c r="X153" s="4">
        <v>0</v>
      </c>
      <c r="Y153" s="4">
        <v>0</v>
      </c>
      <c r="Z153" s="4">
        <v>78041.2</v>
      </c>
      <c r="AA153" s="4">
        <v>0</v>
      </c>
      <c r="AB153" s="4">
        <v>0</v>
      </c>
      <c r="AC153" s="4"/>
      <c r="AD153" s="4">
        <v>0</v>
      </c>
      <c r="AE153" s="4">
        <v>0</v>
      </c>
      <c r="AF153" s="4">
        <v>0</v>
      </c>
      <c r="AG153" s="31">
        <f t="shared" si="35"/>
        <v>78041.2</v>
      </c>
      <c r="AH153">
        <v>151</v>
      </c>
    </row>
    <row r="154" spans="3:34" x14ac:dyDescent="0.25">
      <c r="D154">
        <v>2051</v>
      </c>
      <c r="E154" t="s">
        <v>416</v>
      </c>
      <c r="F154" s="4">
        <v>0</v>
      </c>
      <c r="G154" s="4">
        <v>0</v>
      </c>
      <c r="H154" s="4">
        <v>0</v>
      </c>
      <c r="I154" s="4">
        <v>0</v>
      </c>
      <c r="J154" s="4">
        <v>0</v>
      </c>
      <c r="K154" s="4">
        <v>0</v>
      </c>
      <c r="L154" s="4">
        <v>0</v>
      </c>
      <c r="M154" s="4">
        <v>0</v>
      </c>
      <c r="N154" s="4">
        <v>0</v>
      </c>
      <c r="O154" s="4">
        <v>0</v>
      </c>
      <c r="P154" s="4">
        <v>0</v>
      </c>
      <c r="Q154" s="4"/>
      <c r="R154" s="4">
        <v>0</v>
      </c>
      <c r="S154" s="4">
        <v>0</v>
      </c>
      <c r="T154" s="4">
        <v>0</v>
      </c>
      <c r="U154" s="4"/>
      <c r="V154" s="4">
        <v>0</v>
      </c>
      <c r="W154" s="4">
        <v>0</v>
      </c>
      <c r="X154" s="4">
        <v>0</v>
      </c>
      <c r="Y154" s="4">
        <v>0</v>
      </c>
      <c r="Z154" s="4">
        <v>0</v>
      </c>
      <c r="AA154" s="4">
        <v>0</v>
      </c>
      <c r="AB154" s="4">
        <v>0</v>
      </c>
      <c r="AC154" s="4"/>
      <c r="AD154" s="4">
        <v>0</v>
      </c>
      <c r="AE154" s="4">
        <v>0</v>
      </c>
      <c r="AF154" s="4">
        <v>0</v>
      </c>
      <c r="AG154" s="31">
        <f t="shared" si="35"/>
        <v>0</v>
      </c>
      <c r="AH154">
        <v>152</v>
      </c>
    </row>
    <row r="155" spans="3:34" x14ac:dyDescent="0.25">
      <c r="D155">
        <v>2052</v>
      </c>
      <c r="E155" t="s">
        <v>417</v>
      </c>
      <c r="F155" s="4">
        <v>0</v>
      </c>
      <c r="G155" s="4">
        <v>0</v>
      </c>
      <c r="H155" s="4">
        <v>0</v>
      </c>
      <c r="I155" s="4">
        <v>0</v>
      </c>
      <c r="J155" s="4">
        <v>0</v>
      </c>
      <c r="K155" s="4">
        <v>0</v>
      </c>
      <c r="L155" s="4">
        <v>0</v>
      </c>
      <c r="M155" s="4">
        <v>0</v>
      </c>
      <c r="N155" s="4">
        <v>0</v>
      </c>
      <c r="O155" s="4">
        <v>0</v>
      </c>
      <c r="P155" s="4">
        <v>0</v>
      </c>
      <c r="Q155" s="4"/>
      <c r="R155" s="4">
        <v>0</v>
      </c>
      <c r="S155" s="4">
        <v>0</v>
      </c>
      <c r="T155" s="4">
        <v>0</v>
      </c>
      <c r="U155" s="4"/>
      <c r="V155" s="4">
        <v>0</v>
      </c>
      <c r="W155" s="4">
        <v>0</v>
      </c>
      <c r="X155" s="4">
        <v>0</v>
      </c>
      <c r="Y155" s="4">
        <v>0</v>
      </c>
      <c r="Z155" s="4">
        <v>0</v>
      </c>
      <c r="AA155" s="4">
        <v>0</v>
      </c>
      <c r="AB155" s="4">
        <v>0</v>
      </c>
      <c r="AC155" s="4"/>
      <c r="AD155" s="4">
        <v>0</v>
      </c>
      <c r="AE155" s="4">
        <v>0</v>
      </c>
      <c r="AF155" s="4">
        <v>0</v>
      </c>
      <c r="AG155" s="31">
        <f t="shared" si="35"/>
        <v>0</v>
      </c>
      <c r="AH155">
        <v>153</v>
      </c>
    </row>
    <row r="156" spans="3:34" x14ac:dyDescent="0.25">
      <c r="D156">
        <v>2053</v>
      </c>
      <c r="E156" t="s">
        <v>421</v>
      </c>
      <c r="F156" s="4">
        <v>0</v>
      </c>
      <c r="G156" s="4">
        <v>0</v>
      </c>
      <c r="H156" s="4">
        <v>0</v>
      </c>
      <c r="I156" s="4">
        <v>0</v>
      </c>
      <c r="J156" s="4">
        <v>0</v>
      </c>
      <c r="K156" s="4">
        <v>0</v>
      </c>
      <c r="L156" s="4">
        <v>0</v>
      </c>
      <c r="M156" s="4">
        <v>0</v>
      </c>
      <c r="N156" s="4">
        <v>0</v>
      </c>
      <c r="O156" s="4">
        <v>0</v>
      </c>
      <c r="P156" s="4">
        <v>0</v>
      </c>
      <c r="Q156" s="4"/>
      <c r="R156" s="4">
        <v>0</v>
      </c>
      <c r="S156" s="4">
        <v>0</v>
      </c>
      <c r="T156" s="4">
        <v>0</v>
      </c>
      <c r="U156" s="4"/>
      <c r="V156" s="4">
        <v>0</v>
      </c>
      <c r="W156" s="4">
        <v>0</v>
      </c>
      <c r="X156" s="4">
        <v>0</v>
      </c>
      <c r="Y156" s="4">
        <v>0</v>
      </c>
      <c r="Z156" s="4">
        <v>0</v>
      </c>
      <c r="AA156" s="4">
        <v>0</v>
      </c>
      <c r="AB156" s="4">
        <v>0</v>
      </c>
      <c r="AC156" s="4"/>
      <c r="AD156" s="4">
        <v>0</v>
      </c>
      <c r="AE156" s="4">
        <v>0</v>
      </c>
      <c r="AF156" s="4">
        <v>0</v>
      </c>
      <c r="AG156" s="31">
        <f t="shared" si="35"/>
        <v>0</v>
      </c>
      <c r="AH156">
        <v>154</v>
      </c>
    </row>
    <row r="157" spans="3:34" x14ac:dyDescent="0.25">
      <c r="D157">
        <v>2054</v>
      </c>
      <c r="E157" t="s">
        <v>419</v>
      </c>
      <c r="F157" s="4">
        <v>0</v>
      </c>
      <c r="G157" s="4">
        <v>0</v>
      </c>
      <c r="H157" s="4">
        <v>0</v>
      </c>
      <c r="I157" s="4">
        <v>0</v>
      </c>
      <c r="J157" s="4">
        <v>0</v>
      </c>
      <c r="K157" s="4">
        <v>0</v>
      </c>
      <c r="L157" s="4">
        <v>0</v>
      </c>
      <c r="M157" s="4">
        <v>0</v>
      </c>
      <c r="N157" s="4">
        <v>0</v>
      </c>
      <c r="O157" s="4">
        <v>0</v>
      </c>
      <c r="P157" s="4">
        <v>0</v>
      </c>
      <c r="Q157" s="4"/>
      <c r="R157" s="4">
        <v>0</v>
      </c>
      <c r="S157" s="4">
        <v>0</v>
      </c>
      <c r="T157" s="4">
        <v>0</v>
      </c>
      <c r="U157" s="4"/>
      <c r="V157" s="4">
        <v>0</v>
      </c>
      <c r="W157" s="4">
        <v>0</v>
      </c>
      <c r="X157" s="4">
        <v>0</v>
      </c>
      <c r="Y157" s="4">
        <v>0</v>
      </c>
      <c r="Z157" s="4">
        <v>0</v>
      </c>
      <c r="AA157" s="4">
        <v>0</v>
      </c>
      <c r="AB157" s="4">
        <v>0</v>
      </c>
      <c r="AC157" s="4"/>
      <c r="AD157" s="4">
        <v>0</v>
      </c>
      <c r="AE157" s="4">
        <v>0</v>
      </c>
      <c r="AF157" s="4">
        <v>0</v>
      </c>
      <c r="AG157" s="31">
        <f t="shared" si="35"/>
        <v>0</v>
      </c>
      <c r="AH157">
        <v>155</v>
      </c>
    </row>
    <row r="158" spans="3:34" x14ac:dyDescent="0.25">
      <c r="D158">
        <v>2055</v>
      </c>
      <c r="E158" t="s">
        <v>418</v>
      </c>
      <c r="F158" s="4">
        <v>0</v>
      </c>
      <c r="G158" s="4">
        <v>0</v>
      </c>
      <c r="H158" s="4">
        <v>0</v>
      </c>
      <c r="I158" s="4">
        <v>0</v>
      </c>
      <c r="J158" s="4">
        <v>0</v>
      </c>
      <c r="K158" s="4">
        <v>0</v>
      </c>
      <c r="L158" s="4">
        <v>0</v>
      </c>
      <c r="M158" s="4">
        <v>0</v>
      </c>
      <c r="N158" s="4">
        <v>0</v>
      </c>
      <c r="O158" s="4">
        <v>0</v>
      </c>
      <c r="P158" s="4">
        <v>0</v>
      </c>
      <c r="Q158" s="4"/>
      <c r="R158" s="4">
        <v>0</v>
      </c>
      <c r="S158" s="4">
        <v>0</v>
      </c>
      <c r="T158" s="4">
        <v>0</v>
      </c>
      <c r="U158" s="4"/>
      <c r="V158" s="4">
        <v>0</v>
      </c>
      <c r="W158" s="4">
        <v>0</v>
      </c>
      <c r="X158" s="4">
        <v>0</v>
      </c>
      <c r="Y158" s="4">
        <v>0</v>
      </c>
      <c r="Z158" s="4">
        <v>0</v>
      </c>
      <c r="AA158" s="4">
        <v>0</v>
      </c>
      <c r="AB158" s="4">
        <v>0</v>
      </c>
      <c r="AC158" s="4"/>
      <c r="AD158" s="4">
        <v>0</v>
      </c>
      <c r="AE158" s="4">
        <v>0</v>
      </c>
      <c r="AF158" s="4">
        <v>0</v>
      </c>
      <c r="AG158" s="31">
        <f t="shared" si="35"/>
        <v>0</v>
      </c>
      <c r="AH158">
        <v>156</v>
      </c>
    </row>
    <row r="159" spans="3:34" x14ac:dyDescent="0.25">
      <c r="D159">
        <v>2056</v>
      </c>
      <c r="E159" t="s">
        <v>420</v>
      </c>
      <c r="F159" s="4">
        <v>0</v>
      </c>
      <c r="G159" s="4">
        <v>0</v>
      </c>
      <c r="H159" s="4">
        <v>0</v>
      </c>
      <c r="I159" s="4">
        <v>0</v>
      </c>
      <c r="J159" s="4">
        <v>0</v>
      </c>
      <c r="K159" s="4">
        <v>0</v>
      </c>
      <c r="L159" s="4">
        <v>0</v>
      </c>
      <c r="M159" s="4">
        <v>0</v>
      </c>
      <c r="N159" s="4">
        <v>0</v>
      </c>
      <c r="O159" s="4">
        <v>0</v>
      </c>
      <c r="P159" s="4">
        <v>0</v>
      </c>
      <c r="Q159" s="4"/>
      <c r="R159" s="4">
        <v>0</v>
      </c>
      <c r="S159" s="4">
        <v>0</v>
      </c>
      <c r="T159" s="4">
        <v>0</v>
      </c>
      <c r="U159" s="4"/>
      <c r="V159" s="4">
        <v>0</v>
      </c>
      <c r="W159" s="4">
        <v>0</v>
      </c>
      <c r="X159" s="4">
        <v>0</v>
      </c>
      <c r="Y159" s="4">
        <v>0</v>
      </c>
      <c r="Z159" s="4">
        <v>0</v>
      </c>
      <c r="AA159" s="4">
        <v>0</v>
      </c>
      <c r="AB159" s="4">
        <v>0</v>
      </c>
      <c r="AC159" s="4"/>
      <c r="AD159" s="4">
        <v>0</v>
      </c>
      <c r="AE159" s="4">
        <v>0</v>
      </c>
      <c r="AF159" s="4">
        <v>0</v>
      </c>
      <c r="AG159" s="31">
        <f t="shared" si="35"/>
        <v>0</v>
      </c>
      <c r="AH159">
        <v>157</v>
      </c>
    </row>
    <row r="160" spans="3:34" x14ac:dyDescent="0.25">
      <c r="D160">
        <v>2057</v>
      </c>
      <c r="E160" t="s">
        <v>422</v>
      </c>
      <c r="F160" s="4">
        <v>0</v>
      </c>
      <c r="G160" s="4">
        <v>0</v>
      </c>
      <c r="H160" s="4">
        <v>0</v>
      </c>
      <c r="I160" s="4">
        <v>0</v>
      </c>
      <c r="J160" s="4">
        <v>0</v>
      </c>
      <c r="K160" s="4">
        <v>0</v>
      </c>
      <c r="L160" s="4">
        <v>0</v>
      </c>
      <c r="M160" s="4">
        <v>0</v>
      </c>
      <c r="N160" s="4">
        <v>0</v>
      </c>
      <c r="O160" s="4">
        <v>0</v>
      </c>
      <c r="P160" s="4">
        <v>0</v>
      </c>
      <c r="Q160" s="4"/>
      <c r="R160" s="4">
        <v>0</v>
      </c>
      <c r="S160" s="4">
        <v>0</v>
      </c>
      <c r="T160" s="4">
        <v>0</v>
      </c>
      <c r="U160" s="4"/>
      <c r="V160" s="4">
        <v>0</v>
      </c>
      <c r="W160" s="4">
        <v>0</v>
      </c>
      <c r="X160" s="4">
        <v>0</v>
      </c>
      <c r="Y160" s="4">
        <v>0</v>
      </c>
      <c r="Z160" s="4">
        <v>0</v>
      </c>
      <c r="AA160" s="4">
        <v>0</v>
      </c>
      <c r="AB160" s="4">
        <v>0</v>
      </c>
      <c r="AC160" s="4"/>
      <c r="AD160" s="4">
        <v>0</v>
      </c>
      <c r="AE160" s="4">
        <v>0</v>
      </c>
      <c r="AF160" s="4">
        <v>0</v>
      </c>
      <c r="AG160" s="31">
        <f t="shared" si="35"/>
        <v>0</v>
      </c>
      <c r="AH160">
        <v>158</v>
      </c>
    </row>
    <row r="161" spans="3:34" x14ac:dyDescent="0.25">
      <c r="D161">
        <v>2058</v>
      </c>
      <c r="E161" t="s">
        <v>423</v>
      </c>
      <c r="F161" s="4">
        <v>0</v>
      </c>
      <c r="G161" s="4">
        <v>0</v>
      </c>
      <c r="H161" s="4">
        <v>0</v>
      </c>
      <c r="I161" s="4">
        <v>0</v>
      </c>
      <c r="J161" s="4">
        <v>0</v>
      </c>
      <c r="K161" s="4">
        <v>0</v>
      </c>
      <c r="L161" s="4">
        <v>0</v>
      </c>
      <c r="M161" s="4">
        <v>0</v>
      </c>
      <c r="N161" s="4">
        <v>0</v>
      </c>
      <c r="O161" s="4">
        <v>0</v>
      </c>
      <c r="P161" s="4">
        <v>0</v>
      </c>
      <c r="Q161" s="4"/>
      <c r="R161" s="4">
        <v>0</v>
      </c>
      <c r="S161" s="4">
        <v>0</v>
      </c>
      <c r="T161" s="4">
        <v>0</v>
      </c>
      <c r="U161" s="4"/>
      <c r="V161" s="4">
        <v>0</v>
      </c>
      <c r="W161" s="4">
        <v>0</v>
      </c>
      <c r="X161" s="4">
        <v>0</v>
      </c>
      <c r="Y161" s="4">
        <v>0</v>
      </c>
      <c r="Z161" s="4">
        <v>0</v>
      </c>
      <c r="AA161" s="4">
        <v>0</v>
      </c>
      <c r="AB161" s="4">
        <v>0</v>
      </c>
      <c r="AC161" s="4"/>
      <c r="AD161" s="4">
        <v>0</v>
      </c>
      <c r="AE161" s="4">
        <v>0</v>
      </c>
      <c r="AF161" s="4">
        <v>0</v>
      </c>
      <c r="AG161" s="31">
        <f t="shared" si="35"/>
        <v>0</v>
      </c>
      <c r="AH161">
        <v>159</v>
      </c>
    </row>
    <row r="162" spans="3:34" x14ac:dyDescent="0.25">
      <c r="D162">
        <v>2059</v>
      </c>
      <c r="E162" t="s">
        <v>424</v>
      </c>
      <c r="F162" s="4">
        <v>0</v>
      </c>
      <c r="G162" s="4">
        <v>0</v>
      </c>
      <c r="H162" s="4">
        <v>0</v>
      </c>
      <c r="I162" s="4">
        <v>0</v>
      </c>
      <c r="J162" s="4">
        <v>0</v>
      </c>
      <c r="K162" s="4">
        <v>0</v>
      </c>
      <c r="L162" s="4">
        <v>0</v>
      </c>
      <c r="M162" s="4">
        <v>0</v>
      </c>
      <c r="N162" s="4">
        <v>0</v>
      </c>
      <c r="O162" s="4">
        <v>0</v>
      </c>
      <c r="P162" s="4">
        <v>0</v>
      </c>
      <c r="Q162" s="4"/>
      <c r="R162" s="4">
        <v>0</v>
      </c>
      <c r="S162" s="4">
        <v>0</v>
      </c>
      <c r="T162" s="4">
        <v>0</v>
      </c>
      <c r="U162" s="4"/>
      <c r="V162" s="4">
        <v>0</v>
      </c>
      <c r="W162" s="4">
        <v>0</v>
      </c>
      <c r="X162" s="4">
        <v>0</v>
      </c>
      <c r="Y162" s="4">
        <v>0</v>
      </c>
      <c r="Z162" s="4">
        <v>0</v>
      </c>
      <c r="AA162" s="4">
        <v>0</v>
      </c>
      <c r="AB162" s="4">
        <v>0</v>
      </c>
      <c r="AC162" s="4"/>
      <c r="AD162" s="4">
        <v>0</v>
      </c>
      <c r="AE162" s="4">
        <v>0</v>
      </c>
      <c r="AF162" s="4">
        <v>0</v>
      </c>
      <c r="AG162" s="31">
        <f t="shared" si="35"/>
        <v>0</v>
      </c>
      <c r="AH162">
        <v>160</v>
      </c>
    </row>
    <row r="163" spans="3:34" x14ac:dyDescent="0.25">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31"/>
      <c r="AH163">
        <v>161</v>
      </c>
    </row>
    <row r="164" spans="3:34" x14ac:dyDescent="0.25">
      <c r="C164" s="66">
        <v>206</v>
      </c>
      <c r="D164" s="66"/>
      <c r="E164" s="66" t="s">
        <v>257</v>
      </c>
      <c r="F164" s="67">
        <f>F165+F166+F167+F168+F169+F170</f>
        <v>1306100</v>
      </c>
      <c r="G164" s="67">
        <f t="shared" ref="G164:AF164" si="36">G165+G166+G167+G168+G169+G170</f>
        <v>0</v>
      </c>
      <c r="H164" s="67">
        <f t="shared" si="36"/>
        <v>20300</v>
      </c>
      <c r="I164" s="67">
        <f t="shared" si="36"/>
        <v>0</v>
      </c>
      <c r="J164" s="67">
        <f t="shared" si="36"/>
        <v>922800</v>
      </c>
      <c r="K164" s="67">
        <f t="shared" si="36"/>
        <v>2171450.2000000002</v>
      </c>
      <c r="L164" s="67">
        <f t="shared" si="36"/>
        <v>500000</v>
      </c>
      <c r="M164" s="67">
        <f t="shared" si="36"/>
        <v>3634000</v>
      </c>
      <c r="N164" s="67">
        <f t="shared" si="36"/>
        <v>0</v>
      </c>
      <c r="O164" s="67">
        <f t="shared" si="36"/>
        <v>0</v>
      </c>
      <c r="P164" s="67">
        <f t="shared" si="36"/>
        <v>0</v>
      </c>
      <c r="Q164" s="67">
        <f t="shared" si="36"/>
        <v>0</v>
      </c>
      <c r="R164" s="67">
        <f t="shared" si="36"/>
        <v>24800</v>
      </c>
      <c r="S164" s="67">
        <f t="shared" si="36"/>
        <v>0</v>
      </c>
      <c r="T164" s="67">
        <f t="shared" si="36"/>
        <v>0</v>
      </c>
      <c r="U164" s="67">
        <f t="shared" si="36"/>
        <v>0</v>
      </c>
      <c r="V164" s="67">
        <f t="shared" si="36"/>
        <v>1725000</v>
      </c>
      <c r="W164" s="67">
        <f t="shared" si="36"/>
        <v>500000</v>
      </c>
      <c r="X164" s="67">
        <f t="shared" si="36"/>
        <v>0</v>
      </c>
      <c r="Y164" s="67">
        <f t="shared" si="36"/>
        <v>275799.32</v>
      </c>
      <c r="Z164" s="67">
        <f t="shared" si="36"/>
        <v>13618600</v>
      </c>
      <c r="AA164" s="67">
        <f t="shared" si="36"/>
        <v>1390300</v>
      </c>
      <c r="AB164" s="67">
        <f t="shared" si="36"/>
        <v>1378500</v>
      </c>
      <c r="AC164" s="67">
        <f t="shared" si="36"/>
        <v>0</v>
      </c>
      <c r="AD164" s="67">
        <f t="shared" si="36"/>
        <v>0</v>
      </c>
      <c r="AE164" s="67">
        <f t="shared" si="36"/>
        <v>7600000</v>
      </c>
      <c r="AF164" s="67">
        <f t="shared" si="36"/>
        <v>0</v>
      </c>
      <c r="AG164" s="67">
        <f t="shared" ref="AG164:AG170" si="37">SUM(F164:AF164)</f>
        <v>35067649.519999996</v>
      </c>
      <c r="AH164">
        <v>162</v>
      </c>
    </row>
    <row r="165" spans="3:34" x14ac:dyDescent="0.25">
      <c r="D165">
        <v>2060</v>
      </c>
      <c r="E165" t="s">
        <v>425</v>
      </c>
      <c r="F165" s="4">
        <v>1306100</v>
      </c>
      <c r="G165" s="4">
        <v>0</v>
      </c>
      <c r="H165" s="4">
        <v>0</v>
      </c>
      <c r="I165" s="4">
        <v>0</v>
      </c>
      <c r="J165" s="4">
        <v>0</v>
      </c>
      <c r="K165" s="4">
        <v>2489370.2000000002</v>
      </c>
      <c r="L165" s="4">
        <v>0</v>
      </c>
      <c r="M165" s="4">
        <v>0</v>
      </c>
      <c r="N165" s="4">
        <v>0</v>
      </c>
      <c r="O165" s="4">
        <v>0</v>
      </c>
      <c r="P165" s="4">
        <v>0</v>
      </c>
      <c r="Q165" s="4"/>
      <c r="R165" s="4">
        <v>0</v>
      </c>
      <c r="S165" s="4">
        <v>0</v>
      </c>
      <c r="T165" s="4">
        <v>0</v>
      </c>
      <c r="U165" s="4"/>
      <c r="V165" s="4">
        <v>1725000</v>
      </c>
      <c r="W165" s="4">
        <v>500000</v>
      </c>
      <c r="X165" s="4">
        <v>0</v>
      </c>
      <c r="Y165" s="4">
        <v>0</v>
      </c>
      <c r="Z165" s="4">
        <v>0</v>
      </c>
      <c r="AA165" s="4">
        <v>0</v>
      </c>
      <c r="AB165" s="4">
        <v>0</v>
      </c>
      <c r="AC165" s="4"/>
      <c r="AD165" s="4">
        <v>0</v>
      </c>
      <c r="AE165" s="4">
        <v>0</v>
      </c>
      <c r="AF165" s="4">
        <v>0</v>
      </c>
      <c r="AG165" s="31">
        <f t="shared" si="37"/>
        <v>6020470.2000000002</v>
      </c>
      <c r="AH165">
        <v>163</v>
      </c>
    </row>
    <row r="166" spans="3:34" x14ac:dyDescent="0.25">
      <c r="D166">
        <v>2062</v>
      </c>
      <c r="E166" t="s">
        <v>426</v>
      </c>
      <c r="F166" s="4">
        <v>0</v>
      </c>
      <c r="G166" s="4">
        <v>0</v>
      </c>
      <c r="H166" s="4">
        <v>0</v>
      </c>
      <c r="I166" s="4">
        <v>0</v>
      </c>
      <c r="J166" s="4">
        <v>0</v>
      </c>
      <c r="K166" s="4">
        <v>0</v>
      </c>
      <c r="L166" s="4">
        <v>0</v>
      </c>
      <c r="M166" s="4">
        <v>0</v>
      </c>
      <c r="N166" s="4">
        <v>0</v>
      </c>
      <c r="O166" s="4">
        <v>0</v>
      </c>
      <c r="P166" s="4">
        <v>0</v>
      </c>
      <c r="Q166" s="4"/>
      <c r="R166" s="4">
        <v>0</v>
      </c>
      <c r="S166" s="4">
        <v>0</v>
      </c>
      <c r="T166" s="4">
        <v>0</v>
      </c>
      <c r="U166" s="4"/>
      <c r="V166" s="4">
        <v>0</v>
      </c>
      <c r="W166" s="4">
        <v>0</v>
      </c>
      <c r="X166" s="4">
        <v>0</v>
      </c>
      <c r="Y166" s="4">
        <v>0</v>
      </c>
      <c r="Z166" s="4">
        <v>0</v>
      </c>
      <c r="AA166" s="4">
        <v>0</v>
      </c>
      <c r="AB166" s="4">
        <v>0</v>
      </c>
      <c r="AC166" s="4"/>
      <c r="AD166" s="4">
        <v>0</v>
      </c>
      <c r="AE166" s="4">
        <v>0</v>
      </c>
      <c r="AF166" s="4">
        <v>0</v>
      </c>
      <c r="AG166" s="31">
        <f t="shared" si="37"/>
        <v>0</v>
      </c>
      <c r="AH166">
        <v>164</v>
      </c>
    </row>
    <row r="167" spans="3:34" x14ac:dyDescent="0.25">
      <c r="D167">
        <v>2063</v>
      </c>
      <c r="E167" t="s">
        <v>427</v>
      </c>
      <c r="F167" s="4">
        <v>0</v>
      </c>
      <c r="G167" s="4">
        <v>0</v>
      </c>
      <c r="H167" s="4">
        <v>20300</v>
      </c>
      <c r="I167" s="4">
        <v>0</v>
      </c>
      <c r="J167" s="4">
        <v>0</v>
      </c>
      <c r="K167" s="4">
        <v>0</v>
      </c>
      <c r="L167" s="4">
        <v>500000</v>
      </c>
      <c r="M167" s="4">
        <v>3634000</v>
      </c>
      <c r="N167" s="4">
        <v>0</v>
      </c>
      <c r="O167" s="4">
        <v>0</v>
      </c>
      <c r="P167" s="4">
        <v>0</v>
      </c>
      <c r="Q167" s="4"/>
      <c r="R167" s="4">
        <v>24800</v>
      </c>
      <c r="S167" s="4">
        <v>0</v>
      </c>
      <c r="T167" s="4">
        <v>0</v>
      </c>
      <c r="U167" s="4"/>
      <c r="V167" s="4">
        <v>0</v>
      </c>
      <c r="W167" s="4">
        <v>0</v>
      </c>
      <c r="X167" s="4">
        <v>0</v>
      </c>
      <c r="Y167" s="4">
        <v>275799.32</v>
      </c>
      <c r="Z167" s="4">
        <v>13608600</v>
      </c>
      <c r="AA167" s="4">
        <v>1316100</v>
      </c>
      <c r="AB167" s="4">
        <v>0</v>
      </c>
      <c r="AC167" s="4"/>
      <c r="AD167" s="4">
        <v>0</v>
      </c>
      <c r="AE167" s="4">
        <v>0</v>
      </c>
      <c r="AF167" s="4">
        <v>0</v>
      </c>
      <c r="AG167" s="31">
        <f t="shared" si="37"/>
        <v>19379599.32</v>
      </c>
      <c r="AH167">
        <v>165</v>
      </c>
    </row>
    <row r="168" spans="3:34" x14ac:dyDescent="0.25">
      <c r="D168">
        <v>2064</v>
      </c>
      <c r="E168" t="s">
        <v>448</v>
      </c>
      <c r="F168" s="4">
        <v>0</v>
      </c>
      <c r="G168" s="4">
        <v>0</v>
      </c>
      <c r="H168" s="4">
        <v>0</v>
      </c>
      <c r="I168" s="4">
        <v>0</v>
      </c>
      <c r="J168" s="4">
        <v>922800</v>
      </c>
      <c r="K168" s="4">
        <v>0</v>
      </c>
      <c r="L168" s="4">
        <v>0</v>
      </c>
      <c r="M168" s="4">
        <v>0</v>
      </c>
      <c r="N168" s="4">
        <v>0</v>
      </c>
      <c r="O168" s="4">
        <v>0</v>
      </c>
      <c r="P168" s="4">
        <v>0</v>
      </c>
      <c r="Q168" s="4"/>
      <c r="R168" s="4">
        <v>0</v>
      </c>
      <c r="S168" s="4">
        <v>0</v>
      </c>
      <c r="T168" s="4">
        <v>0</v>
      </c>
      <c r="U168" s="4"/>
      <c r="V168" s="4">
        <v>0</v>
      </c>
      <c r="W168" s="4">
        <v>0</v>
      </c>
      <c r="X168" s="4">
        <v>0</v>
      </c>
      <c r="Y168" s="4">
        <v>0</v>
      </c>
      <c r="Z168" s="4">
        <v>0</v>
      </c>
      <c r="AA168" s="4">
        <v>74200</v>
      </c>
      <c r="AB168" s="4">
        <v>1378500</v>
      </c>
      <c r="AC168" s="4"/>
      <c r="AD168" s="4">
        <v>0</v>
      </c>
      <c r="AE168" s="4">
        <v>7600000</v>
      </c>
      <c r="AF168" s="4">
        <v>0</v>
      </c>
      <c r="AG168" s="31">
        <f t="shared" si="37"/>
        <v>9975500</v>
      </c>
      <c r="AH168">
        <v>166</v>
      </c>
    </row>
    <row r="169" spans="3:34" x14ac:dyDescent="0.25">
      <c r="D169">
        <v>2067</v>
      </c>
      <c r="E169" t="s">
        <v>429</v>
      </c>
      <c r="F169" s="4">
        <v>0</v>
      </c>
      <c r="G169" s="4">
        <v>0</v>
      </c>
      <c r="H169" s="4">
        <v>0</v>
      </c>
      <c r="I169" s="4">
        <v>0</v>
      </c>
      <c r="J169" s="4">
        <v>0</v>
      </c>
      <c r="K169" s="4">
        <v>0</v>
      </c>
      <c r="L169" s="4">
        <v>0</v>
      </c>
      <c r="M169" s="4">
        <v>0</v>
      </c>
      <c r="N169" s="4">
        <v>0</v>
      </c>
      <c r="O169" s="4">
        <v>0</v>
      </c>
      <c r="P169" s="4">
        <v>0</v>
      </c>
      <c r="Q169" s="4"/>
      <c r="R169" s="4">
        <v>0</v>
      </c>
      <c r="S169" s="4">
        <v>0</v>
      </c>
      <c r="T169" s="4">
        <v>0</v>
      </c>
      <c r="U169" s="4"/>
      <c r="V169" s="4">
        <v>0</v>
      </c>
      <c r="W169" s="4">
        <v>0</v>
      </c>
      <c r="X169" s="4">
        <v>0</v>
      </c>
      <c r="Y169" s="4">
        <v>0</v>
      </c>
      <c r="Z169" s="4">
        <v>0</v>
      </c>
      <c r="AA169" s="4">
        <v>0</v>
      </c>
      <c r="AB169" s="4">
        <v>0</v>
      </c>
      <c r="AC169" s="4"/>
      <c r="AD169" s="4">
        <v>0</v>
      </c>
      <c r="AE169" s="4">
        <v>0</v>
      </c>
      <c r="AF169" s="4">
        <v>0</v>
      </c>
      <c r="AG169" s="31">
        <f t="shared" si="37"/>
        <v>0</v>
      </c>
      <c r="AH169">
        <v>167</v>
      </c>
    </row>
    <row r="170" spans="3:34" x14ac:dyDescent="0.25">
      <c r="D170">
        <v>2069</v>
      </c>
      <c r="E170" t="s">
        <v>430</v>
      </c>
      <c r="F170" s="4">
        <v>0</v>
      </c>
      <c r="G170" s="4">
        <v>0</v>
      </c>
      <c r="H170" s="4">
        <v>0</v>
      </c>
      <c r="I170" s="4">
        <v>0</v>
      </c>
      <c r="J170" s="4">
        <v>0</v>
      </c>
      <c r="K170" s="4">
        <v>-317920</v>
      </c>
      <c r="L170" s="4">
        <v>0</v>
      </c>
      <c r="M170" s="4">
        <v>0</v>
      </c>
      <c r="N170" s="4">
        <v>0</v>
      </c>
      <c r="O170" s="4">
        <v>0</v>
      </c>
      <c r="P170" s="4">
        <v>0</v>
      </c>
      <c r="Q170" s="4"/>
      <c r="R170" s="4">
        <v>0</v>
      </c>
      <c r="S170" s="4">
        <v>0</v>
      </c>
      <c r="T170" s="4">
        <v>0</v>
      </c>
      <c r="U170" s="4"/>
      <c r="V170" s="4">
        <v>0</v>
      </c>
      <c r="W170" s="4">
        <v>0</v>
      </c>
      <c r="X170" s="4">
        <v>0</v>
      </c>
      <c r="Y170" s="4">
        <v>0</v>
      </c>
      <c r="Z170" s="4">
        <v>10000</v>
      </c>
      <c r="AA170" s="4">
        <v>0</v>
      </c>
      <c r="AB170" s="4">
        <v>0</v>
      </c>
      <c r="AC170" s="4"/>
      <c r="AD170" s="4">
        <v>0</v>
      </c>
      <c r="AE170" s="4">
        <v>0</v>
      </c>
      <c r="AF170" s="4">
        <v>0</v>
      </c>
      <c r="AG170" s="31">
        <f t="shared" si="37"/>
        <v>-307920</v>
      </c>
      <c r="AH170">
        <v>168</v>
      </c>
    </row>
    <row r="171" spans="3:34" x14ac:dyDescent="0.25">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31"/>
      <c r="AH171">
        <v>169</v>
      </c>
    </row>
    <row r="172" spans="3:34" x14ac:dyDescent="0.25">
      <c r="C172" s="66">
        <v>208</v>
      </c>
      <c r="D172" s="66"/>
      <c r="E172" s="66" t="s">
        <v>258</v>
      </c>
      <c r="F172" s="67">
        <f>F173+F174+F175+F176+F177+F178+F179+F180+F181</f>
        <v>0</v>
      </c>
      <c r="G172" s="67">
        <f t="shared" ref="G172:AF172" si="38">G173+G174+G175+G176+G177+G178+G179+G180+G181</f>
        <v>0</v>
      </c>
      <c r="H172" s="67">
        <f t="shared" si="38"/>
        <v>0</v>
      </c>
      <c r="I172" s="67">
        <f t="shared" si="38"/>
        <v>0</v>
      </c>
      <c r="J172" s="67">
        <f t="shared" si="38"/>
        <v>0</v>
      </c>
      <c r="K172" s="67">
        <f t="shared" si="38"/>
        <v>0</v>
      </c>
      <c r="L172" s="67">
        <f t="shared" si="38"/>
        <v>0</v>
      </c>
      <c r="M172" s="67">
        <f t="shared" si="38"/>
        <v>0</v>
      </c>
      <c r="N172" s="67">
        <f t="shared" si="38"/>
        <v>12988</v>
      </c>
      <c r="O172" s="67">
        <f t="shared" si="38"/>
        <v>0</v>
      </c>
      <c r="P172" s="67">
        <f t="shared" si="38"/>
        <v>0</v>
      </c>
      <c r="Q172" s="67">
        <f t="shared" si="38"/>
        <v>0</v>
      </c>
      <c r="R172" s="67">
        <f t="shared" si="38"/>
        <v>0</v>
      </c>
      <c r="S172" s="67">
        <f t="shared" si="38"/>
        <v>0</v>
      </c>
      <c r="T172" s="67">
        <f t="shared" si="38"/>
        <v>0</v>
      </c>
      <c r="U172" s="67">
        <f t="shared" si="38"/>
        <v>0</v>
      </c>
      <c r="V172" s="67">
        <f t="shared" si="38"/>
        <v>0</v>
      </c>
      <c r="W172" s="67">
        <f t="shared" si="38"/>
        <v>0</v>
      </c>
      <c r="X172" s="67">
        <f t="shared" si="38"/>
        <v>0</v>
      </c>
      <c r="Y172" s="67">
        <f t="shared" si="38"/>
        <v>0</v>
      </c>
      <c r="Z172" s="67">
        <f t="shared" si="38"/>
        <v>0</v>
      </c>
      <c r="AA172" s="67">
        <f t="shared" si="38"/>
        <v>131535.79999999999</v>
      </c>
      <c r="AB172" s="67">
        <f t="shared" si="38"/>
        <v>0</v>
      </c>
      <c r="AC172" s="67">
        <f t="shared" si="38"/>
        <v>0</v>
      </c>
      <c r="AD172" s="67">
        <f t="shared" si="38"/>
        <v>0</v>
      </c>
      <c r="AE172" s="67">
        <f t="shared" si="38"/>
        <v>0</v>
      </c>
      <c r="AF172" s="67">
        <f t="shared" si="38"/>
        <v>0</v>
      </c>
      <c r="AG172" s="67">
        <f t="shared" ref="AG172:AG181" si="39">SUM(F172:AF172)</f>
        <v>144523.79999999999</v>
      </c>
      <c r="AH172">
        <v>170</v>
      </c>
    </row>
    <row r="173" spans="3:34" x14ac:dyDescent="0.25">
      <c r="D173">
        <v>2081</v>
      </c>
      <c r="E173" t="s">
        <v>431</v>
      </c>
      <c r="F173" s="4">
        <v>0</v>
      </c>
      <c r="G173" s="4">
        <v>0</v>
      </c>
      <c r="H173" s="4">
        <v>0</v>
      </c>
      <c r="I173" s="4">
        <v>0</v>
      </c>
      <c r="J173" s="4">
        <v>0</v>
      </c>
      <c r="K173" s="4">
        <v>0</v>
      </c>
      <c r="L173" s="4">
        <v>0</v>
      </c>
      <c r="M173" s="4">
        <v>0</v>
      </c>
      <c r="N173" s="4">
        <v>0</v>
      </c>
      <c r="O173" s="4">
        <v>0</v>
      </c>
      <c r="P173" s="4">
        <v>0</v>
      </c>
      <c r="Q173" s="4"/>
      <c r="R173" s="4">
        <v>0</v>
      </c>
      <c r="S173" s="4">
        <v>0</v>
      </c>
      <c r="T173" s="4">
        <v>0</v>
      </c>
      <c r="U173" s="4"/>
      <c r="V173" s="4">
        <v>0</v>
      </c>
      <c r="W173" s="4">
        <v>0</v>
      </c>
      <c r="X173" s="4">
        <v>0</v>
      </c>
      <c r="Y173" s="4">
        <v>0</v>
      </c>
      <c r="Z173" s="4">
        <v>0</v>
      </c>
      <c r="AA173" s="4">
        <v>0</v>
      </c>
      <c r="AB173" s="4">
        <v>0</v>
      </c>
      <c r="AC173" s="4"/>
      <c r="AD173" s="4">
        <v>0</v>
      </c>
      <c r="AE173" s="4">
        <v>0</v>
      </c>
      <c r="AF173" s="4">
        <v>0</v>
      </c>
      <c r="AG173" s="31">
        <f t="shared" si="39"/>
        <v>0</v>
      </c>
      <c r="AH173">
        <v>171</v>
      </c>
    </row>
    <row r="174" spans="3:34" x14ac:dyDescent="0.25">
      <c r="D174">
        <v>2082</v>
      </c>
      <c r="E174" t="s">
        <v>432</v>
      </c>
      <c r="F174" s="4">
        <v>0</v>
      </c>
      <c r="G174" s="4">
        <v>0</v>
      </c>
      <c r="H174" s="4">
        <v>0</v>
      </c>
      <c r="I174" s="4">
        <v>0</v>
      </c>
      <c r="J174" s="4">
        <v>0</v>
      </c>
      <c r="K174" s="4">
        <v>0</v>
      </c>
      <c r="L174" s="4">
        <v>0</v>
      </c>
      <c r="M174" s="4">
        <v>0</v>
      </c>
      <c r="N174" s="4">
        <v>0</v>
      </c>
      <c r="O174" s="4">
        <v>0</v>
      </c>
      <c r="P174" s="4">
        <v>0</v>
      </c>
      <c r="Q174" s="4"/>
      <c r="R174" s="4">
        <v>0</v>
      </c>
      <c r="S174" s="4">
        <v>0</v>
      </c>
      <c r="T174" s="4">
        <v>0</v>
      </c>
      <c r="U174" s="4"/>
      <c r="V174" s="4">
        <v>0</v>
      </c>
      <c r="W174" s="4">
        <v>0</v>
      </c>
      <c r="X174" s="4">
        <v>0</v>
      </c>
      <c r="Y174" s="4">
        <v>0</v>
      </c>
      <c r="Z174" s="4">
        <v>0</v>
      </c>
      <c r="AA174" s="4">
        <v>0</v>
      </c>
      <c r="AB174" s="4">
        <v>0</v>
      </c>
      <c r="AC174" s="4"/>
      <c r="AD174" s="4">
        <v>0</v>
      </c>
      <c r="AE174" s="4">
        <v>0</v>
      </c>
      <c r="AF174" s="4">
        <v>0</v>
      </c>
      <c r="AG174" s="31">
        <f t="shared" si="39"/>
        <v>0</v>
      </c>
      <c r="AH174">
        <v>172</v>
      </c>
    </row>
    <row r="175" spans="3:34" x14ac:dyDescent="0.25">
      <c r="D175">
        <v>2083</v>
      </c>
      <c r="E175" t="s">
        <v>433</v>
      </c>
      <c r="F175" s="4">
        <v>0</v>
      </c>
      <c r="G175" s="4">
        <v>0</v>
      </c>
      <c r="H175" s="4">
        <v>0</v>
      </c>
      <c r="I175" s="4">
        <v>0</v>
      </c>
      <c r="J175" s="4">
        <v>0</v>
      </c>
      <c r="K175" s="4">
        <v>0</v>
      </c>
      <c r="L175" s="4">
        <v>0</v>
      </c>
      <c r="M175" s="4">
        <v>0</v>
      </c>
      <c r="N175" s="4">
        <v>0</v>
      </c>
      <c r="O175" s="4">
        <v>0</v>
      </c>
      <c r="P175" s="4">
        <v>0</v>
      </c>
      <c r="Q175" s="4"/>
      <c r="R175" s="4">
        <v>0</v>
      </c>
      <c r="S175" s="4">
        <v>0</v>
      </c>
      <c r="T175" s="4">
        <v>0</v>
      </c>
      <c r="U175" s="4"/>
      <c r="V175" s="4">
        <v>0</v>
      </c>
      <c r="W175" s="4">
        <v>0</v>
      </c>
      <c r="X175" s="4">
        <v>0</v>
      </c>
      <c r="Y175" s="4">
        <v>0</v>
      </c>
      <c r="Z175" s="4">
        <v>0</v>
      </c>
      <c r="AA175" s="4">
        <v>0</v>
      </c>
      <c r="AB175" s="4">
        <v>0</v>
      </c>
      <c r="AC175" s="4"/>
      <c r="AD175" s="4">
        <v>0</v>
      </c>
      <c r="AE175" s="4">
        <v>0</v>
      </c>
      <c r="AF175" s="4">
        <v>0</v>
      </c>
      <c r="AG175" s="31">
        <f t="shared" si="39"/>
        <v>0</v>
      </c>
      <c r="AH175">
        <v>173</v>
      </c>
    </row>
    <row r="176" spans="3:34" x14ac:dyDescent="0.25">
      <c r="D176">
        <v>2084</v>
      </c>
      <c r="E176" t="s">
        <v>434</v>
      </c>
      <c r="F176" s="4">
        <v>0</v>
      </c>
      <c r="G176" s="4">
        <v>0</v>
      </c>
      <c r="H176" s="4">
        <v>0</v>
      </c>
      <c r="I176" s="4">
        <v>0</v>
      </c>
      <c r="J176" s="4">
        <v>0</v>
      </c>
      <c r="K176" s="4">
        <v>0</v>
      </c>
      <c r="L176" s="4">
        <v>0</v>
      </c>
      <c r="M176" s="4">
        <v>0</v>
      </c>
      <c r="N176" s="4">
        <v>0</v>
      </c>
      <c r="O176" s="4">
        <v>0</v>
      </c>
      <c r="P176" s="4">
        <v>0</v>
      </c>
      <c r="Q176" s="4"/>
      <c r="R176" s="4">
        <v>0</v>
      </c>
      <c r="S176" s="4">
        <v>0</v>
      </c>
      <c r="T176" s="4">
        <v>0</v>
      </c>
      <c r="U176" s="4"/>
      <c r="V176" s="4">
        <v>0</v>
      </c>
      <c r="W176" s="4">
        <v>0</v>
      </c>
      <c r="X176" s="4">
        <v>0</v>
      </c>
      <c r="Y176" s="4">
        <v>0</v>
      </c>
      <c r="Z176" s="4">
        <v>0</v>
      </c>
      <c r="AA176" s="4">
        <v>0</v>
      </c>
      <c r="AB176" s="4">
        <v>0</v>
      </c>
      <c r="AC176" s="4"/>
      <c r="AD176" s="4">
        <v>0</v>
      </c>
      <c r="AE176" s="4">
        <v>0</v>
      </c>
      <c r="AF176" s="4">
        <v>0</v>
      </c>
      <c r="AG176" s="31">
        <f t="shared" si="39"/>
        <v>0</v>
      </c>
      <c r="AH176">
        <v>174</v>
      </c>
    </row>
    <row r="177" spans="2:34" x14ac:dyDescent="0.25">
      <c r="D177">
        <v>2085</v>
      </c>
      <c r="E177" t="s">
        <v>436</v>
      </c>
      <c r="F177" s="4">
        <v>0</v>
      </c>
      <c r="G177" s="4">
        <v>0</v>
      </c>
      <c r="H177" s="4">
        <v>0</v>
      </c>
      <c r="I177" s="4">
        <v>0</v>
      </c>
      <c r="J177" s="4">
        <v>0</v>
      </c>
      <c r="K177" s="4">
        <v>0</v>
      </c>
      <c r="L177" s="4">
        <v>0</v>
      </c>
      <c r="M177" s="4">
        <v>0</v>
      </c>
      <c r="N177" s="4">
        <v>0</v>
      </c>
      <c r="O177" s="4">
        <v>0</v>
      </c>
      <c r="P177" s="4">
        <v>0</v>
      </c>
      <c r="Q177" s="4"/>
      <c r="R177" s="4">
        <v>0</v>
      </c>
      <c r="S177" s="4">
        <v>0</v>
      </c>
      <c r="T177" s="4">
        <v>0</v>
      </c>
      <c r="U177" s="4"/>
      <c r="V177" s="4">
        <v>0</v>
      </c>
      <c r="W177" s="4">
        <v>0</v>
      </c>
      <c r="X177" s="4">
        <v>0</v>
      </c>
      <c r="Y177" s="4">
        <v>0</v>
      </c>
      <c r="Z177" s="4">
        <v>0</v>
      </c>
      <c r="AA177" s="4">
        <v>131535.79999999999</v>
      </c>
      <c r="AB177" s="4">
        <v>0</v>
      </c>
      <c r="AC177" s="4"/>
      <c r="AD177" s="4">
        <v>0</v>
      </c>
      <c r="AE177" s="4">
        <v>0</v>
      </c>
      <c r="AF177" s="4">
        <v>0</v>
      </c>
      <c r="AG177" s="31">
        <f t="shared" si="39"/>
        <v>131535.79999999999</v>
      </c>
      <c r="AH177">
        <v>175</v>
      </c>
    </row>
    <row r="178" spans="2:34" x14ac:dyDescent="0.25">
      <c r="D178">
        <v>2086</v>
      </c>
      <c r="E178" t="s">
        <v>435</v>
      </c>
      <c r="F178" s="4">
        <v>0</v>
      </c>
      <c r="G178" s="4">
        <v>0</v>
      </c>
      <c r="H178" s="4">
        <v>0</v>
      </c>
      <c r="I178" s="4">
        <v>0</v>
      </c>
      <c r="J178" s="4">
        <v>0</v>
      </c>
      <c r="K178" s="4">
        <v>0</v>
      </c>
      <c r="L178" s="4">
        <v>0</v>
      </c>
      <c r="M178" s="4">
        <v>0</v>
      </c>
      <c r="N178" s="4">
        <v>0</v>
      </c>
      <c r="O178" s="4">
        <v>0</v>
      </c>
      <c r="P178" s="4">
        <v>0</v>
      </c>
      <c r="Q178" s="4"/>
      <c r="R178" s="4">
        <v>0</v>
      </c>
      <c r="S178" s="4">
        <v>0</v>
      </c>
      <c r="T178" s="4">
        <v>0</v>
      </c>
      <c r="U178" s="4"/>
      <c r="V178" s="4">
        <v>0</v>
      </c>
      <c r="W178" s="4">
        <v>0</v>
      </c>
      <c r="X178" s="4">
        <v>0</v>
      </c>
      <c r="Y178" s="4">
        <v>0</v>
      </c>
      <c r="Z178" s="4">
        <v>0</v>
      </c>
      <c r="AA178" s="4">
        <v>0</v>
      </c>
      <c r="AB178" s="4">
        <v>0</v>
      </c>
      <c r="AC178" s="4"/>
      <c r="AD178" s="4">
        <v>0</v>
      </c>
      <c r="AE178" s="4">
        <v>0</v>
      </c>
      <c r="AF178" s="4">
        <v>0</v>
      </c>
      <c r="AG178" s="31">
        <f t="shared" si="39"/>
        <v>0</v>
      </c>
      <c r="AH178">
        <v>176</v>
      </c>
    </row>
    <row r="179" spans="2:34" x14ac:dyDescent="0.25">
      <c r="D179">
        <v>2087</v>
      </c>
      <c r="E179" t="s">
        <v>437</v>
      </c>
      <c r="F179" s="4">
        <v>0</v>
      </c>
      <c r="G179" s="4">
        <v>0</v>
      </c>
      <c r="H179" s="4">
        <v>0</v>
      </c>
      <c r="I179" s="4">
        <v>0</v>
      </c>
      <c r="J179" s="4">
        <v>0</v>
      </c>
      <c r="K179" s="4">
        <v>0</v>
      </c>
      <c r="L179" s="4">
        <v>0</v>
      </c>
      <c r="M179" s="4">
        <v>0</v>
      </c>
      <c r="N179" s="4">
        <v>0</v>
      </c>
      <c r="O179" s="4">
        <v>0</v>
      </c>
      <c r="P179" s="4">
        <v>0</v>
      </c>
      <c r="Q179" s="4"/>
      <c r="R179" s="4">
        <v>0</v>
      </c>
      <c r="S179" s="4">
        <v>0</v>
      </c>
      <c r="T179" s="4">
        <v>0</v>
      </c>
      <c r="U179" s="4"/>
      <c r="V179" s="4">
        <v>0</v>
      </c>
      <c r="W179" s="4">
        <v>0</v>
      </c>
      <c r="X179" s="4">
        <v>0</v>
      </c>
      <c r="Y179" s="4">
        <v>0</v>
      </c>
      <c r="Z179" s="4">
        <v>0</v>
      </c>
      <c r="AA179" s="4">
        <v>0</v>
      </c>
      <c r="AB179" s="4">
        <v>0</v>
      </c>
      <c r="AC179" s="4"/>
      <c r="AD179" s="4">
        <v>0</v>
      </c>
      <c r="AE179" s="4">
        <v>0</v>
      </c>
      <c r="AF179" s="4">
        <v>0</v>
      </c>
      <c r="AG179" s="31">
        <f t="shared" si="39"/>
        <v>0</v>
      </c>
      <c r="AH179">
        <v>177</v>
      </c>
    </row>
    <row r="180" spans="2:34" x14ac:dyDescent="0.25">
      <c r="D180">
        <v>2088</v>
      </c>
      <c r="E180" t="s">
        <v>438</v>
      </c>
      <c r="F180" s="4">
        <v>0</v>
      </c>
      <c r="G180" s="4">
        <v>0</v>
      </c>
      <c r="H180" s="4">
        <v>0</v>
      </c>
      <c r="I180" s="4">
        <v>0</v>
      </c>
      <c r="J180" s="4">
        <v>0</v>
      </c>
      <c r="K180" s="4">
        <v>0</v>
      </c>
      <c r="L180" s="4">
        <v>0</v>
      </c>
      <c r="M180" s="4">
        <v>0</v>
      </c>
      <c r="N180" s="4">
        <v>0</v>
      </c>
      <c r="O180" s="4">
        <v>0</v>
      </c>
      <c r="P180" s="4">
        <v>0</v>
      </c>
      <c r="Q180" s="4"/>
      <c r="R180" s="4">
        <v>0</v>
      </c>
      <c r="S180" s="4">
        <v>0</v>
      </c>
      <c r="T180" s="4">
        <v>0</v>
      </c>
      <c r="U180" s="4"/>
      <c r="V180" s="4">
        <v>0</v>
      </c>
      <c r="W180" s="4">
        <v>0</v>
      </c>
      <c r="X180" s="4">
        <v>0</v>
      </c>
      <c r="Y180" s="4">
        <v>0</v>
      </c>
      <c r="Z180" s="4">
        <v>0</v>
      </c>
      <c r="AA180" s="4">
        <v>0</v>
      </c>
      <c r="AB180" s="4">
        <v>0</v>
      </c>
      <c r="AC180" s="4"/>
      <c r="AD180" s="4">
        <v>0</v>
      </c>
      <c r="AE180" s="4">
        <v>0</v>
      </c>
      <c r="AF180" s="4">
        <v>0</v>
      </c>
      <c r="AG180" s="31">
        <f t="shared" si="39"/>
        <v>0</v>
      </c>
      <c r="AH180">
        <v>178</v>
      </c>
    </row>
    <row r="181" spans="2:34" x14ac:dyDescent="0.25">
      <c r="D181">
        <v>2089</v>
      </c>
      <c r="E181" t="s">
        <v>439</v>
      </c>
      <c r="F181" s="4">
        <v>0</v>
      </c>
      <c r="G181" s="4">
        <v>0</v>
      </c>
      <c r="H181" s="4">
        <v>0</v>
      </c>
      <c r="I181" s="4">
        <v>0</v>
      </c>
      <c r="J181" s="4">
        <v>0</v>
      </c>
      <c r="K181" s="4">
        <v>0</v>
      </c>
      <c r="L181" s="4">
        <v>0</v>
      </c>
      <c r="M181" s="4">
        <v>0</v>
      </c>
      <c r="N181" s="4">
        <v>12988</v>
      </c>
      <c r="O181" s="4">
        <v>0</v>
      </c>
      <c r="P181" s="4">
        <v>0</v>
      </c>
      <c r="Q181" s="4"/>
      <c r="R181" s="4">
        <v>0</v>
      </c>
      <c r="S181" s="4">
        <v>0</v>
      </c>
      <c r="T181" s="4">
        <v>0</v>
      </c>
      <c r="U181" s="4"/>
      <c r="V181" s="4">
        <v>0</v>
      </c>
      <c r="W181" s="4">
        <v>0</v>
      </c>
      <c r="X181" s="4">
        <v>0</v>
      </c>
      <c r="Y181" s="4">
        <v>0</v>
      </c>
      <c r="Z181" s="4">
        <v>0</v>
      </c>
      <c r="AA181" s="4">
        <v>0</v>
      </c>
      <c r="AB181" s="4">
        <v>0</v>
      </c>
      <c r="AC181" s="4"/>
      <c r="AD181" s="4">
        <v>0</v>
      </c>
      <c r="AE181" s="4">
        <v>0</v>
      </c>
      <c r="AF181" s="4">
        <v>0</v>
      </c>
      <c r="AG181" s="31">
        <f t="shared" si="39"/>
        <v>12988</v>
      </c>
      <c r="AH181">
        <v>179</v>
      </c>
    </row>
    <row r="182" spans="2:34" x14ac:dyDescent="0.25">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31"/>
      <c r="AH182">
        <v>180</v>
      </c>
    </row>
    <row r="183" spans="2:34" x14ac:dyDescent="0.25">
      <c r="C183" s="66">
        <v>209</v>
      </c>
      <c r="D183" s="66"/>
      <c r="E183" s="66" t="s">
        <v>259</v>
      </c>
      <c r="F183" s="67">
        <f>F184+F185+F186+F187</f>
        <v>0</v>
      </c>
      <c r="G183" s="67">
        <f t="shared" ref="G183:AF183" si="40">G184+G185+G186+G187</f>
        <v>0</v>
      </c>
      <c r="H183" s="67">
        <f t="shared" si="40"/>
        <v>0</v>
      </c>
      <c r="I183" s="67">
        <f t="shared" si="40"/>
        <v>0</v>
      </c>
      <c r="J183" s="67">
        <f t="shared" si="40"/>
        <v>0</v>
      </c>
      <c r="K183" s="67">
        <f t="shared" si="40"/>
        <v>0</v>
      </c>
      <c r="L183" s="67">
        <f t="shared" si="40"/>
        <v>0</v>
      </c>
      <c r="M183" s="67">
        <f t="shared" si="40"/>
        <v>0</v>
      </c>
      <c r="N183" s="67">
        <f t="shared" si="40"/>
        <v>0</v>
      </c>
      <c r="O183" s="67">
        <f t="shared" si="40"/>
        <v>0</v>
      </c>
      <c r="P183" s="67">
        <f t="shared" si="40"/>
        <v>0</v>
      </c>
      <c r="Q183" s="67">
        <f t="shared" si="40"/>
        <v>0</v>
      </c>
      <c r="R183" s="67">
        <f t="shared" si="40"/>
        <v>0</v>
      </c>
      <c r="S183" s="67">
        <f t="shared" si="40"/>
        <v>0</v>
      </c>
      <c r="T183" s="67">
        <f t="shared" si="40"/>
        <v>0</v>
      </c>
      <c r="U183" s="67">
        <f t="shared" si="40"/>
        <v>0</v>
      </c>
      <c r="V183" s="67">
        <f t="shared" si="40"/>
        <v>0</v>
      </c>
      <c r="W183" s="67">
        <f t="shared" si="40"/>
        <v>0</v>
      </c>
      <c r="X183" s="67">
        <f t="shared" si="40"/>
        <v>0</v>
      </c>
      <c r="Y183" s="67">
        <f t="shared" si="40"/>
        <v>0</v>
      </c>
      <c r="Z183" s="67">
        <f t="shared" si="40"/>
        <v>0</v>
      </c>
      <c r="AA183" s="67">
        <f t="shared" si="40"/>
        <v>0</v>
      </c>
      <c r="AB183" s="67">
        <f t="shared" si="40"/>
        <v>0</v>
      </c>
      <c r="AC183" s="67">
        <f t="shared" si="40"/>
        <v>0</v>
      </c>
      <c r="AD183" s="67">
        <f t="shared" si="40"/>
        <v>150000</v>
      </c>
      <c r="AE183" s="67">
        <f t="shared" si="40"/>
        <v>0</v>
      </c>
      <c r="AF183" s="67">
        <f t="shared" si="40"/>
        <v>0</v>
      </c>
      <c r="AG183" s="67">
        <f>SUM(F183:AF183)</f>
        <v>150000</v>
      </c>
      <c r="AH183">
        <v>181</v>
      </c>
    </row>
    <row r="184" spans="2:34" x14ac:dyDescent="0.25">
      <c r="D184">
        <v>2090</v>
      </c>
      <c r="E184" t="s">
        <v>259</v>
      </c>
      <c r="F184" s="4">
        <v>0</v>
      </c>
      <c r="G184" s="4">
        <v>0</v>
      </c>
      <c r="H184" s="4">
        <v>0</v>
      </c>
      <c r="I184" s="4">
        <v>0</v>
      </c>
      <c r="J184" s="4">
        <v>0</v>
      </c>
      <c r="K184" s="4">
        <v>0</v>
      </c>
      <c r="L184" s="4">
        <v>0</v>
      </c>
      <c r="M184" s="4">
        <v>0</v>
      </c>
      <c r="N184" s="4">
        <v>0</v>
      </c>
      <c r="O184" s="4">
        <v>0</v>
      </c>
      <c r="P184" s="4">
        <v>0</v>
      </c>
      <c r="Q184" s="4"/>
      <c r="R184" s="4">
        <v>0</v>
      </c>
      <c r="S184" s="4">
        <v>0</v>
      </c>
      <c r="T184" s="4">
        <v>0</v>
      </c>
      <c r="U184" s="4"/>
      <c r="V184" s="4">
        <v>0</v>
      </c>
      <c r="W184" s="4">
        <v>0</v>
      </c>
      <c r="X184" s="4">
        <v>0</v>
      </c>
      <c r="Y184" s="4">
        <v>0</v>
      </c>
      <c r="Z184" s="4">
        <v>0</v>
      </c>
      <c r="AA184" s="4">
        <v>0</v>
      </c>
      <c r="AB184" s="4">
        <v>0</v>
      </c>
      <c r="AC184" s="4"/>
      <c r="AD184" s="4">
        <v>0</v>
      </c>
      <c r="AE184" s="4">
        <v>0</v>
      </c>
      <c r="AF184" s="4">
        <v>0</v>
      </c>
      <c r="AG184" s="31">
        <f>SUM(F184:AF184)</f>
        <v>0</v>
      </c>
      <c r="AH184">
        <v>182</v>
      </c>
    </row>
    <row r="185" spans="2:34" x14ac:dyDescent="0.25">
      <c r="D185">
        <v>2091</v>
      </c>
      <c r="E185" t="s">
        <v>440</v>
      </c>
      <c r="F185" s="4">
        <v>0</v>
      </c>
      <c r="G185" s="4">
        <v>0</v>
      </c>
      <c r="H185" s="4">
        <v>0</v>
      </c>
      <c r="I185" s="4">
        <v>0</v>
      </c>
      <c r="J185" s="4">
        <v>0</v>
      </c>
      <c r="K185" s="4">
        <v>0</v>
      </c>
      <c r="L185" s="4">
        <v>0</v>
      </c>
      <c r="M185" s="4">
        <v>0</v>
      </c>
      <c r="N185" s="4">
        <v>0</v>
      </c>
      <c r="O185" s="4">
        <v>0</v>
      </c>
      <c r="P185" s="4">
        <v>0</v>
      </c>
      <c r="Q185" s="4"/>
      <c r="R185" s="4">
        <v>0</v>
      </c>
      <c r="S185" s="4">
        <v>0</v>
      </c>
      <c r="T185" s="4">
        <v>0</v>
      </c>
      <c r="U185" s="4"/>
      <c r="V185" s="4">
        <v>0</v>
      </c>
      <c r="W185" s="4">
        <v>0</v>
      </c>
      <c r="X185" s="4">
        <v>0</v>
      </c>
      <c r="Y185" s="4">
        <v>0</v>
      </c>
      <c r="Z185" s="4">
        <v>0</v>
      </c>
      <c r="AA185" s="4">
        <v>0</v>
      </c>
      <c r="AB185" s="4">
        <v>0</v>
      </c>
      <c r="AC185" s="4"/>
      <c r="AD185" s="4">
        <v>150000</v>
      </c>
      <c r="AE185" s="4">
        <v>0</v>
      </c>
      <c r="AF185" s="4">
        <v>0</v>
      </c>
      <c r="AG185" s="31">
        <f>SUM(F185:AF185)</f>
        <v>150000</v>
      </c>
      <c r="AH185">
        <v>183</v>
      </c>
    </row>
    <row r="186" spans="2:34" x14ac:dyDescent="0.25">
      <c r="D186">
        <v>2092</v>
      </c>
      <c r="E186" t="s">
        <v>441</v>
      </c>
      <c r="F186" s="4">
        <v>0</v>
      </c>
      <c r="G186" s="4">
        <v>0</v>
      </c>
      <c r="H186" s="4">
        <v>0</v>
      </c>
      <c r="I186" s="4">
        <v>0</v>
      </c>
      <c r="J186" s="4">
        <v>0</v>
      </c>
      <c r="K186" s="4">
        <v>0</v>
      </c>
      <c r="L186" s="4">
        <v>0</v>
      </c>
      <c r="M186" s="4">
        <v>0</v>
      </c>
      <c r="N186" s="4">
        <v>0</v>
      </c>
      <c r="O186" s="4">
        <v>0</v>
      </c>
      <c r="P186" s="4">
        <v>0</v>
      </c>
      <c r="Q186" s="4"/>
      <c r="R186" s="4">
        <v>0</v>
      </c>
      <c r="S186" s="4">
        <v>0</v>
      </c>
      <c r="T186" s="4">
        <v>0</v>
      </c>
      <c r="U186" s="4"/>
      <c r="V186" s="4">
        <v>0</v>
      </c>
      <c r="W186" s="4">
        <v>0</v>
      </c>
      <c r="X186" s="4">
        <v>0</v>
      </c>
      <c r="Y186" s="4">
        <v>0</v>
      </c>
      <c r="Z186" s="4">
        <v>0</v>
      </c>
      <c r="AA186" s="4">
        <v>0</v>
      </c>
      <c r="AB186" s="4">
        <v>0</v>
      </c>
      <c r="AC186" s="4"/>
      <c r="AD186" s="4">
        <v>0</v>
      </c>
      <c r="AE186" s="4">
        <v>0</v>
      </c>
      <c r="AF186" s="4">
        <v>0</v>
      </c>
      <c r="AG186" s="31">
        <f>SUM(F186:AF186)</f>
        <v>0</v>
      </c>
      <c r="AH186">
        <v>184</v>
      </c>
    </row>
    <row r="187" spans="2:34" x14ac:dyDescent="0.25">
      <c r="D187">
        <v>2093</v>
      </c>
      <c r="E187" t="s">
        <v>442</v>
      </c>
      <c r="F187" s="4">
        <v>0</v>
      </c>
      <c r="G187" s="4">
        <v>0</v>
      </c>
      <c r="H187" s="4">
        <v>0</v>
      </c>
      <c r="I187" s="4">
        <v>0</v>
      </c>
      <c r="J187" s="4">
        <v>0</v>
      </c>
      <c r="K187" s="4">
        <v>0</v>
      </c>
      <c r="L187" s="4">
        <v>0</v>
      </c>
      <c r="M187" s="4">
        <v>0</v>
      </c>
      <c r="N187" s="4">
        <v>0</v>
      </c>
      <c r="O187" s="4">
        <v>0</v>
      </c>
      <c r="P187" s="4">
        <v>0</v>
      </c>
      <c r="Q187" s="4"/>
      <c r="R187" s="4">
        <v>0</v>
      </c>
      <c r="S187" s="4">
        <v>0</v>
      </c>
      <c r="T187" s="4">
        <v>0</v>
      </c>
      <c r="U187" s="4"/>
      <c r="V187" s="4">
        <v>0</v>
      </c>
      <c r="W187" s="4">
        <v>0</v>
      </c>
      <c r="X187" s="4">
        <v>0</v>
      </c>
      <c r="Y187" s="4">
        <v>0</v>
      </c>
      <c r="Z187" s="4">
        <v>0</v>
      </c>
      <c r="AA187" s="4">
        <v>0</v>
      </c>
      <c r="AB187" s="4">
        <v>0</v>
      </c>
      <c r="AC187" s="4"/>
      <c r="AD187" s="4">
        <v>0</v>
      </c>
      <c r="AE187" s="4">
        <v>0</v>
      </c>
      <c r="AF187" s="4">
        <v>0</v>
      </c>
      <c r="AG187" s="31">
        <f>SUM(F187:AF187)</f>
        <v>0</v>
      </c>
      <c r="AH187">
        <v>185</v>
      </c>
    </row>
    <row r="188" spans="2:34" x14ac:dyDescent="0.25">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31"/>
      <c r="AH188">
        <v>186</v>
      </c>
    </row>
    <row r="189" spans="2:34" x14ac:dyDescent="0.25">
      <c r="B189" s="68">
        <v>29</v>
      </c>
      <c r="C189" s="68"/>
      <c r="D189" s="68"/>
      <c r="E189" s="68" t="s">
        <v>260</v>
      </c>
      <c r="F189" s="69">
        <f>F190+F193+F197+F200+F203+F206+F209+F212+F215</f>
        <v>768182.21</v>
      </c>
      <c r="G189" s="69">
        <f t="shared" ref="G189:AG189" si="41">G190+G193+G197+G200+G203+G206+G209+G212+G215</f>
        <v>70376056.959999993</v>
      </c>
      <c r="H189" s="69">
        <f t="shared" si="41"/>
        <v>214711.15000000002</v>
      </c>
      <c r="I189" s="69">
        <f t="shared" si="41"/>
        <v>7329359.4900000002</v>
      </c>
      <c r="J189" s="69">
        <f t="shared" si="41"/>
        <v>0</v>
      </c>
      <c r="K189" s="69">
        <f t="shared" si="41"/>
        <v>136411.95000000001</v>
      </c>
      <c r="L189" s="69">
        <f t="shared" si="41"/>
        <v>0</v>
      </c>
      <c r="M189" s="69">
        <f t="shared" si="41"/>
        <v>458212.79</v>
      </c>
      <c r="N189" s="69">
        <f t="shared" si="41"/>
        <v>0</v>
      </c>
      <c r="O189" s="69">
        <f t="shared" si="41"/>
        <v>127341.24</v>
      </c>
      <c r="P189" s="69">
        <f t="shared" si="41"/>
        <v>14039365.43</v>
      </c>
      <c r="Q189" s="69">
        <f t="shared" si="41"/>
        <v>0</v>
      </c>
      <c r="R189" s="69">
        <f t="shared" si="41"/>
        <v>2570.59</v>
      </c>
      <c r="S189" s="69">
        <f t="shared" si="41"/>
        <v>46344.999999999993</v>
      </c>
      <c r="T189" s="69">
        <f t="shared" si="41"/>
        <v>5669.75</v>
      </c>
      <c r="U189" s="69">
        <f t="shared" si="41"/>
        <v>0</v>
      </c>
      <c r="V189" s="69">
        <f t="shared" si="41"/>
        <v>526211.32000000007</v>
      </c>
      <c r="W189" s="69">
        <f t="shared" si="41"/>
        <v>15199.75</v>
      </c>
      <c r="X189" s="69">
        <f t="shared" si="41"/>
        <v>26664.899999999998</v>
      </c>
      <c r="Y189" s="69">
        <f t="shared" si="41"/>
        <v>2586308.5300000003</v>
      </c>
      <c r="Z189" s="69">
        <f t="shared" si="41"/>
        <v>1326693.56</v>
      </c>
      <c r="AA189" s="69">
        <f t="shared" si="41"/>
        <v>269070.58</v>
      </c>
      <c r="AB189" s="69">
        <f t="shared" si="41"/>
        <v>1650132.15</v>
      </c>
      <c r="AC189" s="69">
        <f t="shared" si="41"/>
        <v>0</v>
      </c>
      <c r="AD189" s="69">
        <f t="shared" si="41"/>
        <v>0</v>
      </c>
      <c r="AE189" s="69">
        <f t="shared" si="41"/>
        <v>464376.68</v>
      </c>
      <c r="AF189" s="69">
        <f t="shared" si="41"/>
        <v>465489.7</v>
      </c>
      <c r="AG189" s="69">
        <f t="shared" si="41"/>
        <v>100834373.73</v>
      </c>
      <c r="AH189">
        <v>187</v>
      </c>
    </row>
    <row r="190" spans="2:34" x14ac:dyDescent="0.25">
      <c r="C190" s="66">
        <v>290</v>
      </c>
      <c r="D190" s="66"/>
      <c r="E190" s="66" t="s">
        <v>261</v>
      </c>
      <c r="F190" s="67">
        <f>F191</f>
        <v>0</v>
      </c>
      <c r="G190" s="67">
        <f t="shared" ref="G190:AF190" si="42">G191</f>
        <v>4446356.96</v>
      </c>
      <c r="H190" s="67">
        <f t="shared" si="42"/>
        <v>158156.70000000001</v>
      </c>
      <c r="I190" s="67">
        <f t="shared" si="42"/>
        <v>1044149.4</v>
      </c>
      <c r="J190" s="67">
        <f t="shared" si="42"/>
        <v>0</v>
      </c>
      <c r="K190" s="67">
        <f t="shared" si="42"/>
        <v>136411.95000000001</v>
      </c>
      <c r="L190" s="67">
        <f t="shared" si="42"/>
        <v>0</v>
      </c>
      <c r="M190" s="67">
        <f t="shared" si="42"/>
        <v>1436.83</v>
      </c>
      <c r="N190" s="67">
        <f t="shared" si="42"/>
        <v>0</v>
      </c>
      <c r="O190" s="67">
        <f t="shared" si="42"/>
        <v>0</v>
      </c>
      <c r="P190" s="67">
        <f t="shared" si="42"/>
        <v>0</v>
      </c>
      <c r="Q190" s="67">
        <f t="shared" si="42"/>
        <v>0</v>
      </c>
      <c r="R190" s="67">
        <f t="shared" si="42"/>
        <v>0</v>
      </c>
      <c r="S190" s="67">
        <f t="shared" si="42"/>
        <v>6813.1</v>
      </c>
      <c r="T190" s="67">
        <f t="shared" si="42"/>
        <v>0</v>
      </c>
      <c r="U190" s="67">
        <f t="shared" si="42"/>
        <v>0</v>
      </c>
      <c r="V190" s="67">
        <f t="shared" si="42"/>
        <v>135995.63</v>
      </c>
      <c r="W190" s="67">
        <f t="shared" si="42"/>
        <v>0</v>
      </c>
      <c r="X190" s="67">
        <f t="shared" si="42"/>
        <v>0</v>
      </c>
      <c r="Y190" s="67">
        <f t="shared" si="42"/>
        <v>0</v>
      </c>
      <c r="Z190" s="67">
        <f t="shared" si="42"/>
        <v>368221.47</v>
      </c>
      <c r="AA190" s="67">
        <f t="shared" si="42"/>
        <v>0</v>
      </c>
      <c r="AB190" s="67">
        <f t="shared" si="42"/>
        <v>460418.79</v>
      </c>
      <c r="AC190" s="67">
        <f t="shared" si="42"/>
        <v>0</v>
      </c>
      <c r="AD190" s="67">
        <f t="shared" si="42"/>
        <v>0</v>
      </c>
      <c r="AE190" s="67">
        <f t="shared" si="42"/>
        <v>0</v>
      </c>
      <c r="AF190" s="67">
        <f t="shared" si="42"/>
        <v>495643.55</v>
      </c>
      <c r="AG190" s="67">
        <f>SUM(F190:AF190)</f>
        <v>7253604.3799999999</v>
      </c>
      <c r="AH190">
        <v>188</v>
      </c>
    </row>
    <row r="191" spans="2:34" x14ac:dyDescent="0.25">
      <c r="D191">
        <v>2900</v>
      </c>
      <c r="E191" t="s">
        <v>261</v>
      </c>
      <c r="F191" s="4">
        <v>0</v>
      </c>
      <c r="G191" s="4">
        <v>4446356.96</v>
      </c>
      <c r="H191" s="4">
        <v>158156.70000000001</v>
      </c>
      <c r="I191" s="4">
        <v>1044149.4</v>
      </c>
      <c r="J191" s="4">
        <v>0</v>
      </c>
      <c r="K191" s="4">
        <v>136411.95000000001</v>
      </c>
      <c r="L191" s="4">
        <v>0</v>
      </c>
      <c r="M191" s="4">
        <v>1436.83</v>
      </c>
      <c r="N191" s="4">
        <v>0</v>
      </c>
      <c r="O191" s="4">
        <v>0</v>
      </c>
      <c r="P191" s="4">
        <v>0</v>
      </c>
      <c r="Q191" s="4"/>
      <c r="R191" s="4">
        <v>0</v>
      </c>
      <c r="S191" s="4">
        <v>6813.1</v>
      </c>
      <c r="T191" s="4">
        <v>0</v>
      </c>
      <c r="U191" s="4"/>
      <c r="V191" s="4">
        <v>135995.63</v>
      </c>
      <c r="W191" s="4">
        <v>0</v>
      </c>
      <c r="X191" s="4">
        <v>0</v>
      </c>
      <c r="Y191" s="4">
        <v>0</v>
      </c>
      <c r="Z191" s="4">
        <v>368221.47</v>
      </c>
      <c r="AA191" s="4">
        <v>0</v>
      </c>
      <c r="AB191" s="4">
        <v>460418.79</v>
      </c>
      <c r="AC191" s="4"/>
      <c r="AD191" s="4">
        <v>0</v>
      </c>
      <c r="AE191" s="4">
        <v>0</v>
      </c>
      <c r="AF191" s="4">
        <v>495643.55</v>
      </c>
      <c r="AG191" s="31">
        <f>SUM(F191:AF191)</f>
        <v>7253604.3799999999</v>
      </c>
      <c r="AH191">
        <v>189</v>
      </c>
    </row>
    <row r="192" spans="2:34" x14ac:dyDescent="0.25">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31"/>
      <c r="AH192">
        <v>190</v>
      </c>
    </row>
    <row r="193" spans="3:34" x14ac:dyDescent="0.25">
      <c r="C193" s="66">
        <v>291</v>
      </c>
      <c r="D193" s="66"/>
      <c r="E193" s="66" t="s">
        <v>262</v>
      </c>
      <c r="F193" s="67">
        <f>F194+F195</f>
        <v>0</v>
      </c>
      <c r="G193" s="67">
        <f t="shared" ref="G193:AF193" si="43">G194+G195</f>
        <v>0</v>
      </c>
      <c r="H193" s="67">
        <f t="shared" si="43"/>
        <v>0</v>
      </c>
      <c r="I193" s="67">
        <f t="shared" si="43"/>
        <v>0</v>
      </c>
      <c r="J193" s="67">
        <f t="shared" si="43"/>
        <v>0</v>
      </c>
      <c r="K193" s="67">
        <f t="shared" si="43"/>
        <v>0</v>
      </c>
      <c r="L193" s="67">
        <f t="shared" si="43"/>
        <v>0</v>
      </c>
      <c r="M193" s="67">
        <f t="shared" si="43"/>
        <v>0</v>
      </c>
      <c r="N193" s="67">
        <f t="shared" si="43"/>
        <v>0</v>
      </c>
      <c r="O193" s="67">
        <f t="shared" si="43"/>
        <v>0</v>
      </c>
      <c r="P193" s="67">
        <f t="shared" si="43"/>
        <v>0</v>
      </c>
      <c r="Q193" s="67">
        <f t="shared" si="43"/>
        <v>0</v>
      </c>
      <c r="R193" s="67">
        <f t="shared" si="43"/>
        <v>0</v>
      </c>
      <c r="S193" s="67">
        <f t="shared" si="43"/>
        <v>0</v>
      </c>
      <c r="T193" s="67">
        <f t="shared" si="43"/>
        <v>0</v>
      </c>
      <c r="U193" s="67">
        <f t="shared" si="43"/>
        <v>0</v>
      </c>
      <c r="V193" s="67">
        <f t="shared" si="43"/>
        <v>0</v>
      </c>
      <c r="W193" s="67">
        <f t="shared" si="43"/>
        <v>0</v>
      </c>
      <c r="X193" s="67">
        <f t="shared" si="43"/>
        <v>0</v>
      </c>
      <c r="Y193" s="67">
        <f t="shared" si="43"/>
        <v>0</v>
      </c>
      <c r="Z193" s="67">
        <f t="shared" si="43"/>
        <v>0</v>
      </c>
      <c r="AA193" s="67">
        <f t="shared" si="43"/>
        <v>0</v>
      </c>
      <c r="AB193" s="67">
        <f t="shared" si="43"/>
        <v>0</v>
      </c>
      <c r="AC193" s="67">
        <f t="shared" si="43"/>
        <v>0</v>
      </c>
      <c r="AD193" s="67">
        <f t="shared" si="43"/>
        <v>0</v>
      </c>
      <c r="AE193" s="67">
        <f t="shared" si="43"/>
        <v>0</v>
      </c>
      <c r="AF193" s="67">
        <f t="shared" si="43"/>
        <v>0</v>
      </c>
      <c r="AG193" s="67">
        <f>SUM(F193:AF193)</f>
        <v>0</v>
      </c>
      <c r="AH193">
        <v>191</v>
      </c>
    </row>
    <row r="194" spans="3:34" x14ac:dyDescent="0.25">
      <c r="D194">
        <v>2910</v>
      </c>
      <c r="E194" t="s">
        <v>262</v>
      </c>
      <c r="F194" s="4">
        <v>0</v>
      </c>
      <c r="G194" s="4">
        <v>0</v>
      </c>
      <c r="H194" s="4">
        <v>0</v>
      </c>
      <c r="I194" s="4">
        <v>0</v>
      </c>
      <c r="J194" s="4">
        <v>0</v>
      </c>
      <c r="K194" s="4">
        <v>0</v>
      </c>
      <c r="L194" s="4">
        <v>0</v>
      </c>
      <c r="M194" s="4">
        <v>0</v>
      </c>
      <c r="N194" s="4">
        <v>0</v>
      </c>
      <c r="O194" s="4">
        <v>0</v>
      </c>
      <c r="P194" s="4">
        <v>0</v>
      </c>
      <c r="Q194" s="4"/>
      <c r="R194" s="4">
        <v>0</v>
      </c>
      <c r="S194" s="4">
        <v>0</v>
      </c>
      <c r="T194" s="4">
        <v>0</v>
      </c>
      <c r="U194" s="4"/>
      <c r="V194" s="4">
        <v>0</v>
      </c>
      <c r="W194" s="4">
        <v>0</v>
      </c>
      <c r="X194" s="4">
        <v>0</v>
      </c>
      <c r="Y194" s="4">
        <v>0</v>
      </c>
      <c r="Z194" s="4">
        <v>0</v>
      </c>
      <c r="AA194" s="4">
        <v>0</v>
      </c>
      <c r="AB194" s="4">
        <v>0</v>
      </c>
      <c r="AC194" s="4"/>
      <c r="AD194" s="4">
        <v>0</v>
      </c>
      <c r="AE194" s="4">
        <v>0</v>
      </c>
      <c r="AF194" s="4">
        <v>0</v>
      </c>
      <c r="AG194" s="31">
        <f>SUM(F194:AF194)</f>
        <v>0</v>
      </c>
      <c r="AH194">
        <v>192</v>
      </c>
    </row>
    <row r="195" spans="3:34" x14ac:dyDescent="0.25">
      <c r="D195">
        <v>2911</v>
      </c>
      <c r="E195" t="s">
        <v>443</v>
      </c>
      <c r="F195" s="4">
        <v>0</v>
      </c>
      <c r="G195" s="4">
        <v>0</v>
      </c>
      <c r="H195" s="4">
        <v>0</v>
      </c>
      <c r="I195" s="4">
        <v>0</v>
      </c>
      <c r="J195" s="4">
        <v>0</v>
      </c>
      <c r="K195" s="4">
        <v>0</v>
      </c>
      <c r="L195" s="4">
        <v>0</v>
      </c>
      <c r="M195" s="4">
        <v>0</v>
      </c>
      <c r="N195" s="4">
        <v>0</v>
      </c>
      <c r="O195" s="4">
        <v>0</v>
      </c>
      <c r="P195" s="4">
        <v>0</v>
      </c>
      <c r="Q195" s="4"/>
      <c r="R195" s="4">
        <v>0</v>
      </c>
      <c r="S195" s="4">
        <v>0</v>
      </c>
      <c r="T195" s="4">
        <v>0</v>
      </c>
      <c r="U195" s="4"/>
      <c r="V195" s="4">
        <v>0</v>
      </c>
      <c r="W195" s="4">
        <v>0</v>
      </c>
      <c r="X195" s="4">
        <v>0</v>
      </c>
      <c r="Y195" s="4">
        <v>0</v>
      </c>
      <c r="Z195" s="4">
        <v>0</v>
      </c>
      <c r="AA195" s="4">
        <v>0</v>
      </c>
      <c r="AB195" s="4">
        <v>0</v>
      </c>
      <c r="AC195" s="4"/>
      <c r="AD195" s="4">
        <v>0</v>
      </c>
      <c r="AE195" s="4">
        <v>0</v>
      </c>
      <c r="AF195" s="4">
        <v>0</v>
      </c>
      <c r="AG195" s="31">
        <f>SUM(F195:AF195)</f>
        <v>0</v>
      </c>
      <c r="AH195">
        <v>193</v>
      </c>
    </row>
    <row r="196" spans="3:34" x14ac:dyDescent="0.25">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31"/>
      <c r="AH196">
        <v>194</v>
      </c>
    </row>
    <row r="197" spans="3:34" x14ac:dyDescent="0.25">
      <c r="C197" s="66">
        <v>292</v>
      </c>
      <c r="D197" s="66"/>
      <c r="E197" s="66" t="s">
        <v>263</v>
      </c>
      <c r="F197" s="67">
        <f>F198</f>
        <v>0</v>
      </c>
      <c r="G197" s="67">
        <f t="shared" ref="G197:AF197" si="44">G198</f>
        <v>0</v>
      </c>
      <c r="H197" s="67">
        <f t="shared" si="44"/>
        <v>0</v>
      </c>
      <c r="I197" s="67">
        <f t="shared" si="44"/>
        <v>0</v>
      </c>
      <c r="J197" s="67">
        <f t="shared" si="44"/>
        <v>0</v>
      </c>
      <c r="K197" s="67">
        <f t="shared" si="44"/>
        <v>0</v>
      </c>
      <c r="L197" s="67">
        <f t="shared" si="44"/>
        <v>0</v>
      </c>
      <c r="M197" s="67">
        <f t="shared" si="44"/>
        <v>0</v>
      </c>
      <c r="N197" s="67">
        <f t="shared" si="44"/>
        <v>0</v>
      </c>
      <c r="O197" s="67">
        <f t="shared" si="44"/>
        <v>0</v>
      </c>
      <c r="P197" s="67">
        <f t="shared" si="44"/>
        <v>0</v>
      </c>
      <c r="Q197" s="67">
        <f t="shared" si="44"/>
        <v>0</v>
      </c>
      <c r="R197" s="67">
        <f t="shared" si="44"/>
        <v>0</v>
      </c>
      <c r="S197" s="67">
        <f t="shared" si="44"/>
        <v>0</v>
      </c>
      <c r="T197" s="67">
        <f t="shared" si="44"/>
        <v>0</v>
      </c>
      <c r="U197" s="67">
        <f t="shared" si="44"/>
        <v>0</v>
      </c>
      <c r="V197" s="67">
        <f t="shared" si="44"/>
        <v>0</v>
      </c>
      <c r="W197" s="67">
        <f t="shared" si="44"/>
        <v>15199.75</v>
      </c>
      <c r="X197" s="67">
        <f t="shared" si="44"/>
        <v>0</v>
      </c>
      <c r="Y197" s="67">
        <f t="shared" si="44"/>
        <v>0</v>
      </c>
      <c r="Z197" s="67">
        <f t="shared" si="44"/>
        <v>0</v>
      </c>
      <c r="AA197" s="67">
        <f t="shared" si="44"/>
        <v>0</v>
      </c>
      <c r="AB197" s="67">
        <f t="shared" si="44"/>
        <v>0</v>
      </c>
      <c r="AC197" s="67">
        <f t="shared" si="44"/>
        <v>0</v>
      </c>
      <c r="AD197" s="67">
        <f t="shared" si="44"/>
        <v>0</v>
      </c>
      <c r="AE197" s="67">
        <f t="shared" si="44"/>
        <v>0</v>
      </c>
      <c r="AF197" s="67">
        <f t="shared" si="44"/>
        <v>0</v>
      </c>
      <c r="AG197" s="67">
        <f>SUM(F197:AF197)</f>
        <v>15199.75</v>
      </c>
      <c r="AH197">
        <v>195</v>
      </c>
    </row>
    <row r="198" spans="3:34" x14ac:dyDescent="0.25">
      <c r="D198">
        <v>2920</v>
      </c>
      <c r="E198" t="s">
        <v>263</v>
      </c>
      <c r="F198" s="4">
        <v>0</v>
      </c>
      <c r="G198" s="4">
        <v>0</v>
      </c>
      <c r="H198" s="4">
        <v>0</v>
      </c>
      <c r="I198" s="4">
        <v>0</v>
      </c>
      <c r="J198" s="4">
        <v>0</v>
      </c>
      <c r="K198" s="4">
        <v>0</v>
      </c>
      <c r="L198" s="4">
        <v>0</v>
      </c>
      <c r="M198" s="4">
        <v>0</v>
      </c>
      <c r="N198" s="4">
        <v>0</v>
      </c>
      <c r="O198" s="4">
        <v>0</v>
      </c>
      <c r="P198" s="4">
        <v>0</v>
      </c>
      <c r="Q198" s="4"/>
      <c r="R198" s="4">
        <v>0</v>
      </c>
      <c r="S198" s="4">
        <v>0</v>
      </c>
      <c r="T198" s="4">
        <v>0</v>
      </c>
      <c r="U198" s="4"/>
      <c r="V198" s="4">
        <v>0</v>
      </c>
      <c r="W198" s="4">
        <v>15199.75</v>
      </c>
      <c r="X198" s="4">
        <v>0</v>
      </c>
      <c r="Y198" s="4">
        <v>0</v>
      </c>
      <c r="Z198" s="4">
        <v>0</v>
      </c>
      <c r="AA198" s="4">
        <v>0</v>
      </c>
      <c r="AB198" s="4">
        <v>0</v>
      </c>
      <c r="AC198" s="4"/>
      <c r="AD198" s="4">
        <v>0</v>
      </c>
      <c r="AE198" s="4">
        <v>0</v>
      </c>
      <c r="AF198" s="4">
        <v>0</v>
      </c>
      <c r="AG198" s="31">
        <f>SUM(F198:AF198)</f>
        <v>15199.75</v>
      </c>
      <c r="AH198">
        <v>196</v>
      </c>
    </row>
    <row r="199" spans="3:34" x14ac:dyDescent="0.25">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31"/>
      <c r="AH199">
        <v>197</v>
      </c>
    </row>
    <row r="200" spans="3:34" x14ac:dyDescent="0.25">
      <c r="C200" s="66">
        <v>293</v>
      </c>
      <c r="D200" s="66"/>
      <c r="E200" s="66" t="s">
        <v>264</v>
      </c>
      <c r="F200" s="67">
        <f>F201</f>
        <v>0</v>
      </c>
      <c r="G200" s="67">
        <f t="shared" ref="G200:AF200" si="45">G201</f>
        <v>0</v>
      </c>
      <c r="H200" s="67">
        <f t="shared" si="45"/>
        <v>0</v>
      </c>
      <c r="I200" s="67">
        <f t="shared" si="45"/>
        <v>4271668.6900000004</v>
      </c>
      <c r="J200" s="67">
        <f t="shared" si="45"/>
        <v>0</v>
      </c>
      <c r="K200" s="67">
        <f t="shared" si="45"/>
        <v>0</v>
      </c>
      <c r="L200" s="67">
        <f t="shared" si="45"/>
        <v>0</v>
      </c>
      <c r="M200" s="67">
        <f t="shared" si="45"/>
        <v>0</v>
      </c>
      <c r="N200" s="67">
        <f t="shared" si="45"/>
        <v>0</v>
      </c>
      <c r="O200" s="67">
        <f t="shared" si="45"/>
        <v>106000</v>
      </c>
      <c r="P200" s="67">
        <f t="shared" si="45"/>
        <v>13048948.65</v>
      </c>
      <c r="Q200" s="67">
        <f t="shared" si="45"/>
        <v>0</v>
      </c>
      <c r="R200" s="67">
        <f t="shared" si="45"/>
        <v>0</v>
      </c>
      <c r="S200" s="67">
        <f t="shared" si="45"/>
        <v>0</v>
      </c>
      <c r="T200" s="67">
        <f t="shared" si="45"/>
        <v>0</v>
      </c>
      <c r="U200" s="67">
        <f t="shared" si="45"/>
        <v>0</v>
      </c>
      <c r="V200" s="67">
        <f t="shared" si="45"/>
        <v>0</v>
      </c>
      <c r="W200" s="67">
        <f t="shared" si="45"/>
        <v>0</v>
      </c>
      <c r="X200" s="67">
        <f t="shared" si="45"/>
        <v>0</v>
      </c>
      <c r="Y200" s="67">
        <f t="shared" si="45"/>
        <v>1805586.78</v>
      </c>
      <c r="Z200" s="67">
        <f t="shared" si="45"/>
        <v>0</v>
      </c>
      <c r="AA200" s="67">
        <f t="shared" si="45"/>
        <v>0</v>
      </c>
      <c r="AB200" s="67">
        <f t="shared" si="45"/>
        <v>1110173.9099999999</v>
      </c>
      <c r="AC200" s="67">
        <f t="shared" si="45"/>
        <v>0</v>
      </c>
      <c r="AD200" s="67">
        <f t="shared" si="45"/>
        <v>0</v>
      </c>
      <c r="AE200" s="67">
        <f t="shared" si="45"/>
        <v>0</v>
      </c>
      <c r="AF200" s="67">
        <f t="shared" si="45"/>
        <v>0</v>
      </c>
      <c r="AG200" s="67">
        <f>SUM(F200:AF200)</f>
        <v>20342378.030000001</v>
      </c>
      <c r="AH200">
        <v>198</v>
      </c>
    </row>
    <row r="201" spans="3:34" x14ac:dyDescent="0.25">
      <c r="D201">
        <v>2930</v>
      </c>
      <c r="E201" t="s">
        <v>264</v>
      </c>
      <c r="F201" s="4">
        <v>0</v>
      </c>
      <c r="G201" s="4">
        <v>0</v>
      </c>
      <c r="H201" s="4">
        <v>0</v>
      </c>
      <c r="I201" s="4">
        <v>4271668.6900000004</v>
      </c>
      <c r="J201" s="4">
        <v>0</v>
      </c>
      <c r="K201" s="4">
        <v>0</v>
      </c>
      <c r="L201" s="4">
        <v>0</v>
      </c>
      <c r="M201" s="4">
        <v>0</v>
      </c>
      <c r="N201" s="4">
        <v>0</v>
      </c>
      <c r="O201" s="4">
        <v>106000</v>
      </c>
      <c r="P201" s="4">
        <v>13048948.65</v>
      </c>
      <c r="Q201" s="4"/>
      <c r="R201" s="4">
        <v>0</v>
      </c>
      <c r="S201" s="4">
        <v>0</v>
      </c>
      <c r="T201" s="4">
        <v>0</v>
      </c>
      <c r="U201" s="4"/>
      <c r="V201" s="4">
        <v>0</v>
      </c>
      <c r="W201" s="4">
        <v>0</v>
      </c>
      <c r="X201" s="4">
        <v>0</v>
      </c>
      <c r="Y201" s="4">
        <v>1805586.78</v>
      </c>
      <c r="Z201" s="4">
        <v>0</v>
      </c>
      <c r="AA201" s="4">
        <v>0</v>
      </c>
      <c r="AB201" s="4">
        <v>1110173.9099999999</v>
      </c>
      <c r="AC201" s="4"/>
      <c r="AD201" s="4">
        <v>0</v>
      </c>
      <c r="AE201" s="4">
        <v>0</v>
      </c>
      <c r="AF201" s="4">
        <v>0</v>
      </c>
      <c r="AG201" s="31">
        <f>SUM(F201:AF201)</f>
        <v>20342378.030000001</v>
      </c>
      <c r="AH201">
        <v>199</v>
      </c>
    </row>
    <row r="202" spans="3:34" x14ac:dyDescent="0.25">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31"/>
      <c r="AH202">
        <v>200</v>
      </c>
    </row>
    <row r="203" spans="3:34" x14ac:dyDescent="0.25">
      <c r="C203" s="66">
        <v>294</v>
      </c>
      <c r="D203" s="66"/>
      <c r="E203" s="66" t="s">
        <v>265</v>
      </c>
      <c r="F203" s="67">
        <f>F204</f>
        <v>0</v>
      </c>
      <c r="G203" s="67">
        <f t="shared" ref="G203:AF203" si="46">G204</f>
        <v>0</v>
      </c>
      <c r="H203" s="67">
        <f t="shared" si="46"/>
        <v>0</v>
      </c>
      <c r="I203" s="67">
        <f t="shared" si="46"/>
        <v>0</v>
      </c>
      <c r="J203" s="67">
        <f t="shared" si="46"/>
        <v>0</v>
      </c>
      <c r="K203" s="67">
        <f t="shared" si="46"/>
        <v>0</v>
      </c>
      <c r="L203" s="67">
        <f t="shared" si="46"/>
        <v>0</v>
      </c>
      <c r="M203" s="67">
        <f t="shared" si="46"/>
        <v>0</v>
      </c>
      <c r="N203" s="67">
        <f t="shared" si="46"/>
        <v>0</v>
      </c>
      <c r="O203" s="67">
        <f t="shared" si="46"/>
        <v>0</v>
      </c>
      <c r="P203" s="67">
        <f t="shared" si="46"/>
        <v>141113.85999999999</v>
      </c>
      <c r="Q203" s="67">
        <f t="shared" si="46"/>
        <v>0</v>
      </c>
      <c r="R203" s="67">
        <f t="shared" si="46"/>
        <v>0</v>
      </c>
      <c r="S203" s="67">
        <f t="shared" si="46"/>
        <v>0</v>
      </c>
      <c r="T203" s="67">
        <f t="shared" si="46"/>
        <v>0</v>
      </c>
      <c r="U203" s="67">
        <f t="shared" si="46"/>
        <v>0</v>
      </c>
      <c r="V203" s="67">
        <f t="shared" si="46"/>
        <v>18546.03</v>
      </c>
      <c r="W203" s="67">
        <f t="shared" si="46"/>
        <v>0</v>
      </c>
      <c r="X203" s="67">
        <f t="shared" si="46"/>
        <v>0</v>
      </c>
      <c r="Y203" s="67">
        <f t="shared" si="46"/>
        <v>0</v>
      </c>
      <c r="Z203" s="67">
        <f t="shared" si="46"/>
        <v>0</v>
      </c>
      <c r="AA203" s="67">
        <f t="shared" si="46"/>
        <v>0</v>
      </c>
      <c r="AB203" s="67">
        <f t="shared" si="46"/>
        <v>79539.45</v>
      </c>
      <c r="AC203" s="67">
        <f t="shared" si="46"/>
        <v>0</v>
      </c>
      <c r="AD203" s="67">
        <f t="shared" si="46"/>
        <v>0</v>
      </c>
      <c r="AE203" s="67">
        <f t="shared" si="46"/>
        <v>270000</v>
      </c>
      <c r="AF203" s="67">
        <f t="shared" si="46"/>
        <v>0</v>
      </c>
      <c r="AG203" s="67">
        <f>SUM(F203:AF203)</f>
        <v>509199.33999999997</v>
      </c>
      <c r="AH203">
        <v>201</v>
      </c>
    </row>
    <row r="204" spans="3:34" x14ac:dyDescent="0.25">
      <c r="D204">
        <v>2940</v>
      </c>
      <c r="E204" t="s">
        <v>265</v>
      </c>
      <c r="F204" s="4">
        <v>0</v>
      </c>
      <c r="G204" s="4">
        <v>0</v>
      </c>
      <c r="H204" s="4">
        <v>0</v>
      </c>
      <c r="I204" s="4">
        <v>0</v>
      </c>
      <c r="J204" s="4">
        <v>0</v>
      </c>
      <c r="K204" s="4">
        <v>0</v>
      </c>
      <c r="L204" s="4">
        <v>0</v>
      </c>
      <c r="M204" s="4">
        <v>0</v>
      </c>
      <c r="N204" s="4">
        <v>0</v>
      </c>
      <c r="O204" s="4">
        <v>0</v>
      </c>
      <c r="P204" s="4">
        <v>141113.85999999999</v>
      </c>
      <c r="Q204" s="4"/>
      <c r="R204" s="4">
        <v>0</v>
      </c>
      <c r="S204" s="4">
        <v>0</v>
      </c>
      <c r="T204" s="4">
        <v>0</v>
      </c>
      <c r="U204" s="4"/>
      <c r="V204" s="4">
        <v>18546.03</v>
      </c>
      <c r="W204" s="4">
        <v>0</v>
      </c>
      <c r="X204" s="4">
        <v>0</v>
      </c>
      <c r="Y204" s="4">
        <v>0</v>
      </c>
      <c r="Z204" s="4">
        <v>0</v>
      </c>
      <c r="AA204" s="4">
        <v>0</v>
      </c>
      <c r="AB204" s="4">
        <v>79539.45</v>
      </c>
      <c r="AC204" s="4"/>
      <c r="AD204" s="4">
        <v>0</v>
      </c>
      <c r="AE204" s="4">
        <v>270000</v>
      </c>
      <c r="AF204" s="4">
        <v>0</v>
      </c>
      <c r="AG204" s="31">
        <f>SUM(F204:AF204)</f>
        <v>509199.33999999997</v>
      </c>
      <c r="AH204">
        <v>202</v>
      </c>
    </row>
    <row r="205" spans="3:34" x14ac:dyDescent="0.25">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31"/>
      <c r="AH205">
        <v>203</v>
      </c>
    </row>
    <row r="206" spans="3:34" x14ac:dyDescent="0.25">
      <c r="C206" s="66">
        <v>295</v>
      </c>
      <c r="D206" s="66"/>
      <c r="E206" s="66" t="s">
        <v>266</v>
      </c>
      <c r="F206" s="67">
        <f>F207</f>
        <v>0</v>
      </c>
      <c r="G206" s="67">
        <f t="shared" ref="G206:AF206" si="47">G207</f>
        <v>65929700</v>
      </c>
      <c r="H206" s="67">
        <f>H207</f>
        <v>0</v>
      </c>
      <c r="I206" s="67">
        <f t="shared" si="47"/>
        <v>0</v>
      </c>
      <c r="J206" s="67">
        <f t="shared" si="47"/>
        <v>0</v>
      </c>
      <c r="K206" s="67">
        <f t="shared" si="47"/>
        <v>0</v>
      </c>
      <c r="L206" s="67">
        <f t="shared" si="47"/>
        <v>0</v>
      </c>
      <c r="M206" s="67">
        <f t="shared" si="47"/>
        <v>0</v>
      </c>
      <c r="N206" s="67">
        <f t="shared" si="47"/>
        <v>0</v>
      </c>
      <c r="O206" s="67">
        <f t="shared" si="47"/>
        <v>0</v>
      </c>
      <c r="P206" s="67">
        <f t="shared" si="47"/>
        <v>0</v>
      </c>
      <c r="Q206" s="67">
        <f t="shared" si="47"/>
        <v>0</v>
      </c>
      <c r="R206" s="67">
        <f t="shared" si="47"/>
        <v>0</v>
      </c>
      <c r="S206" s="67">
        <f t="shared" si="47"/>
        <v>0</v>
      </c>
      <c r="T206" s="67">
        <f t="shared" si="47"/>
        <v>0</v>
      </c>
      <c r="U206" s="67">
        <f t="shared" si="47"/>
        <v>0</v>
      </c>
      <c r="V206" s="67">
        <f t="shared" si="47"/>
        <v>0</v>
      </c>
      <c r="W206" s="67">
        <f t="shared" si="47"/>
        <v>0</v>
      </c>
      <c r="X206" s="67">
        <f t="shared" si="47"/>
        <v>0</v>
      </c>
      <c r="Y206" s="67">
        <f t="shared" si="47"/>
        <v>0</v>
      </c>
      <c r="Z206" s="67">
        <f t="shared" si="47"/>
        <v>0</v>
      </c>
      <c r="AA206" s="67">
        <f t="shared" si="47"/>
        <v>0</v>
      </c>
      <c r="AB206" s="67">
        <f t="shared" si="47"/>
        <v>0</v>
      </c>
      <c r="AC206" s="67">
        <f t="shared" si="47"/>
        <v>0</v>
      </c>
      <c r="AD206" s="67">
        <f t="shared" si="47"/>
        <v>0</v>
      </c>
      <c r="AE206" s="67">
        <f t="shared" si="47"/>
        <v>0</v>
      </c>
      <c r="AF206" s="67">
        <f t="shared" si="47"/>
        <v>0</v>
      </c>
      <c r="AG206" s="67">
        <f>SUM(F206:AF206)</f>
        <v>65929700</v>
      </c>
      <c r="AH206">
        <v>204</v>
      </c>
    </row>
    <row r="207" spans="3:34" x14ac:dyDescent="0.25">
      <c r="D207">
        <v>2950</v>
      </c>
      <c r="E207" t="s">
        <v>266</v>
      </c>
      <c r="F207" s="4">
        <v>0</v>
      </c>
      <c r="G207" s="4">
        <v>65929700</v>
      </c>
      <c r="H207" s="4">
        <v>0</v>
      </c>
      <c r="I207" s="4">
        <v>0</v>
      </c>
      <c r="J207" s="4">
        <v>0</v>
      </c>
      <c r="K207" s="4">
        <v>0</v>
      </c>
      <c r="L207" s="4">
        <v>0</v>
      </c>
      <c r="M207" s="4">
        <v>0</v>
      </c>
      <c r="N207" s="4">
        <v>0</v>
      </c>
      <c r="O207" s="4">
        <v>0</v>
      </c>
      <c r="P207" s="4">
        <v>0</v>
      </c>
      <c r="Q207" s="4"/>
      <c r="R207" s="4">
        <v>0</v>
      </c>
      <c r="S207" s="4">
        <v>0</v>
      </c>
      <c r="T207" s="4">
        <v>0</v>
      </c>
      <c r="U207" s="4"/>
      <c r="V207" s="4">
        <v>0</v>
      </c>
      <c r="W207" s="4">
        <v>0</v>
      </c>
      <c r="X207" s="4">
        <v>0</v>
      </c>
      <c r="Y207" s="4">
        <v>0</v>
      </c>
      <c r="Z207" s="4">
        <v>0</v>
      </c>
      <c r="AA207" s="4">
        <v>0</v>
      </c>
      <c r="AB207" s="4">
        <v>0</v>
      </c>
      <c r="AC207" s="4"/>
      <c r="AD207" s="4">
        <v>0</v>
      </c>
      <c r="AE207" s="4">
        <v>0</v>
      </c>
      <c r="AF207" s="4">
        <v>0</v>
      </c>
      <c r="AG207" s="31">
        <f>SUM(F207:AF207)</f>
        <v>65929700</v>
      </c>
      <c r="AH207">
        <v>205</v>
      </c>
    </row>
    <row r="208" spans="3:34" x14ac:dyDescent="0.25">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31"/>
      <c r="AH208">
        <v>206</v>
      </c>
    </row>
    <row r="209" spans="3:34" x14ac:dyDescent="0.25">
      <c r="C209" s="66">
        <v>296</v>
      </c>
      <c r="D209" s="66"/>
      <c r="E209" s="66" t="s">
        <v>267</v>
      </c>
      <c r="F209" s="67">
        <f>F210</f>
        <v>0</v>
      </c>
      <c r="G209" s="67">
        <f t="shared" ref="G209:AF209" si="48">G210</f>
        <v>0</v>
      </c>
      <c r="H209" s="67">
        <f t="shared" si="48"/>
        <v>0</v>
      </c>
      <c r="I209" s="67">
        <f t="shared" si="48"/>
        <v>0</v>
      </c>
      <c r="J209" s="67">
        <f t="shared" si="48"/>
        <v>0</v>
      </c>
      <c r="K209" s="67">
        <f t="shared" si="48"/>
        <v>0</v>
      </c>
      <c r="L209" s="67">
        <f t="shared" si="48"/>
        <v>0</v>
      </c>
      <c r="M209" s="67">
        <f t="shared" si="48"/>
        <v>0</v>
      </c>
      <c r="N209" s="67">
        <f t="shared" si="48"/>
        <v>0</v>
      </c>
      <c r="O209" s="67">
        <f t="shared" si="48"/>
        <v>0</v>
      </c>
      <c r="P209" s="67">
        <f t="shared" si="48"/>
        <v>0</v>
      </c>
      <c r="Q209" s="67">
        <f t="shared" si="48"/>
        <v>0</v>
      </c>
      <c r="R209" s="67">
        <f t="shared" si="48"/>
        <v>0</v>
      </c>
      <c r="S209" s="67">
        <f t="shared" si="48"/>
        <v>0</v>
      </c>
      <c r="T209" s="67">
        <f t="shared" si="48"/>
        <v>0</v>
      </c>
      <c r="U209" s="67">
        <f t="shared" si="48"/>
        <v>0</v>
      </c>
      <c r="V209" s="67">
        <f t="shared" si="48"/>
        <v>0</v>
      </c>
      <c r="W209" s="67">
        <f t="shared" si="48"/>
        <v>0</v>
      </c>
      <c r="X209" s="67">
        <f t="shared" si="48"/>
        <v>0</v>
      </c>
      <c r="Y209" s="67">
        <f t="shared" si="48"/>
        <v>0</v>
      </c>
      <c r="Z209" s="67">
        <f t="shared" si="48"/>
        <v>0</v>
      </c>
      <c r="AA209" s="67">
        <f t="shared" si="48"/>
        <v>0</v>
      </c>
      <c r="AB209" s="67">
        <f t="shared" si="48"/>
        <v>0</v>
      </c>
      <c r="AC209" s="67">
        <f t="shared" si="48"/>
        <v>0</v>
      </c>
      <c r="AD209" s="67">
        <f t="shared" si="48"/>
        <v>0</v>
      </c>
      <c r="AE209" s="67">
        <f t="shared" si="48"/>
        <v>0</v>
      </c>
      <c r="AF209" s="67">
        <f t="shared" si="48"/>
        <v>0</v>
      </c>
      <c r="AG209" s="67">
        <f>SUM(F209:AF209)</f>
        <v>0</v>
      </c>
      <c r="AH209">
        <v>207</v>
      </c>
    </row>
    <row r="210" spans="3:34" x14ac:dyDescent="0.25">
      <c r="D210">
        <v>2960</v>
      </c>
      <c r="E210" t="s">
        <v>267</v>
      </c>
      <c r="F210" s="4">
        <v>0</v>
      </c>
      <c r="G210" s="4">
        <v>0</v>
      </c>
      <c r="H210" s="4">
        <v>0</v>
      </c>
      <c r="I210" s="4">
        <v>0</v>
      </c>
      <c r="J210" s="4">
        <v>0</v>
      </c>
      <c r="K210" s="4">
        <v>0</v>
      </c>
      <c r="L210" s="4">
        <v>0</v>
      </c>
      <c r="M210" s="4">
        <v>0</v>
      </c>
      <c r="N210" s="4">
        <v>0</v>
      </c>
      <c r="O210" s="4">
        <v>0</v>
      </c>
      <c r="P210" s="4">
        <v>0</v>
      </c>
      <c r="Q210" s="4"/>
      <c r="R210" s="4">
        <v>0</v>
      </c>
      <c r="S210" s="4">
        <v>0</v>
      </c>
      <c r="T210" s="4">
        <v>0</v>
      </c>
      <c r="U210" s="4"/>
      <c r="V210" s="4">
        <v>0</v>
      </c>
      <c r="W210" s="4">
        <v>0</v>
      </c>
      <c r="X210" s="4">
        <v>0</v>
      </c>
      <c r="Y210" s="4">
        <v>0</v>
      </c>
      <c r="Z210" s="4">
        <v>0</v>
      </c>
      <c r="AA210" s="4">
        <v>0</v>
      </c>
      <c r="AB210" s="4">
        <v>0</v>
      </c>
      <c r="AC210" s="4"/>
      <c r="AD210" s="4">
        <v>0</v>
      </c>
      <c r="AE210" s="4">
        <v>0</v>
      </c>
      <c r="AF210" s="4">
        <v>0</v>
      </c>
      <c r="AG210" s="31">
        <f>SUM(F210:AF210)</f>
        <v>0</v>
      </c>
      <c r="AH210">
        <v>208</v>
      </c>
    </row>
    <row r="211" spans="3:34" x14ac:dyDescent="0.25">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31"/>
      <c r="AH211">
        <v>209</v>
      </c>
    </row>
    <row r="212" spans="3:34" x14ac:dyDescent="0.25">
      <c r="C212" s="66">
        <v>298</v>
      </c>
      <c r="D212" s="66"/>
      <c r="E212" s="66" t="s">
        <v>268</v>
      </c>
      <c r="F212" s="67">
        <f>F213</f>
        <v>0</v>
      </c>
      <c r="G212" s="67">
        <f t="shared" ref="G212:AF212" si="49">G213</f>
        <v>0</v>
      </c>
      <c r="H212" s="67">
        <f t="shared" si="49"/>
        <v>0</v>
      </c>
      <c r="I212" s="67">
        <f t="shared" si="49"/>
        <v>0</v>
      </c>
      <c r="J212" s="67">
        <f t="shared" si="49"/>
        <v>0</v>
      </c>
      <c r="K212" s="67">
        <f t="shared" si="49"/>
        <v>0</v>
      </c>
      <c r="L212" s="67">
        <f t="shared" si="49"/>
        <v>0</v>
      </c>
      <c r="M212" s="67">
        <f t="shared" si="49"/>
        <v>0</v>
      </c>
      <c r="N212" s="67">
        <f t="shared" si="49"/>
        <v>0</v>
      </c>
      <c r="O212" s="67">
        <f t="shared" si="49"/>
        <v>0</v>
      </c>
      <c r="P212" s="67">
        <f t="shared" si="49"/>
        <v>0</v>
      </c>
      <c r="Q212" s="67">
        <f t="shared" si="49"/>
        <v>0</v>
      </c>
      <c r="R212" s="67">
        <f t="shared" si="49"/>
        <v>0</v>
      </c>
      <c r="S212" s="67">
        <f t="shared" si="49"/>
        <v>0</v>
      </c>
      <c r="T212" s="67">
        <f t="shared" si="49"/>
        <v>0</v>
      </c>
      <c r="U212" s="67">
        <f t="shared" si="49"/>
        <v>0</v>
      </c>
      <c r="V212" s="67">
        <f t="shared" si="49"/>
        <v>0</v>
      </c>
      <c r="W212" s="67">
        <f t="shared" si="49"/>
        <v>0</v>
      </c>
      <c r="X212" s="67">
        <f t="shared" si="49"/>
        <v>0</v>
      </c>
      <c r="Y212" s="67">
        <f t="shared" si="49"/>
        <v>0</v>
      </c>
      <c r="Z212" s="67">
        <f t="shared" si="49"/>
        <v>0</v>
      </c>
      <c r="AA212" s="67">
        <f t="shared" si="49"/>
        <v>0</v>
      </c>
      <c r="AB212" s="67">
        <f t="shared" si="49"/>
        <v>0</v>
      </c>
      <c r="AC212" s="67">
        <f t="shared" si="49"/>
        <v>0</v>
      </c>
      <c r="AD212" s="67">
        <f t="shared" si="49"/>
        <v>0</v>
      </c>
      <c r="AE212" s="67">
        <f t="shared" si="49"/>
        <v>0</v>
      </c>
      <c r="AF212" s="67">
        <f t="shared" si="49"/>
        <v>0</v>
      </c>
      <c r="AG212" s="67">
        <f>SUM(F212:AF212)</f>
        <v>0</v>
      </c>
      <c r="AH212">
        <v>210</v>
      </c>
    </row>
    <row r="213" spans="3:34" x14ac:dyDescent="0.25">
      <c r="D213">
        <v>2980</v>
      </c>
      <c r="E213" t="s">
        <v>268</v>
      </c>
      <c r="F213" s="4">
        <v>0</v>
      </c>
      <c r="G213" s="4">
        <v>0</v>
      </c>
      <c r="H213" s="4">
        <v>0</v>
      </c>
      <c r="I213" s="4">
        <v>0</v>
      </c>
      <c r="J213" s="4">
        <v>0</v>
      </c>
      <c r="K213" s="4">
        <v>0</v>
      </c>
      <c r="L213" s="4">
        <v>0</v>
      </c>
      <c r="M213" s="4">
        <v>0</v>
      </c>
      <c r="N213" s="4">
        <v>0</v>
      </c>
      <c r="O213" s="4">
        <v>0</v>
      </c>
      <c r="P213" s="4">
        <v>0</v>
      </c>
      <c r="Q213" s="4"/>
      <c r="R213" s="4">
        <v>0</v>
      </c>
      <c r="S213" s="4">
        <v>0</v>
      </c>
      <c r="T213" s="4">
        <v>0</v>
      </c>
      <c r="U213" s="4"/>
      <c r="V213" s="4">
        <v>0</v>
      </c>
      <c r="W213" s="4">
        <v>0</v>
      </c>
      <c r="X213" s="4">
        <v>0</v>
      </c>
      <c r="Y213" s="4">
        <v>0</v>
      </c>
      <c r="Z213" s="4">
        <v>0</v>
      </c>
      <c r="AA213" s="4">
        <v>0</v>
      </c>
      <c r="AB213" s="4">
        <v>0</v>
      </c>
      <c r="AC213" s="4"/>
      <c r="AD213" s="4">
        <v>0</v>
      </c>
      <c r="AE213" s="4">
        <v>0</v>
      </c>
      <c r="AF213" s="4">
        <v>0</v>
      </c>
      <c r="AG213" s="31">
        <f>SUM(F213:AF213)</f>
        <v>0</v>
      </c>
      <c r="AH213">
        <v>211</v>
      </c>
    </row>
    <row r="214" spans="3:34" x14ac:dyDescent="0.25">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31"/>
      <c r="AH214">
        <v>212</v>
      </c>
    </row>
    <row r="215" spans="3:34" x14ac:dyDescent="0.25">
      <c r="C215" s="66">
        <v>299</v>
      </c>
      <c r="D215" s="66"/>
      <c r="E215" s="66" t="s">
        <v>444</v>
      </c>
      <c r="F215" s="67">
        <f>F216+F217</f>
        <v>768182.21</v>
      </c>
      <c r="G215" s="67">
        <f t="shared" ref="G215:AF215" si="50">G216+G217</f>
        <v>0</v>
      </c>
      <c r="H215" s="67">
        <f t="shared" si="50"/>
        <v>56554.45</v>
      </c>
      <c r="I215" s="67">
        <f t="shared" si="50"/>
        <v>2013541.4</v>
      </c>
      <c r="J215" s="67">
        <f t="shared" si="50"/>
        <v>0</v>
      </c>
      <c r="K215" s="67">
        <f t="shared" si="50"/>
        <v>0</v>
      </c>
      <c r="L215" s="67">
        <f t="shared" si="50"/>
        <v>0</v>
      </c>
      <c r="M215" s="67">
        <f t="shared" si="50"/>
        <v>456775.95999999996</v>
      </c>
      <c r="N215" s="67">
        <f t="shared" si="50"/>
        <v>0</v>
      </c>
      <c r="O215" s="67">
        <f t="shared" si="50"/>
        <v>21341.24</v>
      </c>
      <c r="P215" s="67">
        <f t="shared" si="50"/>
        <v>849302.91999999993</v>
      </c>
      <c r="Q215" s="67">
        <f t="shared" si="50"/>
        <v>0</v>
      </c>
      <c r="R215" s="67">
        <f t="shared" si="50"/>
        <v>2570.59</v>
      </c>
      <c r="S215" s="67">
        <f t="shared" si="50"/>
        <v>39531.899999999994</v>
      </c>
      <c r="T215" s="67">
        <f t="shared" si="50"/>
        <v>5669.75</v>
      </c>
      <c r="U215" s="67">
        <f t="shared" si="50"/>
        <v>0</v>
      </c>
      <c r="V215" s="67">
        <f t="shared" si="50"/>
        <v>371669.66000000003</v>
      </c>
      <c r="W215" s="67">
        <f t="shared" si="50"/>
        <v>0</v>
      </c>
      <c r="X215" s="67">
        <f t="shared" si="50"/>
        <v>26664.899999999998</v>
      </c>
      <c r="Y215" s="67">
        <f>Y216+Y217</f>
        <v>780721.75</v>
      </c>
      <c r="Z215" s="67">
        <f t="shared" si="50"/>
        <v>958472.09</v>
      </c>
      <c r="AA215" s="67">
        <f t="shared" si="50"/>
        <v>269070.58</v>
      </c>
      <c r="AB215" s="67">
        <f t="shared" si="50"/>
        <v>0</v>
      </c>
      <c r="AC215" s="67">
        <f t="shared" si="50"/>
        <v>0</v>
      </c>
      <c r="AD215" s="67">
        <f t="shared" si="50"/>
        <v>0</v>
      </c>
      <c r="AE215" s="67">
        <f t="shared" si="50"/>
        <v>194376.68</v>
      </c>
      <c r="AF215" s="67">
        <f t="shared" si="50"/>
        <v>-30153.85</v>
      </c>
      <c r="AG215" s="67">
        <f>SUM(F215:AF215)</f>
        <v>6784292.2300000004</v>
      </c>
      <c r="AH215">
        <v>213</v>
      </c>
    </row>
    <row r="216" spans="3:34" x14ac:dyDescent="0.25">
      <c r="D216">
        <v>2990</v>
      </c>
      <c r="E216" t="s">
        <v>444</v>
      </c>
      <c r="F216" s="4">
        <v>0</v>
      </c>
      <c r="G216" s="4">
        <v>0</v>
      </c>
      <c r="H216" s="4">
        <v>-1314.47</v>
      </c>
      <c r="I216" s="4">
        <v>0</v>
      </c>
      <c r="J216" s="4">
        <v>0</v>
      </c>
      <c r="K216" s="4">
        <v>0</v>
      </c>
      <c r="L216" s="4">
        <v>0</v>
      </c>
      <c r="M216" s="4">
        <v>107448.47</v>
      </c>
      <c r="N216" s="4">
        <v>0</v>
      </c>
      <c r="O216" s="4">
        <v>0</v>
      </c>
      <c r="P216" s="4">
        <v>144824.95999999999</v>
      </c>
      <c r="Q216" s="4"/>
      <c r="R216" s="4">
        <v>0</v>
      </c>
      <c r="S216" s="4">
        <v>1602.7</v>
      </c>
      <c r="T216" s="4">
        <v>1464.7</v>
      </c>
      <c r="U216" s="4"/>
      <c r="V216" s="4">
        <v>34359.129999999997</v>
      </c>
      <c r="W216" s="4">
        <v>0</v>
      </c>
      <c r="X216" s="4">
        <v>3124.35</v>
      </c>
      <c r="Y216" s="4">
        <v>10069.08</v>
      </c>
      <c r="Z216" s="4">
        <v>-7161.02</v>
      </c>
      <c r="AA216" s="4">
        <v>-73122.55</v>
      </c>
      <c r="AB216" s="4">
        <v>0</v>
      </c>
      <c r="AC216" s="4"/>
      <c r="AD216" s="4">
        <v>0</v>
      </c>
      <c r="AE216" s="4">
        <v>36333.32</v>
      </c>
      <c r="AF216" s="4">
        <v>-30153.85</v>
      </c>
      <c r="AG216" s="31">
        <f>SUM(F216:AF216)</f>
        <v>227474.81999999998</v>
      </c>
      <c r="AH216">
        <v>214</v>
      </c>
    </row>
    <row r="217" spans="3:34" x14ac:dyDescent="0.25">
      <c r="D217">
        <v>2999</v>
      </c>
      <c r="E217" t="s">
        <v>582</v>
      </c>
      <c r="F217" s="4">
        <v>768182.21</v>
      </c>
      <c r="G217" s="4">
        <v>0</v>
      </c>
      <c r="H217" s="4">
        <v>57868.92</v>
      </c>
      <c r="I217" s="4">
        <v>2013541.4</v>
      </c>
      <c r="J217" s="4">
        <v>0</v>
      </c>
      <c r="K217" s="4">
        <v>0</v>
      </c>
      <c r="L217" s="4">
        <v>0</v>
      </c>
      <c r="M217" s="4">
        <v>349327.49</v>
      </c>
      <c r="N217" s="4">
        <v>0</v>
      </c>
      <c r="O217" s="4">
        <v>21341.24</v>
      </c>
      <c r="P217" s="170">
        <v>704477.96</v>
      </c>
      <c r="Q217" s="4"/>
      <c r="R217" s="4">
        <v>2570.59</v>
      </c>
      <c r="S217" s="4">
        <v>37929.199999999997</v>
      </c>
      <c r="T217" s="4">
        <v>4205.05</v>
      </c>
      <c r="U217" s="4"/>
      <c r="V217" s="4">
        <v>337310.53</v>
      </c>
      <c r="W217" s="4">
        <v>0</v>
      </c>
      <c r="X217" s="4">
        <v>23540.55</v>
      </c>
      <c r="Y217" s="4">
        <v>770652.67</v>
      </c>
      <c r="Z217" s="4">
        <v>965633.11</v>
      </c>
      <c r="AA217" s="4">
        <v>342193.13</v>
      </c>
      <c r="AB217" s="4">
        <v>0</v>
      </c>
      <c r="AC217" s="4"/>
      <c r="AD217" s="4">
        <v>0</v>
      </c>
      <c r="AE217" s="4">
        <v>158043.35999999999</v>
      </c>
      <c r="AF217" s="4">
        <v>0</v>
      </c>
      <c r="AG217" s="31">
        <f>SUM(F217:AF217)</f>
        <v>6556817.4100000001</v>
      </c>
      <c r="AH217">
        <v>215</v>
      </c>
    </row>
    <row r="218" spans="3:34" x14ac:dyDescent="0.25">
      <c r="F218" s="4"/>
      <c r="G218" s="4"/>
      <c r="H218" s="4"/>
      <c r="I218" s="165"/>
      <c r="J218" s="4"/>
      <c r="K218" s="4"/>
      <c r="L218" s="4"/>
      <c r="M218" s="4"/>
      <c r="N218" s="4"/>
      <c r="O218" s="4"/>
      <c r="P218" s="30"/>
      <c r="Q218" s="4"/>
      <c r="R218" s="4"/>
      <c r="S218" s="4"/>
      <c r="T218" s="4"/>
      <c r="U218" s="4"/>
      <c r="V218" s="4"/>
      <c r="W218" s="4"/>
      <c r="X218" s="4"/>
      <c r="Y218" s="4"/>
      <c r="Z218" s="4"/>
      <c r="AA218" s="4"/>
      <c r="AB218" s="4"/>
      <c r="AC218" s="4"/>
      <c r="AD218" s="4"/>
      <c r="AE218" s="4"/>
      <c r="AF218" s="4"/>
      <c r="AG218" s="31"/>
      <c r="AH218">
        <v>216</v>
      </c>
    </row>
    <row r="219" spans="3:34" x14ac:dyDescent="0.25">
      <c r="C219" s="128"/>
      <c r="D219" s="128"/>
      <c r="E219" s="128" t="s">
        <v>587</v>
      </c>
      <c r="AH219">
        <v>217</v>
      </c>
    </row>
    <row r="220" spans="3:34" x14ac:dyDescent="0.25">
      <c r="D220">
        <v>290</v>
      </c>
      <c r="E220" t="s">
        <v>832</v>
      </c>
      <c r="F220" s="4">
        <f>'Syndicats comptes 2021'!E155</f>
        <v>0</v>
      </c>
      <c r="G220" s="4">
        <f>'Syndicats comptes 2021'!F155</f>
        <v>0</v>
      </c>
      <c r="H220" s="4">
        <f>'Syndicats comptes 2021'!G155</f>
        <v>0</v>
      </c>
      <c r="I220" s="4">
        <f>'Syndicats comptes 2021'!H155</f>
        <v>0</v>
      </c>
      <c r="J220" s="4">
        <f>'Syndicats comptes 2021'!I155</f>
        <v>0</v>
      </c>
      <c r="K220" s="4">
        <f>'Syndicats comptes 2021'!J155</f>
        <v>0</v>
      </c>
      <c r="L220" s="4">
        <f>'Syndicats comptes 2021'!K155</f>
        <v>0</v>
      </c>
      <c r="M220" s="4">
        <f>'Syndicats comptes 2021'!L155</f>
        <v>0</v>
      </c>
      <c r="N220" s="4">
        <f>'Syndicats comptes 2021'!M155</f>
        <v>0</v>
      </c>
      <c r="O220" s="4">
        <f>'Syndicats comptes 2021'!N155</f>
        <v>0</v>
      </c>
      <c r="P220" s="4">
        <f>'Syndicats comptes 2021'!O155</f>
        <v>144824.95999999999</v>
      </c>
      <c r="Q220" s="4">
        <f>'Syndicats comptes 2021'!P155</f>
        <v>0</v>
      </c>
      <c r="R220" s="4">
        <f>'Syndicats comptes 2021'!Q155</f>
        <v>0</v>
      </c>
      <c r="S220" s="4">
        <f>'Syndicats comptes 2021'!R155</f>
        <v>0</v>
      </c>
      <c r="T220" s="4">
        <f>'Syndicats comptes 2021'!S155</f>
        <v>0</v>
      </c>
      <c r="U220" s="4">
        <f>'Syndicats comptes 2021'!T155</f>
        <v>0</v>
      </c>
      <c r="V220" s="4">
        <f>'Syndicats comptes 2021'!U155</f>
        <v>0</v>
      </c>
      <c r="W220" s="4">
        <f>'Syndicats comptes 2021'!V155</f>
        <v>0</v>
      </c>
      <c r="X220" s="4">
        <f>'Syndicats comptes 2021'!W155</f>
        <v>0</v>
      </c>
      <c r="Y220" s="4">
        <f>'Syndicats comptes 2021'!X155</f>
        <v>0</v>
      </c>
      <c r="Z220" s="4">
        <f>'Syndicats comptes 2021'!Y155</f>
        <v>-61179.19</v>
      </c>
      <c r="AA220" s="4">
        <f>'Syndicats comptes 2021'!Z155</f>
        <v>0</v>
      </c>
      <c r="AB220" s="4">
        <f>'Syndicats comptes 2021'!AA155</f>
        <v>0</v>
      </c>
      <c r="AC220" s="4">
        <f>'Syndicats comptes 2021'!AB155</f>
        <v>0</v>
      </c>
      <c r="AD220" s="4">
        <f>'Syndicats comptes 2021'!AC155</f>
        <v>0</v>
      </c>
      <c r="AE220" s="4">
        <f>'Syndicats comptes 2021'!AD155</f>
        <v>0</v>
      </c>
      <c r="AF220" s="4">
        <f>'Syndicats comptes 2021'!AE155</f>
        <v>0</v>
      </c>
      <c r="AG220" s="4">
        <f>'Syndicats comptes 2021'!AF155</f>
        <v>83645.76999999999</v>
      </c>
      <c r="AH220">
        <v>218</v>
      </c>
    </row>
    <row r="221" spans="3:34" x14ac:dyDescent="0.25">
      <c r="D221">
        <v>2990</v>
      </c>
      <c r="E221" t="s">
        <v>833</v>
      </c>
      <c r="F221" s="4">
        <f>F216</f>
        <v>0</v>
      </c>
      <c r="G221" s="4">
        <f t="shared" ref="G221:AG221" si="51">G216</f>
        <v>0</v>
      </c>
      <c r="H221" s="4">
        <f t="shared" si="51"/>
        <v>-1314.47</v>
      </c>
      <c r="I221" s="4">
        <f t="shared" si="51"/>
        <v>0</v>
      </c>
      <c r="J221" s="4">
        <f t="shared" si="51"/>
        <v>0</v>
      </c>
      <c r="K221" s="4">
        <f t="shared" si="51"/>
        <v>0</v>
      </c>
      <c r="L221" s="4">
        <f t="shared" si="51"/>
        <v>0</v>
      </c>
      <c r="M221" s="4">
        <f t="shared" si="51"/>
        <v>107448.47</v>
      </c>
      <c r="N221" s="4">
        <f t="shared" si="51"/>
        <v>0</v>
      </c>
      <c r="O221" s="4">
        <f t="shared" si="51"/>
        <v>0</v>
      </c>
      <c r="P221" s="4">
        <f t="shared" si="51"/>
        <v>144824.95999999999</v>
      </c>
      <c r="Q221" s="4">
        <f t="shared" si="51"/>
        <v>0</v>
      </c>
      <c r="R221" s="4">
        <f t="shared" si="51"/>
        <v>0</v>
      </c>
      <c r="S221" s="4">
        <f t="shared" si="51"/>
        <v>1602.7</v>
      </c>
      <c r="T221" s="4">
        <f t="shared" si="51"/>
        <v>1464.7</v>
      </c>
      <c r="U221" s="4">
        <f t="shared" si="51"/>
        <v>0</v>
      </c>
      <c r="V221" s="4">
        <f t="shared" si="51"/>
        <v>34359.129999999997</v>
      </c>
      <c r="W221" s="4">
        <f t="shared" si="51"/>
        <v>0</v>
      </c>
      <c r="X221" s="4">
        <f t="shared" si="51"/>
        <v>3124.35</v>
      </c>
      <c r="Y221" s="4">
        <f t="shared" si="51"/>
        <v>10069.08</v>
      </c>
      <c r="Z221" s="4">
        <f t="shared" si="51"/>
        <v>-7161.02</v>
      </c>
      <c r="AA221" s="4">
        <f t="shared" si="51"/>
        <v>-73122.55</v>
      </c>
      <c r="AB221" s="4">
        <f t="shared" si="51"/>
        <v>0</v>
      </c>
      <c r="AC221" s="4">
        <f t="shared" si="51"/>
        <v>0</v>
      </c>
      <c r="AD221" s="4">
        <f t="shared" si="51"/>
        <v>0</v>
      </c>
      <c r="AE221" s="4">
        <f t="shared" si="51"/>
        <v>36333.32</v>
      </c>
      <c r="AF221" s="4">
        <f t="shared" si="51"/>
        <v>-30153.85</v>
      </c>
      <c r="AG221" s="4">
        <f t="shared" si="51"/>
        <v>227474.81999999998</v>
      </c>
      <c r="AH221">
        <v>219</v>
      </c>
    </row>
    <row r="222" spans="3:34" x14ac:dyDescent="0.25">
      <c r="AH222">
        <v>220</v>
      </c>
    </row>
    <row r="223" spans="3:34" x14ac:dyDescent="0.25">
      <c r="E223" s="7" t="s">
        <v>834</v>
      </c>
      <c r="F223" s="31">
        <f>F220+F221</f>
        <v>0</v>
      </c>
      <c r="G223" s="31">
        <f t="shared" ref="G223:AG223" si="52">G220+G221</f>
        <v>0</v>
      </c>
      <c r="H223" s="31">
        <f t="shared" si="52"/>
        <v>-1314.47</v>
      </c>
      <c r="I223" s="31">
        <f t="shared" si="52"/>
        <v>0</v>
      </c>
      <c r="J223" s="31">
        <f t="shared" si="52"/>
        <v>0</v>
      </c>
      <c r="K223" s="31">
        <f t="shared" si="52"/>
        <v>0</v>
      </c>
      <c r="L223" s="31">
        <f t="shared" si="52"/>
        <v>0</v>
      </c>
      <c r="M223" s="31">
        <f t="shared" si="52"/>
        <v>107448.47</v>
      </c>
      <c r="N223" s="31">
        <f t="shared" si="52"/>
        <v>0</v>
      </c>
      <c r="O223" s="31">
        <f t="shared" si="52"/>
        <v>0</v>
      </c>
      <c r="P223" s="31">
        <f t="shared" si="52"/>
        <v>289649.91999999998</v>
      </c>
      <c r="Q223" s="31">
        <f t="shared" si="52"/>
        <v>0</v>
      </c>
      <c r="R223" s="31">
        <f t="shared" si="52"/>
        <v>0</v>
      </c>
      <c r="S223" s="31">
        <f t="shared" si="52"/>
        <v>1602.7</v>
      </c>
      <c r="T223" s="31">
        <f t="shared" si="52"/>
        <v>1464.7</v>
      </c>
      <c r="U223" s="31">
        <f t="shared" si="52"/>
        <v>0</v>
      </c>
      <c r="V223" s="31">
        <f t="shared" si="52"/>
        <v>34359.129999999997</v>
      </c>
      <c r="W223" s="31">
        <f t="shared" si="52"/>
        <v>0</v>
      </c>
      <c r="X223" s="31">
        <f t="shared" si="52"/>
        <v>3124.35</v>
      </c>
      <c r="Y223" s="31">
        <f t="shared" si="52"/>
        <v>10069.08</v>
      </c>
      <c r="Z223" s="31">
        <f t="shared" si="52"/>
        <v>-68340.210000000006</v>
      </c>
      <c r="AA223" s="31">
        <f t="shared" si="52"/>
        <v>-73122.55</v>
      </c>
      <c r="AB223" s="31">
        <f t="shared" si="52"/>
        <v>0</v>
      </c>
      <c r="AC223" s="31">
        <f t="shared" si="52"/>
        <v>0</v>
      </c>
      <c r="AD223" s="31">
        <f t="shared" si="52"/>
        <v>0</v>
      </c>
      <c r="AE223" s="31">
        <f>AE220+AE221</f>
        <v>36333.32</v>
      </c>
      <c r="AF223" s="31">
        <f t="shared" si="52"/>
        <v>-30153.85</v>
      </c>
      <c r="AG223" s="31">
        <f t="shared" si="52"/>
        <v>311120.58999999997</v>
      </c>
      <c r="AH223">
        <v>221</v>
      </c>
    </row>
    <row r="224" spans="3:34" x14ac:dyDescent="0.25">
      <c r="N224" s="4"/>
      <c r="AG224" s="4"/>
      <c r="AH224">
        <v>222</v>
      </c>
    </row>
    <row r="225" spans="5:34" x14ac:dyDescent="0.25">
      <c r="E225" s="48" t="s">
        <v>588</v>
      </c>
      <c r="F225" s="30">
        <f>F4-F120</f>
        <v>0</v>
      </c>
      <c r="G225" s="30">
        <f t="shared" ref="G225:AG225" si="53">G4-G120</f>
        <v>0</v>
      </c>
      <c r="H225" s="30">
        <f t="shared" si="53"/>
        <v>0</v>
      </c>
      <c r="I225" s="30">
        <f t="shared" si="53"/>
        <v>0</v>
      </c>
      <c r="J225" s="30">
        <f t="shared" si="53"/>
        <v>0</v>
      </c>
      <c r="K225" s="30">
        <f t="shared" si="53"/>
        <v>0</v>
      </c>
      <c r="L225" s="30">
        <f t="shared" si="53"/>
        <v>0</v>
      </c>
      <c r="M225" s="30">
        <f t="shared" si="53"/>
        <v>0</v>
      </c>
      <c r="N225" s="30">
        <f t="shared" si="53"/>
        <v>0</v>
      </c>
      <c r="O225" s="30">
        <f t="shared" si="53"/>
        <v>0</v>
      </c>
      <c r="P225" s="30">
        <f t="shared" si="53"/>
        <v>0</v>
      </c>
      <c r="Q225" s="30">
        <f t="shared" si="53"/>
        <v>0</v>
      </c>
      <c r="R225" s="30">
        <f t="shared" si="53"/>
        <v>0</v>
      </c>
      <c r="S225" s="30">
        <f t="shared" si="53"/>
        <v>0</v>
      </c>
      <c r="T225" s="30">
        <f t="shared" si="53"/>
        <v>0</v>
      </c>
      <c r="U225" s="30">
        <f t="shared" si="53"/>
        <v>0</v>
      </c>
      <c r="V225" s="30">
        <f t="shared" si="53"/>
        <v>0</v>
      </c>
      <c r="W225" s="30">
        <f t="shared" si="53"/>
        <v>0</v>
      </c>
      <c r="X225" s="30">
        <f t="shared" si="53"/>
        <v>0</v>
      </c>
      <c r="Y225" s="30">
        <f t="shared" si="53"/>
        <v>0</v>
      </c>
      <c r="Z225" s="30">
        <f t="shared" si="53"/>
        <v>0</v>
      </c>
      <c r="AA225" s="30">
        <f t="shared" si="53"/>
        <v>0</v>
      </c>
      <c r="AB225" s="30">
        <f t="shared" si="53"/>
        <v>0</v>
      </c>
      <c r="AC225" s="30">
        <f t="shared" si="53"/>
        <v>0</v>
      </c>
      <c r="AD225" s="30">
        <f t="shared" si="53"/>
        <v>0</v>
      </c>
      <c r="AE225" s="30">
        <f t="shared" si="53"/>
        <v>0</v>
      </c>
      <c r="AF225" s="30">
        <f t="shared" si="53"/>
        <v>0</v>
      </c>
      <c r="AG225" s="30">
        <f t="shared" si="53"/>
        <v>0</v>
      </c>
      <c r="AH225">
        <v>223</v>
      </c>
    </row>
    <row r="226" spans="5:34" x14ac:dyDescent="0.25">
      <c r="AH226">
        <v>224</v>
      </c>
    </row>
    <row r="227" spans="5:34" x14ac:dyDescent="0.25">
      <c r="AE227" s="4"/>
    </row>
  </sheetData>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F229"/>
  <sheetViews>
    <sheetView workbookViewId="0">
      <selection activeCell="A2" sqref="A2"/>
    </sheetView>
  </sheetViews>
  <sheetFormatPr baseColWidth="10" defaultColWidth="11.42578125" defaultRowHeight="15" x14ac:dyDescent="0.25"/>
  <cols>
    <col min="1" max="3" width="4.7109375" customWidth="1"/>
    <col min="4" max="4" width="9" customWidth="1"/>
    <col min="5" max="5" width="63.5703125" customWidth="1"/>
    <col min="6" max="6" width="22.7109375" customWidth="1"/>
  </cols>
  <sheetData>
    <row r="1" spans="1:6" ht="26.25" x14ac:dyDescent="0.4">
      <c r="A1" s="32" t="s">
        <v>861</v>
      </c>
      <c r="B1" s="7"/>
      <c r="C1" s="7"/>
      <c r="D1" s="7"/>
      <c r="E1" s="7"/>
    </row>
    <row r="3" spans="1:6" ht="15.75" thickBot="1" x14ac:dyDescent="0.3">
      <c r="E3" t="s">
        <v>828</v>
      </c>
    </row>
    <row r="4" spans="1:6" ht="15.75" thickBot="1" x14ac:dyDescent="0.3">
      <c r="A4" t="s">
        <v>829</v>
      </c>
      <c r="E4" s="142" t="s">
        <v>810</v>
      </c>
    </row>
    <row r="7" spans="1:6" ht="21" x14ac:dyDescent="0.35">
      <c r="A7" s="59">
        <v>1</v>
      </c>
      <c r="B7" s="59"/>
      <c r="C7" s="59"/>
      <c r="D7" s="59"/>
      <c r="E7" s="59" t="s">
        <v>239</v>
      </c>
      <c r="F7" s="143">
        <f>HLOOKUP($E$4,'Syndicats Bilan'!$F$3:$AG$226,2,0)</f>
        <v>14283261.68</v>
      </c>
    </row>
    <row r="8" spans="1:6" x14ac:dyDescent="0.25">
      <c r="A8" s="7"/>
      <c r="B8" s="60">
        <v>10</v>
      </c>
      <c r="C8" s="60"/>
      <c r="D8" s="60"/>
      <c r="E8" s="60" t="s">
        <v>240</v>
      </c>
      <c r="F8" s="61">
        <f>HLOOKUP($E$4,'Syndicats Bilan'!$F$3:$AG$226,3,0)</f>
        <v>8995733.7799999993</v>
      </c>
    </row>
    <row r="9" spans="1:6" x14ac:dyDescent="0.25">
      <c r="C9" s="56">
        <v>100</v>
      </c>
      <c r="D9" s="56"/>
      <c r="E9" s="56" t="s">
        <v>241</v>
      </c>
      <c r="F9" s="57">
        <f>HLOOKUP($E$4,'Syndicats Bilan'!$F$3:$AG$226,4,0)</f>
        <v>2627525.2799999998</v>
      </c>
    </row>
    <row r="10" spans="1:6" x14ac:dyDescent="0.25">
      <c r="D10">
        <v>1000</v>
      </c>
      <c r="E10" t="s">
        <v>313</v>
      </c>
      <c r="F10" s="4">
        <f>HLOOKUP($E$4,'Syndicats Bilan'!$F$3:$AG$226,5,0)</f>
        <v>1056.6500000000001</v>
      </c>
    </row>
    <row r="11" spans="1:6" x14ac:dyDescent="0.25">
      <c r="D11">
        <v>1001</v>
      </c>
      <c r="E11" t="s">
        <v>314</v>
      </c>
      <c r="F11" s="4">
        <f>HLOOKUP($E$4,'Syndicats Bilan'!$F$3:$AG$226,6,0)</f>
        <v>291455.71999999997</v>
      </c>
    </row>
    <row r="12" spans="1:6" x14ac:dyDescent="0.25">
      <c r="D12">
        <v>1002</v>
      </c>
      <c r="E12" t="s">
        <v>322</v>
      </c>
      <c r="F12" s="4">
        <f>HLOOKUP($E$4,'Syndicats Bilan'!$F$3:$AG$226,7,0)</f>
        <v>238.65</v>
      </c>
    </row>
    <row r="13" spans="1:6" x14ac:dyDescent="0.25">
      <c r="D13">
        <v>1003</v>
      </c>
      <c r="E13" t="s">
        <v>315</v>
      </c>
      <c r="F13" s="4">
        <f>HLOOKUP($E$4,'Syndicats Bilan'!$F$3:$AG$226,8,0)</f>
        <v>2334774.2599999998</v>
      </c>
    </row>
    <row r="14" spans="1:6" x14ac:dyDescent="0.25">
      <c r="D14">
        <v>1004</v>
      </c>
      <c r="E14" t="s">
        <v>316</v>
      </c>
      <c r="F14" s="4">
        <f>HLOOKUP($E$4,'Syndicats Bilan'!$F$3:$AG$226,9,0)</f>
        <v>0</v>
      </c>
    </row>
    <row r="15" spans="1:6" x14ac:dyDescent="0.25">
      <c r="D15">
        <v>1009</v>
      </c>
      <c r="E15" t="s">
        <v>317</v>
      </c>
      <c r="F15" s="4">
        <f>HLOOKUP($E$4,'Syndicats Bilan'!$F$3:$AG$226,10,0)</f>
        <v>0</v>
      </c>
    </row>
    <row r="16" spans="1:6" x14ac:dyDescent="0.25">
      <c r="F16" s="4"/>
    </row>
    <row r="17" spans="3:6" x14ac:dyDescent="0.25">
      <c r="C17" s="56">
        <v>101</v>
      </c>
      <c r="D17" s="56"/>
      <c r="E17" s="56" t="s">
        <v>242</v>
      </c>
      <c r="F17" s="57">
        <f>HLOOKUP($E$4,'Syndicats Bilan'!$F$3:$AG$226,12,0)</f>
        <v>326842.75</v>
      </c>
    </row>
    <row r="18" spans="3:6" x14ac:dyDescent="0.25">
      <c r="D18">
        <v>1010</v>
      </c>
      <c r="E18" t="s">
        <v>318</v>
      </c>
      <c r="F18" s="4">
        <f>HLOOKUP($E$4,'Syndicats Bilan'!$F$3:$AG$226,13,0)</f>
        <v>316963.7</v>
      </c>
    </row>
    <row r="19" spans="3:6" x14ac:dyDescent="0.25">
      <c r="D19">
        <v>1011</v>
      </c>
      <c r="E19" t="s">
        <v>399</v>
      </c>
      <c r="F19" s="4">
        <f>HLOOKUP($E$4,'Syndicats Bilan'!$F$3:$AG$226,14,0)</f>
        <v>0</v>
      </c>
    </row>
    <row r="20" spans="3:6" x14ac:dyDescent="0.25">
      <c r="D20">
        <v>1012</v>
      </c>
      <c r="E20" t="s">
        <v>319</v>
      </c>
      <c r="F20" s="4">
        <f>HLOOKUP($E$4,'Syndicats Bilan'!$F$3:$AG$226,15,0)</f>
        <v>0</v>
      </c>
    </row>
    <row r="21" spans="3:6" x14ac:dyDescent="0.25">
      <c r="D21">
        <v>1013</v>
      </c>
      <c r="E21" t="s">
        <v>320</v>
      </c>
      <c r="F21" s="4">
        <f>HLOOKUP($E$4,'Syndicats Bilan'!$F$3:$AG$226,16,0)</f>
        <v>0</v>
      </c>
    </row>
    <row r="22" spans="3:6" x14ac:dyDescent="0.25">
      <c r="D22">
        <v>1014</v>
      </c>
      <c r="E22" t="s">
        <v>321</v>
      </c>
      <c r="F22" s="4">
        <f>HLOOKUP($E$4,'Syndicats Bilan'!$F$3:$AG$226,17,0)</f>
        <v>0</v>
      </c>
    </row>
    <row r="23" spans="3:6" x14ac:dyDescent="0.25">
      <c r="D23">
        <v>1015</v>
      </c>
      <c r="E23" t="s">
        <v>323</v>
      </c>
      <c r="F23" s="4">
        <f>HLOOKUP($E$4,'Syndicats Bilan'!$F$3:$AG$226,18,0)</f>
        <v>0</v>
      </c>
    </row>
    <row r="24" spans="3:6" x14ac:dyDescent="0.25">
      <c r="D24">
        <v>1016</v>
      </c>
      <c r="E24" t="s">
        <v>324</v>
      </c>
      <c r="F24" s="4">
        <f>HLOOKUP($E$4,'Syndicats Bilan'!$F$3:$AG$226,19,0)</f>
        <v>0</v>
      </c>
    </row>
    <row r="25" spans="3:6" x14ac:dyDescent="0.25">
      <c r="D25">
        <v>1019</v>
      </c>
      <c r="E25" t="s">
        <v>325</v>
      </c>
      <c r="F25" s="4">
        <f>HLOOKUP($E$4,'Syndicats Bilan'!$F$3:$AG$226,20,0)</f>
        <v>9879.0499999999993</v>
      </c>
    </row>
    <row r="26" spans="3:6" x14ac:dyDescent="0.25">
      <c r="F26" s="4"/>
    </row>
    <row r="27" spans="3:6" x14ac:dyDescent="0.25">
      <c r="C27" s="56">
        <v>102</v>
      </c>
      <c r="D27" s="56"/>
      <c r="E27" s="56" t="s">
        <v>243</v>
      </c>
      <c r="F27" s="57">
        <f>HLOOKUP($E$4,'Syndicats Bilan'!$F$3:$AG$226,22,0)</f>
        <v>0</v>
      </c>
    </row>
    <row r="28" spans="3:6" x14ac:dyDescent="0.25">
      <c r="D28">
        <v>1020</v>
      </c>
      <c r="E28" t="s">
        <v>326</v>
      </c>
      <c r="F28" s="4">
        <f>HLOOKUP($E$4,'Syndicats Bilan'!$F$3:$AG$226,23,0)</f>
        <v>0</v>
      </c>
    </row>
    <row r="29" spans="3:6" x14ac:dyDescent="0.25">
      <c r="D29">
        <v>1022</v>
      </c>
      <c r="E29" t="s">
        <v>327</v>
      </c>
      <c r="F29" s="4">
        <f>HLOOKUP($E$4,'Syndicats Bilan'!$F$3:$AG$226,24,0)</f>
        <v>0</v>
      </c>
    </row>
    <row r="30" spans="3:6" x14ac:dyDescent="0.25">
      <c r="D30">
        <v>1023</v>
      </c>
      <c r="E30" t="s">
        <v>328</v>
      </c>
      <c r="F30" s="4">
        <f>HLOOKUP($E$4,'Syndicats Bilan'!$F$3:$AG$226,25,0)</f>
        <v>0</v>
      </c>
    </row>
    <row r="31" spans="3:6" x14ac:dyDescent="0.25">
      <c r="D31">
        <v>1029</v>
      </c>
      <c r="E31" t="s">
        <v>329</v>
      </c>
      <c r="F31" s="4">
        <f>HLOOKUP($E$4,'Syndicats Bilan'!$F$3:$AG$226,26,0)</f>
        <v>0</v>
      </c>
    </row>
    <row r="32" spans="3:6" x14ac:dyDescent="0.25">
      <c r="F32" s="4"/>
    </row>
    <row r="33" spans="3:6" x14ac:dyDescent="0.25">
      <c r="C33" s="56">
        <v>104</v>
      </c>
      <c r="D33" s="56"/>
      <c r="E33" s="56" t="s">
        <v>244</v>
      </c>
      <c r="F33" s="57">
        <f>HLOOKUP($E$4,'Syndicats Bilan'!$F$3:$AG$226,28,0)</f>
        <v>41103.25</v>
      </c>
    </row>
    <row r="34" spans="3:6" x14ac:dyDescent="0.25">
      <c r="D34">
        <v>1040</v>
      </c>
      <c r="E34" t="s">
        <v>61</v>
      </c>
      <c r="F34" s="4">
        <f>HLOOKUP($E$4,'Syndicats Bilan'!$F$3:$AG$226,29,0)</f>
        <v>21103.25</v>
      </c>
    </row>
    <row r="35" spans="3:6" x14ac:dyDescent="0.25">
      <c r="D35">
        <v>1041</v>
      </c>
      <c r="E35" t="s">
        <v>330</v>
      </c>
      <c r="F35" s="4">
        <f>HLOOKUP($E$4,'Syndicats Bilan'!$F$3:$AG$226,30,0)</f>
        <v>20000</v>
      </c>
    </row>
    <row r="36" spans="3:6" x14ac:dyDescent="0.25">
      <c r="D36">
        <v>1042</v>
      </c>
      <c r="E36" t="s">
        <v>331</v>
      </c>
      <c r="F36" s="4">
        <f>HLOOKUP($E$4,'Syndicats Bilan'!$F$3:$AG$226,31,0)</f>
        <v>0</v>
      </c>
    </row>
    <row r="37" spans="3:6" x14ac:dyDescent="0.25">
      <c r="D37">
        <v>1043</v>
      </c>
      <c r="E37" t="s">
        <v>332</v>
      </c>
      <c r="F37" s="4">
        <f>HLOOKUP($E$4,'Syndicats Bilan'!$F$3:$AG$226,32,0)</f>
        <v>0</v>
      </c>
    </row>
    <row r="38" spans="3:6" x14ac:dyDescent="0.25">
      <c r="D38">
        <v>1044</v>
      </c>
      <c r="E38" t="s">
        <v>333</v>
      </c>
      <c r="F38" s="4">
        <f>HLOOKUP($E$4,'Syndicats Bilan'!$F$3:$AG$226,33,0)</f>
        <v>0</v>
      </c>
    </row>
    <row r="39" spans="3:6" x14ac:dyDescent="0.25">
      <c r="D39">
        <v>1045</v>
      </c>
      <c r="E39" t="s">
        <v>334</v>
      </c>
      <c r="F39" s="4">
        <f>HLOOKUP($E$4,'Syndicats Bilan'!$F$3:$AG$226,34,0)</f>
        <v>0</v>
      </c>
    </row>
    <row r="40" spans="3:6" x14ac:dyDescent="0.25">
      <c r="D40">
        <v>1046</v>
      </c>
      <c r="E40" t="s">
        <v>335</v>
      </c>
      <c r="F40" s="4">
        <f>HLOOKUP($E$4,'Syndicats Bilan'!$F$3:$AG$226,35,0)</f>
        <v>0</v>
      </c>
    </row>
    <row r="41" spans="3:6" x14ac:dyDescent="0.25">
      <c r="D41">
        <v>1049</v>
      </c>
      <c r="E41" t="s">
        <v>336</v>
      </c>
      <c r="F41" s="4">
        <f>HLOOKUP($E$4,'Syndicats Bilan'!$F$3:$AG$226,36,0)</f>
        <v>0</v>
      </c>
    </row>
    <row r="42" spans="3:6" x14ac:dyDescent="0.25">
      <c r="F42" s="4"/>
    </row>
    <row r="43" spans="3:6" x14ac:dyDescent="0.25">
      <c r="C43" s="56">
        <v>106</v>
      </c>
      <c r="D43" s="56"/>
      <c r="E43" s="56" t="s">
        <v>245</v>
      </c>
      <c r="F43" s="57">
        <f>HLOOKUP($E$4,'Syndicats Bilan'!$F$3:$AG$226,38,0)</f>
        <v>0</v>
      </c>
    </row>
    <row r="44" spans="3:6" x14ac:dyDescent="0.25">
      <c r="D44">
        <v>1060</v>
      </c>
      <c r="E44" t="s">
        <v>337</v>
      </c>
      <c r="F44" s="4">
        <f>HLOOKUP($E$4,'Syndicats Bilan'!$F$3:$AG$226,39,0)</f>
        <v>0</v>
      </c>
    </row>
    <row r="45" spans="3:6" x14ac:dyDescent="0.25">
      <c r="D45">
        <v>1061</v>
      </c>
      <c r="E45" t="s">
        <v>338</v>
      </c>
      <c r="F45" s="4">
        <f>HLOOKUP($E$4,'Syndicats Bilan'!$F$3:$AG$226,40,0)</f>
        <v>0</v>
      </c>
    </row>
    <row r="46" spans="3:6" x14ac:dyDescent="0.25">
      <c r="D46">
        <v>1062</v>
      </c>
      <c r="E46" t="s">
        <v>339</v>
      </c>
      <c r="F46" s="4">
        <f>HLOOKUP($E$4,'Syndicats Bilan'!$F$3:$AG$226,41,0)</f>
        <v>0</v>
      </c>
    </row>
    <row r="47" spans="3:6" x14ac:dyDescent="0.25">
      <c r="D47">
        <v>1063</v>
      </c>
      <c r="E47" t="s">
        <v>340</v>
      </c>
      <c r="F47" s="4">
        <f>HLOOKUP($E$4,'Syndicats Bilan'!$F$3:$AG$226,42,0)</f>
        <v>0</v>
      </c>
    </row>
    <row r="48" spans="3:6" x14ac:dyDescent="0.25">
      <c r="D48">
        <v>1068</v>
      </c>
      <c r="E48" t="s">
        <v>341</v>
      </c>
      <c r="F48" s="4">
        <f>HLOOKUP($E$4,'Syndicats Bilan'!$F$3:$AG$226,43,0)</f>
        <v>0</v>
      </c>
    </row>
    <row r="49" spans="3:6" x14ac:dyDescent="0.25">
      <c r="F49" s="4"/>
    </row>
    <row r="50" spans="3:6" x14ac:dyDescent="0.25">
      <c r="C50" s="56">
        <v>107</v>
      </c>
      <c r="D50" s="56"/>
      <c r="E50" s="56" t="s">
        <v>346</v>
      </c>
      <c r="F50" s="57">
        <f>HLOOKUP($E$4,'Syndicats Bilan'!$F$3:$AG$226,45,0)</f>
        <v>6000262.5</v>
      </c>
    </row>
    <row r="51" spans="3:6" x14ac:dyDescent="0.25">
      <c r="D51">
        <v>1070</v>
      </c>
      <c r="E51" t="s">
        <v>342</v>
      </c>
      <c r="F51" s="4">
        <f>HLOOKUP($E$4,'Syndicats Bilan'!$F$3:$AG$226,46,0)</f>
        <v>262.5</v>
      </c>
    </row>
    <row r="52" spans="3:6" x14ac:dyDescent="0.25">
      <c r="D52">
        <v>1071</v>
      </c>
      <c r="E52" t="s">
        <v>343</v>
      </c>
      <c r="F52" s="4">
        <f>HLOOKUP($E$4,'Syndicats Bilan'!$F$3:$AG$226,47,0)</f>
        <v>6000000</v>
      </c>
    </row>
    <row r="53" spans="3:6" x14ac:dyDescent="0.25">
      <c r="D53">
        <v>1072</v>
      </c>
      <c r="E53" t="s">
        <v>344</v>
      </c>
      <c r="F53" s="4">
        <f>HLOOKUP($E$4,'Syndicats Bilan'!$F$3:$AG$226,48,0)</f>
        <v>0</v>
      </c>
    </row>
    <row r="54" spans="3:6" x14ac:dyDescent="0.25">
      <c r="D54">
        <v>1079</v>
      </c>
      <c r="E54" t="s">
        <v>345</v>
      </c>
      <c r="F54" s="4">
        <f>HLOOKUP($E$4,'Syndicats Bilan'!$F$3:$AG$226,49,0)</f>
        <v>0</v>
      </c>
    </row>
    <row r="55" spans="3:6" x14ac:dyDescent="0.25">
      <c r="F55" s="4"/>
    </row>
    <row r="56" spans="3:6" x14ac:dyDescent="0.25">
      <c r="C56" s="56">
        <v>108</v>
      </c>
      <c r="D56" s="56"/>
      <c r="E56" s="56" t="s">
        <v>246</v>
      </c>
      <c r="F56" s="57">
        <f>HLOOKUP($E$4,'Syndicats Bilan'!$F$3:$AG$226,51,0)</f>
        <v>0</v>
      </c>
    </row>
    <row r="57" spans="3:6" x14ac:dyDescent="0.25">
      <c r="D57">
        <v>1080</v>
      </c>
      <c r="E57" t="s">
        <v>347</v>
      </c>
      <c r="F57" s="4">
        <f>HLOOKUP($E$4,'Syndicats Bilan'!$F$3:$AG$226,52,0)</f>
        <v>0</v>
      </c>
    </row>
    <row r="58" spans="3:6" x14ac:dyDescent="0.25">
      <c r="D58">
        <v>1084</v>
      </c>
      <c r="E58" t="s">
        <v>348</v>
      </c>
      <c r="F58" s="4">
        <f>HLOOKUP($E$4,'Syndicats Bilan'!$F$3:$AG$226,53,0)</f>
        <v>0</v>
      </c>
    </row>
    <row r="59" spans="3:6" x14ac:dyDescent="0.25">
      <c r="D59">
        <v>1086</v>
      </c>
      <c r="E59" t="s">
        <v>349</v>
      </c>
      <c r="F59" s="4">
        <f>HLOOKUP($E$4,'Syndicats Bilan'!$F$3:$AG$226,54,0)</f>
        <v>0</v>
      </c>
    </row>
    <row r="60" spans="3:6" x14ac:dyDescent="0.25">
      <c r="D60">
        <v>1087</v>
      </c>
      <c r="E60" t="s">
        <v>350</v>
      </c>
      <c r="F60" s="4">
        <f>HLOOKUP($E$4,'Syndicats Bilan'!$F$3:$AG$226,55,0)</f>
        <v>0</v>
      </c>
    </row>
    <row r="61" spans="3:6" x14ac:dyDescent="0.25">
      <c r="D61">
        <v>1088</v>
      </c>
      <c r="E61" t="s">
        <v>351</v>
      </c>
      <c r="F61" s="4">
        <f>HLOOKUP($E$4,'Syndicats Bilan'!$F$3:$AG$226,6,0)</f>
        <v>291455.71999999997</v>
      </c>
    </row>
    <row r="62" spans="3:6" x14ac:dyDescent="0.25">
      <c r="D62">
        <v>1089</v>
      </c>
      <c r="E62" t="s">
        <v>352</v>
      </c>
      <c r="F62" s="4">
        <f>HLOOKUP($E$4,'Syndicats Bilan'!$F$3:$AG$226,57,0)</f>
        <v>0</v>
      </c>
    </row>
    <row r="63" spans="3:6" x14ac:dyDescent="0.25">
      <c r="F63" s="4"/>
    </row>
    <row r="64" spans="3:6" x14ac:dyDescent="0.25">
      <c r="C64" s="56">
        <v>109</v>
      </c>
      <c r="D64" s="56"/>
      <c r="E64" s="56" t="s">
        <v>353</v>
      </c>
      <c r="F64" s="57">
        <f>HLOOKUP($E$4,'Syndicats Bilan'!$F$3:$AG$226,59,0)</f>
        <v>0</v>
      </c>
    </row>
    <row r="65" spans="2:6" x14ac:dyDescent="0.25">
      <c r="D65">
        <v>1090</v>
      </c>
      <c r="E65" t="s">
        <v>353</v>
      </c>
      <c r="F65" s="4">
        <f>HLOOKUP($E$4,'Syndicats Bilan'!$F$3:$AG$226,60,0)</f>
        <v>0</v>
      </c>
    </row>
    <row r="66" spans="2:6" x14ac:dyDescent="0.25">
      <c r="D66">
        <v>1091</v>
      </c>
      <c r="E66" t="s">
        <v>354</v>
      </c>
      <c r="F66" s="4">
        <f>HLOOKUP($E$4,'Syndicats Bilan'!$F$3:$AG$226,61,0)</f>
        <v>0</v>
      </c>
    </row>
    <row r="67" spans="2:6" x14ac:dyDescent="0.25">
      <c r="D67">
        <v>1092</v>
      </c>
      <c r="E67" t="s">
        <v>355</v>
      </c>
      <c r="F67" s="4">
        <f>HLOOKUP($E$4,'Syndicats Bilan'!$F$3:$AG$226,62,0)</f>
        <v>0</v>
      </c>
    </row>
    <row r="68" spans="2:6" x14ac:dyDescent="0.25">
      <c r="D68">
        <v>1093</v>
      </c>
      <c r="E68" t="s">
        <v>356</v>
      </c>
      <c r="F68" s="4">
        <f>HLOOKUP($E$4,'Syndicats Bilan'!$F$3:$AG$226,63,0)</f>
        <v>0</v>
      </c>
    </row>
    <row r="69" spans="2:6" x14ac:dyDescent="0.25">
      <c r="F69" s="4"/>
    </row>
    <row r="70" spans="2:6" x14ac:dyDescent="0.25">
      <c r="B70" s="62">
        <v>14</v>
      </c>
      <c r="C70" s="62"/>
      <c r="D70" s="62"/>
      <c r="E70" s="62" t="s">
        <v>247</v>
      </c>
      <c r="F70" s="63">
        <f>HLOOKUP($E$4,'Syndicats Bilan'!$F$3:$AG$226,65,0)</f>
        <v>5287527.9000000004</v>
      </c>
    </row>
    <row r="71" spans="2:6" x14ac:dyDescent="0.25">
      <c r="C71" s="56">
        <v>140</v>
      </c>
      <c r="D71" s="56"/>
      <c r="E71" s="56" t="s">
        <v>249</v>
      </c>
      <c r="F71" s="57">
        <f>HLOOKUP($E$4,'Syndicats Bilan'!$F$3:$AG$226,66,0)</f>
        <v>4937902.5</v>
      </c>
    </row>
    <row r="72" spans="2:6" x14ac:dyDescent="0.25">
      <c r="D72">
        <v>1400</v>
      </c>
      <c r="E72" t="s">
        <v>357</v>
      </c>
      <c r="F72" s="4">
        <f>HLOOKUP($E$4,'Syndicats Bilan'!$F$3:$AG$226,67,0)</f>
        <v>0</v>
      </c>
    </row>
    <row r="73" spans="2:6" x14ac:dyDescent="0.25">
      <c r="D73">
        <v>1401</v>
      </c>
      <c r="E73" t="s">
        <v>358</v>
      </c>
      <c r="F73" s="4">
        <f>HLOOKUP($E$4,'Syndicats Bilan'!$F$3:$AG$226,68,0)</f>
        <v>0</v>
      </c>
    </row>
    <row r="74" spans="2:6" x14ac:dyDescent="0.25">
      <c r="D74">
        <v>1402</v>
      </c>
      <c r="E74" t="s">
        <v>359</v>
      </c>
      <c r="F74" s="4">
        <f>HLOOKUP($E$4,'Syndicats Bilan'!$F$3:$AG$226,69,0)</f>
        <v>0</v>
      </c>
    </row>
    <row r="75" spans="2:6" x14ac:dyDescent="0.25">
      <c r="D75">
        <v>1403</v>
      </c>
      <c r="E75" t="s">
        <v>360</v>
      </c>
      <c r="F75" s="4">
        <f>HLOOKUP($E$4,'Syndicats Bilan'!$F$3:$AG$226,70,0)</f>
        <v>0</v>
      </c>
    </row>
    <row r="76" spans="2:6" x14ac:dyDescent="0.25">
      <c r="D76">
        <v>1404</v>
      </c>
      <c r="E76" t="s">
        <v>361</v>
      </c>
      <c r="F76" s="4">
        <f>HLOOKUP($E$4,'Syndicats Bilan'!$F$3:$AG$226,71,0)</f>
        <v>50490</v>
      </c>
    </row>
    <row r="77" spans="2:6" x14ac:dyDescent="0.25">
      <c r="D77">
        <v>1405</v>
      </c>
      <c r="E77" t="s">
        <v>362</v>
      </c>
      <c r="F77" s="4">
        <f>HLOOKUP($E$4,'Syndicats Bilan'!$F$3:$AG$226,72,0)</f>
        <v>0</v>
      </c>
    </row>
    <row r="78" spans="2:6" x14ac:dyDescent="0.25">
      <c r="D78">
        <v>1406</v>
      </c>
      <c r="E78" t="s">
        <v>363</v>
      </c>
      <c r="F78" s="4">
        <f>HLOOKUP($E$4,'Syndicats Bilan'!$F$3:$AG$226,73,0)</f>
        <v>0</v>
      </c>
    </row>
    <row r="79" spans="2:6" x14ac:dyDescent="0.25">
      <c r="D79">
        <v>1407</v>
      </c>
      <c r="E79" t="s">
        <v>364</v>
      </c>
      <c r="F79" s="4">
        <f>HLOOKUP($E$4,'Syndicats Bilan'!$F$3:$AG$226,74,0)</f>
        <v>4887412.5</v>
      </c>
    </row>
    <row r="80" spans="2:6" x14ac:dyDescent="0.25">
      <c r="D80">
        <v>1409</v>
      </c>
      <c r="E80" t="s">
        <v>365</v>
      </c>
      <c r="F80" s="4">
        <f>HLOOKUP($E$4,'Syndicats Bilan'!$F$3:$AG$226,75,0)</f>
        <v>0</v>
      </c>
    </row>
    <row r="81" spans="3:6" x14ac:dyDescent="0.25">
      <c r="F81" s="4"/>
    </row>
    <row r="82" spans="3:6" x14ac:dyDescent="0.25">
      <c r="C82" s="56">
        <v>142</v>
      </c>
      <c r="D82" s="56"/>
      <c r="E82" s="56" t="s">
        <v>581</v>
      </c>
      <c r="F82" s="57">
        <f>HLOOKUP($E$4,'Syndicats Bilan'!$F$3:$AG$226,77,0)</f>
        <v>349625.4</v>
      </c>
    </row>
    <row r="83" spans="3:6" x14ac:dyDescent="0.25">
      <c r="D83">
        <v>1420</v>
      </c>
      <c r="E83" t="s">
        <v>366</v>
      </c>
      <c r="F83" s="4">
        <f>HLOOKUP($E$4,'Syndicats Bilan'!$F$3:$AG$226,78,0)</f>
        <v>12150</v>
      </c>
    </row>
    <row r="84" spans="3:6" x14ac:dyDescent="0.25">
      <c r="D84">
        <v>1421</v>
      </c>
      <c r="E84" t="s">
        <v>367</v>
      </c>
      <c r="F84" s="4">
        <f>HLOOKUP($E$4,'Syndicats Bilan'!$F$3:$AG$226,79,0)</f>
        <v>0</v>
      </c>
    </row>
    <row r="85" spans="3:6" x14ac:dyDescent="0.25">
      <c r="D85">
        <v>1427</v>
      </c>
      <c r="E85" t="s">
        <v>580</v>
      </c>
      <c r="F85" s="4">
        <f>HLOOKUP($E$4,'Syndicats Bilan'!$F$3:$AG$226,80,0)</f>
        <v>337475.4</v>
      </c>
    </row>
    <row r="86" spans="3:6" x14ac:dyDescent="0.25">
      <c r="D86">
        <v>1429</v>
      </c>
      <c r="E86" t="s">
        <v>465</v>
      </c>
      <c r="F86" s="4">
        <f>HLOOKUP($E$4,'Syndicats Bilan'!$F$3:$AG$226,81,0)</f>
        <v>0</v>
      </c>
    </row>
    <row r="87" spans="3:6" x14ac:dyDescent="0.25">
      <c r="F87" s="4"/>
    </row>
    <row r="88" spans="3:6" x14ac:dyDescent="0.25">
      <c r="C88" s="56">
        <v>144</v>
      </c>
      <c r="D88" s="56"/>
      <c r="E88" s="56" t="s">
        <v>250</v>
      </c>
      <c r="F88" s="57">
        <f>HLOOKUP($E$4,'Syndicats Bilan'!$F$3:$AG$226,83,0)</f>
        <v>0</v>
      </c>
    </row>
    <row r="89" spans="3:6" x14ac:dyDescent="0.25">
      <c r="D89">
        <v>1440</v>
      </c>
      <c r="E89" t="s">
        <v>368</v>
      </c>
      <c r="F89" s="4">
        <f>HLOOKUP($E$4,'Syndicats Bilan'!$F$3:$AG$226,84,0)</f>
        <v>0</v>
      </c>
    </row>
    <row r="90" spans="3:6" x14ac:dyDescent="0.25">
      <c r="D90">
        <v>1441</v>
      </c>
      <c r="E90" t="s">
        <v>370</v>
      </c>
      <c r="F90" s="4">
        <f>HLOOKUP($E$4,'Syndicats Bilan'!$F$3:$AG$226,85,0)</f>
        <v>0</v>
      </c>
    </row>
    <row r="91" spans="3:6" x14ac:dyDescent="0.25">
      <c r="D91">
        <v>1442</v>
      </c>
      <c r="E91" t="s">
        <v>369</v>
      </c>
      <c r="F91" s="4">
        <f>HLOOKUP($E$4,'Syndicats Bilan'!$F$3:$AG$226,86,0)</f>
        <v>0</v>
      </c>
    </row>
    <row r="92" spans="3:6" x14ac:dyDescent="0.25">
      <c r="D92">
        <v>1443</v>
      </c>
      <c r="E92" t="s">
        <v>371</v>
      </c>
      <c r="F92" s="4">
        <f>HLOOKUP($E$4,'Syndicats Bilan'!$F$3:$AG$226,87,0)</f>
        <v>0</v>
      </c>
    </row>
    <row r="93" spans="3:6" x14ac:dyDescent="0.25">
      <c r="D93">
        <v>1444</v>
      </c>
      <c r="E93" t="s">
        <v>372</v>
      </c>
      <c r="F93" s="4">
        <f>HLOOKUP($E$4,'Syndicats Bilan'!$F$3:$AG$226,88,0)</f>
        <v>0</v>
      </c>
    </row>
    <row r="94" spans="3:6" x14ac:dyDescent="0.25">
      <c r="D94">
        <v>1445</v>
      </c>
      <c r="E94" t="s">
        <v>373</v>
      </c>
      <c r="F94" s="4">
        <f>HLOOKUP($E$4,'Syndicats Bilan'!$F$3:$AG$226,89,0)</f>
        <v>0</v>
      </c>
    </row>
    <row r="95" spans="3:6" x14ac:dyDescent="0.25">
      <c r="D95">
        <v>1446</v>
      </c>
      <c r="E95" t="s">
        <v>374</v>
      </c>
      <c r="F95" s="4">
        <f>HLOOKUP($E$4,'Syndicats Bilan'!$F$3:$AG$226,90,0)</f>
        <v>0</v>
      </c>
    </row>
    <row r="96" spans="3:6" x14ac:dyDescent="0.25">
      <c r="D96">
        <v>1447</v>
      </c>
      <c r="E96" t="s">
        <v>375</v>
      </c>
      <c r="F96" s="4">
        <f>HLOOKUP($E$4,'Syndicats Bilan'!$F$3:$AG$226,91,0)</f>
        <v>0</v>
      </c>
    </row>
    <row r="97" spans="3:6" x14ac:dyDescent="0.25">
      <c r="D97">
        <v>1448</v>
      </c>
      <c r="E97" t="s">
        <v>376</v>
      </c>
      <c r="F97" s="4">
        <f>HLOOKUP($E$4,'Syndicats Bilan'!$F$3:$AG$226,92,0)</f>
        <v>0</v>
      </c>
    </row>
    <row r="98" spans="3:6" x14ac:dyDescent="0.25">
      <c r="F98" s="4"/>
    </row>
    <row r="99" spans="3:6" x14ac:dyDescent="0.25">
      <c r="C99" s="56">
        <v>145</v>
      </c>
      <c r="D99" s="56"/>
      <c r="E99" s="56" t="s">
        <v>379</v>
      </c>
      <c r="F99" s="57">
        <f>HLOOKUP($E$4,'Syndicats Bilan'!$F$3:$AG$226,94,0)</f>
        <v>0</v>
      </c>
    </row>
    <row r="100" spans="3:6" x14ac:dyDescent="0.25">
      <c r="D100">
        <v>1450</v>
      </c>
      <c r="E100" t="s">
        <v>378</v>
      </c>
      <c r="F100" s="4">
        <f>HLOOKUP($E$4,'Syndicats Bilan'!$F$3:$AG$226,95,0)</f>
        <v>0</v>
      </c>
    </row>
    <row r="101" spans="3:6" x14ac:dyDescent="0.25">
      <c r="D101">
        <v>1451</v>
      </c>
      <c r="E101" t="s">
        <v>377</v>
      </c>
      <c r="F101" s="4">
        <f>HLOOKUP($E$4,'Syndicats Bilan'!$F$3:$AG$226,96,0)</f>
        <v>0</v>
      </c>
    </row>
    <row r="102" spans="3:6" x14ac:dyDescent="0.25">
      <c r="D102">
        <v>1452</v>
      </c>
      <c r="E102" t="s">
        <v>380</v>
      </c>
      <c r="F102" s="4">
        <f>HLOOKUP($E$4,'Syndicats Bilan'!$F$3:$AG$226,97,0)</f>
        <v>0</v>
      </c>
    </row>
    <row r="103" spans="3:6" x14ac:dyDescent="0.25">
      <c r="D103">
        <v>1453</v>
      </c>
      <c r="E103" t="s">
        <v>381</v>
      </c>
      <c r="F103" s="4">
        <f>HLOOKUP($E$4,'Syndicats Bilan'!$F$3:$AG$226,98,0)</f>
        <v>0</v>
      </c>
    </row>
    <row r="104" spans="3:6" x14ac:dyDescent="0.25">
      <c r="D104">
        <v>1454</v>
      </c>
      <c r="E104" t="s">
        <v>382</v>
      </c>
      <c r="F104" s="4">
        <f>HLOOKUP($E$4,'Syndicats Bilan'!$F$3:$AG$226,99,0)</f>
        <v>0</v>
      </c>
    </row>
    <row r="105" spans="3:6" x14ac:dyDescent="0.25">
      <c r="D105">
        <v>1455</v>
      </c>
      <c r="E105" t="s">
        <v>383</v>
      </c>
      <c r="F105" s="4">
        <f>HLOOKUP($E$4,'Syndicats Bilan'!$F$3:$AG$226,100,0)</f>
        <v>0</v>
      </c>
    </row>
    <row r="106" spans="3:6" x14ac:dyDescent="0.25">
      <c r="D106">
        <v>1456</v>
      </c>
      <c r="E106" t="s">
        <v>384</v>
      </c>
      <c r="F106" s="4">
        <f>HLOOKUP($E$4,'Syndicats Bilan'!$F$3:$AG$226,101,0)</f>
        <v>0</v>
      </c>
    </row>
    <row r="107" spans="3:6" x14ac:dyDescent="0.25">
      <c r="D107">
        <v>1457</v>
      </c>
      <c r="E107" t="s">
        <v>385</v>
      </c>
      <c r="F107" s="4">
        <f>HLOOKUP($E$4,'Syndicats Bilan'!$F$3:$AG$226,102,0)</f>
        <v>0</v>
      </c>
    </row>
    <row r="108" spans="3:6" x14ac:dyDescent="0.25">
      <c r="D108">
        <v>1458</v>
      </c>
      <c r="E108" t="s">
        <v>386</v>
      </c>
      <c r="F108" s="4">
        <f>HLOOKUP($E$4,'Syndicats Bilan'!$F$3:$AG$226,103,0)</f>
        <v>0</v>
      </c>
    </row>
    <row r="109" spans="3:6" x14ac:dyDescent="0.25">
      <c r="F109" s="4"/>
    </row>
    <row r="110" spans="3:6" x14ac:dyDescent="0.25">
      <c r="C110" s="56">
        <v>146</v>
      </c>
      <c r="D110" s="56"/>
      <c r="E110" s="56" t="s">
        <v>397</v>
      </c>
      <c r="F110" s="57">
        <f>HLOOKUP($E$4,'Syndicats Bilan'!$F$3:$AG$226,105,0)</f>
        <v>0</v>
      </c>
    </row>
    <row r="111" spans="3:6" x14ac:dyDescent="0.25">
      <c r="D111">
        <v>1460</v>
      </c>
      <c r="E111" t="s">
        <v>394</v>
      </c>
      <c r="F111" s="4">
        <f>HLOOKUP($E$4,'Syndicats Bilan'!$F$3:$AG$226,106,0)</f>
        <v>0</v>
      </c>
    </row>
    <row r="112" spans="3:6" x14ac:dyDescent="0.25">
      <c r="D112">
        <v>1461</v>
      </c>
      <c r="E112" t="s">
        <v>395</v>
      </c>
      <c r="F112" s="4">
        <f>HLOOKUP($E$4,'Syndicats Bilan'!$F$3:$AG$226,107,0)</f>
        <v>0</v>
      </c>
    </row>
    <row r="113" spans="1:6" x14ac:dyDescent="0.25">
      <c r="D113">
        <v>1462</v>
      </c>
      <c r="E113" t="s">
        <v>387</v>
      </c>
      <c r="F113" s="4">
        <f>HLOOKUP($E$4,'Syndicats Bilan'!$F$3:$AG$226,108,0)</f>
        <v>0</v>
      </c>
    </row>
    <row r="114" spans="1:6" x14ac:dyDescent="0.25">
      <c r="D114">
        <v>1463</v>
      </c>
      <c r="E114" t="s">
        <v>388</v>
      </c>
      <c r="F114" s="4">
        <f>HLOOKUP($E$4,'Syndicats Bilan'!$F$3:$AG$226,109,0)</f>
        <v>0</v>
      </c>
    </row>
    <row r="115" spans="1:6" x14ac:dyDescent="0.25">
      <c r="D115">
        <v>1464</v>
      </c>
      <c r="E115" t="s">
        <v>389</v>
      </c>
      <c r="F115" s="4">
        <f>HLOOKUP($E$4,'Syndicats Bilan'!$F$3:$AG$226,110,0)</f>
        <v>0</v>
      </c>
    </row>
    <row r="116" spans="1:6" x14ac:dyDescent="0.25">
      <c r="D116">
        <v>1465</v>
      </c>
      <c r="E116" t="s">
        <v>390</v>
      </c>
      <c r="F116" s="4">
        <f>HLOOKUP($E$4,'Syndicats Bilan'!$F$3:$AG$226,111,0)</f>
        <v>0</v>
      </c>
    </row>
    <row r="117" spans="1:6" x14ac:dyDescent="0.25">
      <c r="D117">
        <v>1466</v>
      </c>
      <c r="E117" t="s">
        <v>396</v>
      </c>
      <c r="F117" s="4">
        <f>HLOOKUP($E$4,'Syndicats Bilan'!$F$3:$AG$226,112,0)</f>
        <v>0</v>
      </c>
    </row>
    <row r="118" spans="1:6" x14ac:dyDescent="0.25">
      <c r="D118">
        <v>1467</v>
      </c>
      <c r="E118" t="s">
        <v>391</v>
      </c>
      <c r="F118" s="4">
        <f>HLOOKUP($E$4,'Syndicats Bilan'!$F$3:$AG$226,113,0)</f>
        <v>0</v>
      </c>
    </row>
    <row r="119" spans="1:6" x14ac:dyDescent="0.25">
      <c r="D119">
        <v>1468</v>
      </c>
      <c r="E119" t="s">
        <v>392</v>
      </c>
      <c r="F119" s="4">
        <f>HLOOKUP($E$4,'Syndicats Bilan'!$F$3:$AG$226,114,0)</f>
        <v>0</v>
      </c>
    </row>
    <row r="120" spans="1:6" x14ac:dyDescent="0.25">
      <c r="D120">
        <v>1469</v>
      </c>
      <c r="E120" t="s">
        <v>393</v>
      </c>
      <c r="F120" s="4">
        <f>HLOOKUP($E$4,'Syndicats Bilan'!$F$3:$AG$226,115,0)</f>
        <v>0</v>
      </c>
    </row>
    <row r="121" spans="1:6" x14ac:dyDescent="0.25">
      <c r="F121" s="4"/>
    </row>
    <row r="122" spans="1:6" x14ac:dyDescent="0.25">
      <c r="F122" s="4"/>
    </row>
    <row r="123" spans="1:6" ht="21" x14ac:dyDescent="0.35">
      <c r="A123" s="64">
        <v>2</v>
      </c>
      <c r="B123" s="64"/>
      <c r="C123" s="64"/>
      <c r="D123" s="64"/>
      <c r="E123" s="64" t="s">
        <v>251</v>
      </c>
      <c r="F123" s="144">
        <f>HLOOKUP($E$4,'Syndicats Bilan'!$F$3:$AG$226,118,0)</f>
        <v>14283261.68</v>
      </c>
    </row>
    <row r="124" spans="1:6" x14ac:dyDescent="0.25">
      <c r="A124" s="7"/>
      <c r="B124" s="68">
        <v>20</v>
      </c>
      <c r="C124" s="68"/>
      <c r="D124" s="68"/>
      <c r="E124" s="68" t="s">
        <v>252</v>
      </c>
      <c r="F124" s="69">
        <f>HLOOKUP($E$4,'Syndicats Bilan'!$F$3:$AG$226,119,0)</f>
        <v>243896.25</v>
      </c>
    </row>
    <row r="125" spans="1:6" x14ac:dyDescent="0.25">
      <c r="C125" s="66">
        <v>200</v>
      </c>
      <c r="D125" s="66"/>
      <c r="E125" s="66" t="s">
        <v>253</v>
      </c>
      <c r="F125" s="67">
        <f>HLOOKUP($E$4,'Syndicats Bilan'!$F$3:$AG$226,120,0)</f>
        <v>240460.95</v>
      </c>
    </row>
    <row r="126" spans="1:6" x14ac:dyDescent="0.25">
      <c r="D126">
        <v>2000</v>
      </c>
      <c r="E126" t="s">
        <v>398</v>
      </c>
      <c r="F126" s="4">
        <f>HLOOKUP($E$4,'Syndicats Bilan'!$F$3:$AG$226,121,0)</f>
        <v>240460.95</v>
      </c>
    </row>
    <row r="127" spans="1:6" x14ac:dyDescent="0.25">
      <c r="D127">
        <v>2001</v>
      </c>
      <c r="E127" t="s">
        <v>399</v>
      </c>
      <c r="F127" s="4">
        <f>HLOOKUP($E$4,'Syndicats Bilan'!$F$3:$AG$226,122,0)</f>
        <v>0</v>
      </c>
    </row>
    <row r="128" spans="1:6" x14ac:dyDescent="0.25">
      <c r="D128">
        <v>2002</v>
      </c>
      <c r="E128" t="s">
        <v>400</v>
      </c>
      <c r="F128" s="4">
        <f>HLOOKUP($E$4,'Syndicats Bilan'!$F$3:$AG$226,123,0)</f>
        <v>0</v>
      </c>
    </row>
    <row r="129" spans="3:6" x14ac:dyDescent="0.25">
      <c r="D129">
        <v>2003</v>
      </c>
      <c r="E129" t="s">
        <v>401</v>
      </c>
      <c r="F129" s="4">
        <f>HLOOKUP($E$4,'Syndicats Bilan'!$F$3:$AG$226,124,0)</f>
        <v>0</v>
      </c>
    </row>
    <row r="130" spans="3:6" x14ac:dyDescent="0.25">
      <c r="D130">
        <v>2004</v>
      </c>
      <c r="E130" t="s">
        <v>402</v>
      </c>
      <c r="F130" s="4">
        <f>HLOOKUP($E$4,'Syndicats Bilan'!$F$3:$AG$226,125,0)</f>
        <v>0</v>
      </c>
    </row>
    <row r="131" spans="3:6" x14ac:dyDescent="0.25">
      <c r="D131">
        <v>2005</v>
      </c>
      <c r="E131" t="s">
        <v>323</v>
      </c>
      <c r="F131" s="4">
        <f>HLOOKUP($E$4,'Syndicats Bilan'!$F$3:$AG$226,126,0)</f>
        <v>0</v>
      </c>
    </row>
    <row r="132" spans="3:6" x14ac:dyDescent="0.25">
      <c r="D132">
        <v>2006</v>
      </c>
      <c r="E132" t="s">
        <v>447</v>
      </c>
      <c r="F132" s="4">
        <f>HLOOKUP($E$4,'Syndicats Bilan'!$F$3:$AG$226,127,0)</f>
        <v>0</v>
      </c>
    </row>
    <row r="133" spans="3:6" x14ac:dyDescent="0.25">
      <c r="D133">
        <v>2009</v>
      </c>
      <c r="E133" t="s">
        <v>404</v>
      </c>
      <c r="F133" s="4">
        <f>HLOOKUP($E$4,'Syndicats Bilan'!$F$3:$AG$226,128,0)</f>
        <v>0</v>
      </c>
    </row>
    <row r="134" spans="3:6" x14ac:dyDescent="0.25">
      <c r="F134" s="4"/>
    </row>
    <row r="135" spans="3:6" x14ac:dyDescent="0.25">
      <c r="C135" s="66">
        <v>201</v>
      </c>
      <c r="D135" s="66"/>
      <c r="E135" s="66" t="s">
        <v>254</v>
      </c>
      <c r="F135" s="67">
        <f>HLOOKUP($E$4,'Syndicats Bilan'!$F$3:$AG$226,130,0)</f>
        <v>0</v>
      </c>
    </row>
    <row r="136" spans="3:6" x14ac:dyDescent="0.25">
      <c r="D136">
        <v>2010</v>
      </c>
      <c r="E136" t="s">
        <v>405</v>
      </c>
      <c r="F136" s="4">
        <f>HLOOKUP($E$4,'Syndicats Bilan'!$F$3:$AG$226,131,0)</f>
        <v>0</v>
      </c>
    </row>
    <row r="137" spans="3:6" x14ac:dyDescent="0.25">
      <c r="D137">
        <v>2011</v>
      </c>
      <c r="E137" t="s">
        <v>406</v>
      </c>
      <c r="F137" s="4">
        <f>HLOOKUP($E$4,'Syndicats Bilan'!$F$3:$AG$226,132,0)</f>
        <v>0</v>
      </c>
    </row>
    <row r="138" spans="3:6" x14ac:dyDescent="0.25">
      <c r="D138">
        <v>2012</v>
      </c>
      <c r="E138" t="s">
        <v>407</v>
      </c>
      <c r="F138" s="4">
        <f>HLOOKUP($E$4,'Syndicats Bilan'!$F$3:$AG$226,133,0)</f>
        <v>0</v>
      </c>
    </row>
    <row r="139" spans="3:6" x14ac:dyDescent="0.25">
      <c r="D139">
        <v>2013</v>
      </c>
      <c r="E139" t="s">
        <v>408</v>
      </c>
      <c r="F139" s="4">
        <f>HLOOKUP($E$4,'Syndicats Bilan'!$F$3:$AG$226,134,0)</f>
        <v>0</v>
      </c>
    </row>
    <row r="140" spans="3:6" x14ac:dyDescent="0.25">
      <c r="D140">
        <v>2014</v>
      </c>
      <c r="E140" t="s">
        <v>410</v>
      </c>
      <c r="F140" s="4">
        <f>HLOOKUP($E$4,'Syndicats Bilan'!$F$3:$AG$226,135,0)</f>
        <v>0</v>
      </c>
    </row>
    <row r="141" spans="3:6" x14ac:dyDescent="0.25">
      <c r="D141">
        <v>2015</v>
      </c>
      <c r="E141" t="s">
        <v>409</v>
      </c>
      <c r="F141" s="4">
        <f>HLOOKUP($E$4,'Syndicats Bilan'!$F$3:$AG$226,136,0)</f>
        <v>0</v>
      </c>
    </row>
    <row r="142" spans="3:6" x14ac:dyDescent="0.25">
      <c r="D142">
        <v>2016</v>
      </c>
      <c r="E142" t="s">
        <v>269</v>
      </c>
      <c r="F142" s="4">
        <f>HLOOKUP($E$4,'Syndicats Bilan'!$F$3:$AG$226,137,0)</f>
        <v>0</v>
      </c>
    </row>
    <row r="143" spans="3:6" x14ac:dyDescent="0.25">
      <c r="D143">
        <v>2019</v>
      </c>
      <c r="E143" t="s">
        <v>411</v>
      </c>
      <c r="F143" s="4">
        <f>HLOOKUP($E$4,'Syndicats Bilan'!$F$3:$AG$226,138,0)</f>
        <v>0</v>
      </c>
    </row>
    <row r="144" spans="3:6" x14ac:dyDescent="0.25">
      <c r="F144" s="4"/>
    </row>
    <row r="145" spans="3:6" x14ac:dyDescent="0.25">
      <c r="C145" s="66">
        <v>204</v>
      </c>
      <c r="D145" s="66"/>
      <c r="E145" s="66" t="s">
        <v>255</v>
      </c>
      <c r="F145" s="67">
        <f>HLOOKUP($E$4,'Syndicats Bilan'!$F$3:$AG$226,140,0)</f>
        <v>3435.3</v>
      </c>
    </row>
    <row r="146" spans="3:6" x14ac:dyDescent="0.25">
      <c r="D146">
        <v>2040</v>
      </c>
      <c r="E146" t="s">
        <v>61</v>
      </c>
      <c r="F146" s="4">
        <f>HLOOKUP($E$4,'Syndicats Bilan'!$F$3:$AG$226,141,0)</f>
        <v>0</v>
      </c>
    </row>
    <row r="147" spans="3:6" x14ac:dyDescent="0.25">
      <c r="D147">
        <v>2041</v>
      </c>
      <c r="E147" t="s">
        <v>277</v>
      </c>
      <c r="F147" s="4">
        <f>HLOOKUP($E$4,'Syndicats Bilan'!$F$3:$AG$226,142,0)</f>
        <v>0</v>
      </c>
    </row>
    <row r="148" spans="3:6" x14ac:dyDescent="0.25">
      <c r="D148">
        <v>2042</v>
      </c>
      <c r="E148" t="s">
        <v>331</v>
      </c>
      <c r="F148" s="4">
        <f>HLOOKUP($E$4,'Syndicats Bilan'!$F$3:$AG$226,143,0)</f>
        <v>0</v>
      </c>
    </row>
    <row r="149" spans="3:6" x14ac:dyDescent="0.25">
      <c r="D149">
        <v>2043</v>
      </c>
      <c r="E149" t="s">
        <v>332</v>
      </c>
      <c r="F149" s="4">
        <f>HLOOKUP($E$4,'Syndicats Bilan'!$F$3:$AG$226,144,0)</f>
        <v>0</v>
      </c>
    </row>
    <row r="150" spans="3:6" x14ac:dyDescent="0.25">
      <c r="D150">
        <v>2044</v>
      </c>
      <c r="E150" t="s">
        <v>412</v>
      </c>
      <c r="F150" s="4">
        <f>HLOOKUP($E$4,'Syndicats Bilan'!$F$3:$AG$226,145,0)</f>
        <v>0</v>
      </c>
    </row>
    <row r="151" spans="3:6" x14ac:dyDescent="0.25">
      <c r="D151">
        <v>2045</v>
      </c>
      <c r="E151" t="s">
        <v>334</v>
      </c>
      <c r="F151" s="4">
        <f>HLOOKUP($E$4,'Syndicats Bilan'!$F$3:$AG$226,146,0)</f>
        <v>3435.3</v>
      </c>
    </row>
    <row r="152" spans="3:6" x14ac:dyDescent="0.25">
      <c r="D152">
        <v>2046</v>
      </c>
      <c r="E152" t="s">
        <v>413</v>
      </c>
      <c r="F152" s="4">
        <f>HLOOKUP($E$4,'Syndicats Bilan'!$F$3:$AG$226,147,0)</f>
        <v>0</v>
      </c>
    </row>
    <row r="153" spans="3:6" x14ac:dyDescent="0.25">
      <c r="D153">
        <v>2049</v>
      </c>
      <c r="E153" t="s">
        <v>414</v>
      </c>
      <c r="F153" s="4">
        <f>HLOOKUP($E$4,'Syndicats Bilan'!$F$3:$AG$226,148,0)</f>
        <v>0</v>
      </c>
    </row>
    <row r="154" spans="3:6" x14ac:dyDescent="0.25">
      <c r="F154" s="4"/>
    </row>
    <row r="155" spans="3:6" x14ac:dyDescent="0.25">
      <c r="C155" s="66">
        <v>205</v>
      </c>
      <c r="D155" s="66"/>
      <c r="E155" s="66" t="s">
        <v>256</v>
      </c>
      <c r="F155" s="67">
        <f>HLOOKUP($E$4,'Syndicats Bilan'!$F$3:$AG$226,150,0)</f>
        <v>0</v>
      </c>
    </row>
    <row r="156" spans="3:6" x14ac:dyDescent="0.25">
      <c r="D156">
        <v>2050</v>
      </c>
      <c r="E156" t="s">
        <v>415</v>
      </c>
      <c r="F156" s="4">
        <f>HLOOKUP($E$4,'Syndicats Bilan'!$F$3:$AG$226,151,0)</f>
        <v>0</v>
      </c>
    </row>
    <row r="157" spans="3:6" x14ac:dyDescent="0.25">
      <c r="D157">
        <v>2051</v>
      </c>
      <c r="E157" t="s">
        <v>416</v>
      </c>
      <c r="F157" s="4">
        <f>HLOOKUP($E$4,'Syndicats Bilan'!$F$3:$AG$226,152,0)</f>
        <v>0</v>
      </c>
    </row>
    <row r="158" spans="3:6" x14ac:dyDescent="0.25">
      <c r="D158">
        <v>2052</v>
      </c>
      <c r="E158" t="s">
        <v>417</v>
      </c>
      <c r="F158" s="4">
        <f>HLOOKUP($E$4,'Syndicats Bilan'!$F$3:$AG$226,153,0)</f>
        <v>0</v>
      </c>
    </row>
    <row r="159" spans="3:6" x14ac:dyDescent="0.25">
      <c r="D159">
        <v>2053</v>
      </c>
      <c r="E159" t="s">
        <v>421</v>
      </c>
      <c r="F159" s="4">
        <f>HLOOKUP($E$4,'Syndicats Bilan'!$F$3:$AG$226,154,0)</f>
        <v>0</v>
      </c>
    </row>
    <row r="160" spans="3:6" x14ac:dyDescent="0.25">
      <c r="D160">
        <v>2054</v>
      </c>
      <c r="E160" t="s">
        <v>419</v>
      </c>
      <c r="F160" s="4">
        <f>HLOOKUP($E$4,'Syndicats Bilan'!$F$3:$AG$226,155,0)</f>
        <v>0</v>
      </c>
    </row>
    <row r="161" spans="3:6" x14ac:dyDescent="0.25">
      <c r="D161">
        <v>2055</v>
      </c>
      <c r="E161" t="s">
        <v>418</v>
      </c>
      <c r="F161" s="4">
        <f>HLOOKUP($E$4,'Syndicats Bilan'!$F$3:$AG$226,156,0)</f>
        <v>0</v>
      </c>
    </row>
    <row r="162" spans="3:6" x14ac:dyDescent="0.25">
      <c r="D162">
        <v>2056</v>
      </c>
      <c r="E162" t="s">
        <v>420</v>
      </c>
      <c r="F162" s="4">
        <f>HLOOKUP($E$4,'Syndicats Bilan'!$F$3:$AG$226,157,0)</f>
        <v>0</v>
      </c>
    </row>
    <row r="163" spans="3:6" x14ac:dyDescent="0.25">
      <c r="D163">
        <v>2057</v>
      </c>
      <c r="E163" t="s">
        <v>422</v>
      </c>
      <c r="F163" s="4">
        <f>HLOOKUP($E$4,'Syndicats Bilan'!$F$3:$AG$226,158,0)</f>
        <v>0</v>
      </c>
    </row>
    <row r="164" spans="3:6" x14ac:dyDescent="0.25">
      <c r="D164">
        <v>2058</v>
      </c>
      <c r="E164" t="s">
        <v>423</v>
      </c>
      <c r="F164" s="4">
        <f>HLOOKUP($E$4,'Syndicats Bilan'!$F$3:$AG$226,159,0)</f>
        <v>0</v>
      </c>
    </row>
    <row r="165" spans="3:6" x14ac:dyDescent="0.25">
      <c r="D165">
        <v>2059</v>
      </c>
      <c r="E165" t="s">
        <v>424</v>
      </c>
      <c r="F165" s="4">
        <f>HLOOKUP($E$4,'Syndicats Bilan'!$F$3:$AG$226,160,0)</f>
        <v>0</v>
      </c>
    </row>
    <row r="166" spans="3:6" x14ac:dyDescent="0.25">
      <c r="F166" s="4"/>
    </row>
    <row r="167" spans="3:6" x14ac:dyDescent="0.25">
      <c r="C167" s="66">
        <v>206</v>
      </c>
      <c r="D167" s="66"/>
      <c r="E167" s="66" t="s">
        <v>257</v>
      </c>
      <c r="F167" s="67">
        <f>HLOOKUP($E$4,'Syndicats Bilan'!$F$3:$AG$226,162,0)</f>
        <v>0</v>
      </c>
    </row>
    <row r="168" spans="3:6" x14ac:dyDescent="0.25">
      <c r="D168">
        <v>2060</v>
      </c>
      <c r="E168" t="s">
        <v>425</v>
      </c>
      <c r="F168" s="4">
        <f>HLOOKUP($E$4,'Syndicats Bilan'!$F$3:$AG$226,163,0)</f>
        <v>0</v>
      </c>
    </row>
    <row r="169" spans="3:6" x14ac:dyDescent="0.25">
      <c r="D169">
        <v>2062</v>
      </c>
      <c r="E169" t="s">
        <v>426</v>
      </c>
      <c r="F169" s="4">
        <f>HLOOKUP($E$4,'Syndicats Bilan'!$F$3:$AG$226,164,0)</f>
        <v>0</v>
      </c>
    </row>
    <row r="170" spans="3:6" x14ac:dyDescent="0.25">
      <c r="D170">
        <v>2063</v>
      </c>
      <c r="E170" t="s">
        <v>427</v>
      </c>
      <c r="F170" s="4">
        <f>HLOOKUP($E$4,'Syndicats Bilan'!$F$3:$AG$226,165,0)</f>
        <v>0</v>
      </c>
    </row>
    <row r="171" spans="3:6" x14ac:dyDescent="0.25">
      <c r="D171">
        <v>2064</v>
      </c>
      <c r="E171" t="s">
        <v>448</v>
      </c>
      <c r="F171" s="4">
        <f>HLOOKUP($E$4,'Syndicats Bilan'!$F$3:$AG$226,166,0)</f>
        <v>0</v>
      </c>
    </row>
    <row r="172" spans="3:6" x14ac:dyDescent="0.25">
      <c r="D172">
        <v>2067</v>
      </c>
      <c r="E172" t="s">
        <v>429</v>
      </c>
      <c r="F172" s="4">
        <f>HLOOKUP($E$4,'Syndicats Bilan'!$F$3:$AG$226,167,0)</f>
        <v>0</v>
      </c>
    </row>
    <row r="173" spans="3:6" x14ac:dyDescent="0.25">
      <c r="D173">
        <v>2069</v>
      </c>
      <c r="E173" t="s">
        <v>430</v>
      </c>
      <c r="F173" s="4">
        <f>HLOOKUP($E$4,'Syndicats Bilan'!$F$3:$AG$226,168,0)</f>
        <v>0</v>
      </c>
    </row>
    <row r="174" spans="3:6" x14ac:dyDescent="0.25">
      <c r="F174" s="4"/>
    </row>
    <row r="175" spans="3:6" x14ac:dyDescent="0.25">
      <c r="C175" s="66">
        <v>208</v>
      </c>
      <c r="D175" s="66"/>
      <c r="E175" s="66" t="s">
        <v>258</v>
      </c>
      <c r="F175" s="67">
        <f>HLOOKUP($E$4,'Syndicats Bilan'!$F$3:$AG$226,170,0)</f>
        <v>0</v>
      </c>
    </row>
    <row r="176" spans="3:6" x14ac:dyDescent="0.25">
      <c r="D176">
        <v>2081</v>
      </c>
      <c r="E176" t="s">
        <v>431</v>
      </c>
      <c r="F176" s="4">
        <f>HLOOKUP($E$4,'Syndicats Bilan'!$F$3:$AG$226,171,0)</f>
        <v>0</v>
      </c>
    </row>
    <row r="177" spans="2:6" x14ac:dyDescent="0.25">
      <c r="D177">
        <v>2082</v>
      </c>
      <c r="E177" t="s">
        <v>432</v>
      </c>
      <c r="F177" s="4">
        <f>HLOOKUP($E$4,'Syndicats Bilan'!$F$3:$AG$226,172,0)</f>
        <v>0</v>
      </c>
    </row>
    <row r="178" spans="2:6" x14ac:dyDescent="0.25">
      <c r="D178">
        <v>2083</v>
      </c>
      <c r="E178" t="s">
        <v>433</v>
      </c>
      <c r="F178" s="4">
        <f>HLOOKUP($E$4,'Syndicats Bilan'!$F$3:$AG$226,173,0)</f>
        <v>0</v>
      </c>
    </row>
    <row r="179" spans="2:6" x14ac:dyDescent="0.25">
      <c r="D179">
        <v>2084</v>
      </c>
      <c r="E179" t="s">
        <v>434</v>
      </c>
      <c r="F179" s="4">
        <f>HLOOKUP($E$4,'Syndicats Bilan'!$F$3:$AG$226,174,0)</f>
        <v>0</v>
      </c>
    </row>
    <row r="180" spans="2:6" x14ac:dyDescent="0.25">
      <c r="D180">
        <v>2085</v>
      </c>
      <c r="E180" t="s">
        <v>436</v>
      </c>
      <c r="F180" s="4">
        <f>HLOOKUP($E$4,'Syndicats Bilan'!$F$3:$AG$226,175,0)</f>
        <v>0</v>
      </c>
    </row>
    <row r="181" spans="2:6" x14ac:dyDescent="0.25">
      <c r="D181">
        <v>2086</v>
      </c>
      <c r="E181" t="s">
        <v>435</v>
      </c>
      <c r="F181" s="4">
        <f>HLOOKUP($E$4,'Syndicats Bilan'!$F$3:$AG$226,176,0)</f>
        <v>0</v>
      </c>
    </row>
    <row r="182" spans="2:6" x14ac:dyDescent="0.25">
      <c r="D182">
        <v>2087</v>
      </c>
      <c r="E182" t="s">
        <v>437</v>
      </c>
      <c r="F182" s="4">
        <f>HLOOKUP($E$4,'Syndicats Bilan'!$F$3:$AG$226,177,0)</f>
        <v>0</v>
      </c>
    </row>
    <row r="183" spans="2:6" x14ac:dyDescent="0.25">
      <c r="D183">
        <v>2088</v>
      </c>
      <c r="E183" t="s">
        <v>438</v>
      </c>
      <c r="F183" s="4">
        <f>HLOOKUP($E$4,'Syndicats Bilan'!$F$3:$AG$226,178,0)</f>
        <v>0</v>
      </c>
    </row>
    <row r="184" spans="2:6" x14ac:dyDescent="0.25">
      <c r="D184">
        <v>2089</v>
      </c>
      <c r="E184" t="s">
        <v>439</v>
      </c>
      <c r="F184" s="4">
        <f>HLOOKUP($E$4,'Syndicats Bilan'!$F$3:$AG$226,179,0)</f>
        <v>0</v>
      </c>
    </row>
    <row r="185" spans="2:6" x14ac:dyDescent="0.25">
      <c r="F185" s="4"/>
    </row>
    <row r="186" spans="2:6" x14ac:dyDescent="0.25">
      <c r="C186" s="66">
        <v>209</v>
      </c>
      <c r="D186" s="66"/>
      <c r="E186" s="66" t="s">
        <v>259</v>
      </c>
      <c r="F186" s="67">
        <f>HLOOKUP($E$4,'Syndicats Bilan'!$F$3:$AG$226,181,0)</f>
        <v>0</v>
      </c>
    </row>
    <row r="187" spans="2:6" x14ac:dyDescent="0.25">
      <c r="D187">
        <v>2090</v>
      </c>
      <c r="E187" t="s">
        <v>259</v>
      </c>
      <c r="F187" s="4">
        <f>HLOOKUP($E$4,'Syndicats Bilan'!$F$3:$AG$226,182,0)</f>
        <v>0</v>
      </c>
    </row>
    <row r="188" spans="2:6" x14ac:dyDescent="0.25">
      <c r="D188">
        <v>2091</v>
      </c>
      <c r="E188" t="s">
        <v>440</v>
      </c>
      <c r="F188" s="4">
        <f>HLOOKUP($E$4,'Syndicats Bilan'!$F$3:$AG$226,183,0)</f>
        <v>0</v>
      </c>
    </row>
    <row r="189" spans="2:6" x14ac:dyDescent="0.25">
      <c r="D189">
        <v>2092</v>
      </c>
      <c r="E189" t="s">
        <v>441</v>
      </c>
      <c r="F189" s="4">
        <f>HLOOKUP($E$4,'Syndicats Bilan'!$F$3:$AG$226,184,0)</f>
        <v>0</v>
      </c>
    </row>
    <row r="190" spans="2:6" x14ac:dyDescent="0.25">
      <c r="D190">
        <v>2093</v>
      </c>
      <c r="E190" t="s">
        <v>442</v>
      </c>
      <c r="F190" s="4">
        <f>HLOOKUP($E$4,'Syndicats Bilan'!$F$3:$AG$226,185,0)</f>
        <v>0</v>
      </c>
    </row>
    <row r="191" spans="2:6" x14ac:dyDescent="0.25">
      <c r="F191" s="4"/>
    </row>
    <row r="192" spans="2:6" x14ac:dyDescent="0.25">
      <c r="B192" s="68">
        <v>29</v>
      </c>
      <c r="C192" s="68"/>
      <c r="D192" s="68"/>
      <c r="E192" s="68" t="s">
        <v>260</v>
      </c>
      <c r="F192" s="69">
        <f>HLOOKUP($E$4,'Syndicats Bilan'!$F$3:$AG$226,187,0)</f>
        <v>14039365.43</v>
      </c>
    </row>
    <row r="193" spans="3:6" x14ac:dyDescent="0.25">
      <c r="C193" s="66">
        <v>290</v>
      </c>
      <c r="D193" s="66"/>
      <c r="E193" s="66" t="s">
        <v>261</v>
      </c>
      <c r="F193" s="67">
        <f>HLOOKUP($E$4,'Syndicats Bilan'!$F$3:$AG$226,188,0)</f>
        <v>0</v>
      </c>
    </row>
    <row r="194" spans="3:6" x14ac:dyDescent="0.25">
      <c r="D194">
        <v>2900</v>
      </c>
      <c r="E194" t="s">
        <v>261</v>
      </c>
      <c r="F194" s="4">
        <f>HLOOKUP($E$4,'Syndicats Bilan'!$F$3:$AG$226,189,0)</f>
        <v>0</v>
      </c>
    </row>
    <row r="195" spans="3:6" x14ac:dyDescent="0.25">
      <c r="F195" s="4"/>
    </row>
    <row r="196" spans="3:6" x14ac:dyDescent="0.25">
      <c r="C196" s="66">
        <v>291</v>
      </c>
      <c r="D196" s="66"/>
      <c r="E196" s="66" t="s">
        <v>262</v>
      </c>
      <c r="F196" s="67">
        <f>HLOOKUP($E$4,'Syndicats Bilan'!$F$3:$AG$226,191,0)</f>
        <v>0</v>
      </c>
    </row>
    <row r="197" spans="3:6" x14ac:dyDescent="0.25">
      <c r="D197">
        <v>2910</v>
      </c>
      <c r="E197" t="s">
        <v>262</v>
      </c>
      <c r="F197" s="4">
        <f>HLOOKUP($E$4,'Syndicats Bilan'!$F$3:$AG$226,192,0)</f>
        <v>0</v>
      </c>
    </row>
    <row r="198" spans="3:6" x14ac:dyDescent="0.25">
      <c r="D198">
        <v>2911</v>
      </c>
      <c r="E198" t="s">
        <v>443</v>
      </c>
      <c r="F198" s="4">
        <f>HLOOKUP($E$4,'Syndicats Bilan'!$F$3:$AG$226,193,0)</f>
        <v>0</v>
      </c>
    </row>
    <row r="199" spans="3:6" x14ac:dyDescent="0.25">
      <c r="F199" s="4"/>
    </row>
    <row r="200" spans="3:6" x14ac:dyDescent="0.25">
      <c r="C200" s="66">
        <v>292</v>
      </c>
      <c r="D200" s="66"/>
      <c r="E200" s="66" t="s">
        <v>263</v>
      </c>
      <c r="F200" s="67">
        <f>HLOOKUP($E$4,'Syndicats Bilan'!$F$3:$AG$226,195,0)</f>
        <v>0</v>
      </c>
    </row>
    <row r="201" spans="3:6" x14ac:dyDescent="0.25">
      <c r="D201">
        <v>2920</v>
      </c>
      <c r="E201" t="s">
        <v>263</v>
      </c>
      <c r="F201" s="4">
        <f>HLOOKUP($E$4,'Syndicats Bilan'!$F$3:$AG$226,196,0)</f>
        <v>0</v>
      </c>
    </row>
    <row r="202" spans="3:6" x14ac:dyDescent="0.25">
      <c r="F202" s="4"/>
    </row>
    <row r="203" spans="3:6" x14ac:dyDescent="0.25">
      <c r="C203" s="66">
        <v>293</v>
      </c>
      <c r="D203" s="66"/>
      <c r="E203" s="66" t="s">
        <v>264</v>
      </c>
      <c r="F203" s="67">
        <f>HLOOKUP($E$4,'Syndicats Bilan'!$F$3:$AG$226,198,0)</f>
        <v>13048948.65</v>
      </c>
    </row>
    <row r="204" spans="3:6" x14ac:dyDescent="0.25">
      <c r="D204">
        <v>2930</v>
      </c>
      <c r="E204" t="s">
        <v>264</v>
      </c>
      <c r="F204" s="4">
        <f>HLOOKUP($E$4,'Syndicats Bilan'!$F$3:$AG$226,199,0)</f>
        <v>13048948.65</v>
      </c>
    </row>
    <row r="205" spans="3:6" x14ac:dyDescent="0.25">
      <c r="F205" s="4"/>
    </row>
    <row r="206" spans="3:6" x14ac:dyDescent="0.25">
      <c r="C206" s="66">
        <v>294</v>
      </c>
      <c r="D206" s="66"/>
      <c r="E206" s="66" t="s">
        <v>265</v>
      </c>
      <c r="F206" s="67">
        <f>HLOOKUP($E$4,'Syndicats Bilan'!$F$3:$AG$226,201,0)</f>
        <v>141113.85999999999</v>
      </c>
    </row>
    <row r="207" spans="3:6" x14ac:dyDescent="0.25">
      <c r="D207">
        <v>2940</v>
      </c>
      <c r="E207" t="s">
        <v>265</v>
      </c>
      <c r="F207" s="4">
        <f>HLOOKUP($E$4,'Syndicats Bilan'!$F$3:$AG$226,202,0)</f>
        <v>141113.85999999999</v>
      </c>
    </row>
    <row r="208" spans="3:6" x14ac:dyDescent="0.25">
      <c r="F208" s="4"/>
    </row>
    <row r="209" spans="3:6" x14ac:dyDescent="0.25">
      <c r="C209" s="66">
        <v>295</v>
      </c>
      <c r="D209" s="66"/>
      <c r="E209" s="66" t="s">
        <v>266</v>
      </c>
      <c r="F209" s="67">
        <f>HLOOKUP($E$4,'Syndicats Bilan'!$F$3:$AG$226,204,0)</f>
        <v>0</v>
      </c>
    </row>
    <row r="210" spans="3:6" x14ac:dyDescent="0.25">
      <c r="D210">
        <v>2950</v>
      </c>
      <c r="E210" t="s">
        <v>266</v>
      </c>
      <c r="F210" s="4">
        <f>HLOOKUP($E$4,'Syndicats Bilan'!$F$3:$AG$226,205,0)</f>
        <v>0</v>
      </c>
    </row>
    <row r="211" spans="3:6" x14ac:dyDescent="0.25">
      <c r="F211" s="4"/>
    </row>
    <row r="212" spans="3:6" x14ac:dyDescent="0.25">
      <c r="C212" s="66">
        <v>296</v>
      </c>
      <c r="D212" s="66"/>
      <c r="E212" s="66" t="s">
        <v>267</v>
      </c>
      <c r="F212" s="67">
        <f>HLOOKUP($E$4,'Syndicats Bilan'!$F$3:$AG$226,207,0)</f>
        <v>0</v>
      </c>
    </row>
    <row r="213" spans="3:6" x14ac:dyDescent="0.25">
      <c r="D213">
        <v>2960</v>
      </c>
      <c r="E213" t="s">
        <v>267</v>
      </c>
      <c r="F213" s="4">
        <f>HLOOKUP($E$4,'Syndicats Bilan'!$F$3:$AG$226,208,0)</f>
        <v>0</v>
      </c>
    </row>
    <row r="214" spans="3:6" x14ac:dyDescent="0.25">
      <c r="F214" s="4"/>
    </row>
    <row r="215" spans="3:6" x14ac:dyDescent="0.25">
      <c r="C215" s="66">
        <v>298</v>
      </c>
      <c r="D215" s="66"/>
      <c r="E215" s="66" t="s">
        <v>268</v>
      </c>
      <c r="F215" s="67">
        <f>HLOOKUP($E$4,'Syndicats Bilan'!$F$3:$AG$226,210,0)</f>
        <v>0</v>
      </c>
    </row>
    <row r="216" spans="3:6" x14ac:dyDescent="0.25">
      <c r="D216">
        <v>2980</v>
      </c>
      <c r="E216" t="s">
        <v>268</v>
      </c>
      <c r="F216" s="4">
        <f>HLOOKUP($E$4,'Syndicats Bilan'!$F$3:$AG$226,211,0)</f>
        <v>0</v>
      </c>
    </row>
    <row r="217" spans="3:6" x14ac:dyDescent="0.25">
      <c r="F217" s="4"/>
    </row>
    <row r="218" spans="3:6" x14ac:dyDescent="0.25">
      <c r="C218" s="66">
        <v>299</v>
      </c>
      <c r="D218" s="66"/>
      <c r="E218" s="66" t="s">
        <v>444</v>
      </c>
      <c r="F218" s="67">
        <f>HLOOKUP($E$4,'Syndicats Bilan'!$F$3:$AG$226,213,0)</f>
        <v>849302.91999999993</v>
      </c>
    </row>
    <row r="219" spans="3:6" x14ac:dyDescent="0.25">
      <c r="D219">
        <v>2990</v>
      </c>
      <c r="E219" t="s">
        <v>444</v>
      </c>
      <c r="F219" s="4">
        <f>HLOOKUP($E$4,'Syndicats Bilan'!$F$3:$AG$226,214,0)</f>
        <v>144824.95999999999</v>
      </c>
    </row>
    <row r="220" spans="3:6" x14ac:dyDescent="0.25">
      <c r="D220">
        <v>2999</v>
      </c>
      <c r="E220" t="s">
        <v>582</v>
      </c>
      <c r="F220" s="4">
        <f>HLOOKUP($E$4,'Syndicats Bilan'!$F$3:$AG$226,215,0)</f>
        <v>704477.96</v>
      </c>
    </row>
    <row r="221" spans="3:6" x14ac:dyDescent="0.25">
      <c r="F221" s="4"/>
    </row>
    <row r="222" spans="3:6" x14ac:dyDescent="0.25">
      <c r="C222" s="128"/>
      <c r="D222" s="128"/>
      <c r="E222" s="128" t="s">
        <v>587</v>
      </c>
      <c r="F222" s="145">
        <f>HLOOKUP($E$4,'Syndicats Bilan'!$F$3:$AG$226,217,0)</f>
        <v>0</v>
      </c>
    </row>
    <row r="223" spans="3:6" x14ac:dyDescent="0.25">
      <c r="D223">
        <v>290</v>
      </c>
      <c r="E223" t="s">
        <v>586</v>
      </c>
      <c r="F223" s="4">
        <f>HLOOKUP($E$4,'Syndicats Bilan'!$F$3:$AG$226,218,0)</f>
        <v>144824.95999999999</v>
      </c>
    </row>
    <row r="224" spans="3:6" x14ac:dyDescent="0.25">
      <c r="D224">
        <v>2990</v>
      </c>
      <c r="E224" t="s">
        <v>590</v>
      </c>
      <c r="F224" s="4">
        <f>HLOOKUP($E$4,'Syndicats Bilan'!$F$3:$AG$226,219,0)</f>
        <v>144824.95999999999</v>
      </c>
    </row>
    <row r="225" spans="5:6" x14ac:dyDescent="0.25">
      <c r="F225" s="4"/>
    </row>
    <row r="226" spans="5:6" x14ac:dyDescent="0.25">
      <c r="E226" s="7" t="s">
        <v>589</v>
      </c>
      <c r="F226" s="4">
        <f>HLOOKUP($E$4,'Syndicats Bilan'!$F$3:$AG$226,221,0)</f>
        <v>289649.91999999998</v>
      </c>
    </row>
    <row r="227" spans="5:6" x14ac:dyDescent="0.25">
      <c r="F227" s="4"/>
    </row>
    <row r="228" spans="5:6" x14ac:dyDescent="0.25">
      <c r="E228" s="48" t="s">
        <v>588</v>
      </c>
      <c r="F228" s="4">
        <f>HLOOKUP($E$4,'Syndicats Bilan'!$F$3:$AG$226,223,0)</f>
        <v>0</v>
      </c>
    </row>
    <row r="229" spans="5:6" x14ac:dyDescent="0.25">
      <c r="F229" s="4"/>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A00-000000000000}">
          <x14:formula1>
            <xm:f>'Syndicats Bilan'!$F$3:$AG$3</xm:f>
          </x14:formula1>
          <xm:sqref>E4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59999389629810485"/>
  </sheetPr>
  <dimension ref="A1:B34"/>
  <sheetViews>
    <sheetView topLeftCell="A16" workbookViewId="0">
      <selection activeCell="D50" sqref="D50"/>
    </sheetView>
  </sheetViews>
  <sheetFormatPr baseColWidth="10" defaultColWidth="11.42578125" defaultRowHeight="15" x14ac:dyDescent="0.25"/>
  <cols>
    <col min="1" max="1" width="63.5703125" customWidth="1"/>
    <col min="2" max="2" width="22.85546875" customWidth="1"/>
  </cols>
  <sheetData>
    <row r="1" spans="1:2" x14ac:dyDescent="0.25">
      <c r="A1" s="7"/>
    </row>
    <row r="4" spans="1:2" ht="21" x14ac:dyDescent="0.35">
      <c r="A4" s="167" t="s">
        <v>60</v>
      </c>
      <c r="B4" s="4"/>
    </row>
    <row r="5" spans="1:2" x14ac:dyDescent="0.25">
      <c r="A5" s="7" t="s">
        <v>762</v>
      </c>
      <c r="B5" s="4">
        <f>'4.1 Comptes 2021 natures'!BF5</f>
        <v>69908877.330000013</v>
      </c>
    </row>
    <row r="6" spans="1:2" x14ac:dyDescent="0.25">
      <c r="A6" s="7" t="s">
        <v>763</v>
      </c>
      <c r="B6" s="4">
        <f>'4.1 Comptes 2021 natures'!BF15</f>
        <v>76120991.789999992</v>
      </c>
    </row>
    <row r="7" spans="1:2" x14ac:dyDescent="0.25">
      <c r="A7" s="7" t="s">
        <v>764</v>
      </c>
      <c r="B7" s="4">
        <f>'4.1 Comptes 2021 natures'!BF27</f>
        <v>22383743.729999997</v>
      </c>
    </row>
    <row r="8" spans="1:2" x14ac:dyDescent="0.25">
      <c r="A8" s="7" t="s">
        <v>765</v>
      </c>
      <c r="B8" s="4">
        <f>'4.1 Comptes 2021 natures'!BF31</f>
        <v>8323158.1299999999</v>
      </c>
    </row>
    <row r="9" spans="1:2" x14ac:dyDescent="0.25">
      <c r="A9" s="7" t="s">
        <v>766</v>
      </c>
      <c r="B9" s="4">
        <f>'4.1 Comptes 2021 natures'!BF39</f>
        <v>2171228.4500000007</v>
      </c>
    </row>
    <row r="10" spans="1:2" x14ac:dyDescent="0.25">
      <c r="A10" s="7" t="s">
        <v>767</v>
      </c>
      <c r="B10" s="4">
        <f>'4.1 Comptes 2021 natures'!BF43</f>
        <v>189198165.47</v>
      </c>
    </row>
    <row r="11" spans="1:2" x14ac:dyDescent="0.25">
      <c r="A11" s="7" t="s">
        <v>768</v>
      </c>
      <c r="B11" s="4">
        <f>'4.1 Comptes 2021 natures'!BF53</f>
        <v>2751538.95</v>
      </c>
    </row>
    <row r="12" spans="1:2" x14ac:dyDescent="0.25">
      <c r="A12" s="7" t="s">
        <v>769</v>
      </c>
      <c r="B12" s="4">
        <f>'4.1 Comptes 2021 natures'!BF56</f>
        <v>5390500.2599999998</v>
      </c>
    </row>
    <row r="13" spans="1:2" x14ac:dyDescent="0.25">
      <c r="A13" s="7" t="s">
        <v>770</v>
      </c>
      <c r="B13" s="4">
        <f>'4.1 Comptes 2021 natures'!BF64</f>
        <v>7585405.8799999999</v>
      </c>
    </row>
    <row r="14" spans="1:2" x14ac:dyDescent="0.25">
      <c r="B14" s="4"/>
    </row>
    <row r="15" spans="1:2" ht="21" x14ac:dyDescent="0.35">
      <c r="A15" s="167" t="s">
        <v>137</v>
      </c>
      <c r="B15" s="4"/>
    </row>
    <row r="16" spans="1:2" x14ac:dyDescent="0.25">
      <c r="A16" s="7" t="s">
        <v>771</v>
      </c>
      <c r="B16" s="4">
        <f>'4.1 Comptes 2021 natures'!BF76</f>
        <v>220686647.36000004</v>
      </c>
    </row>
    <row r="17" spans="1:2" x14ac:dyDescent="0.25">
      <c r="A17" s="7" t="s">
        <v>772</v>
      </c>
      <c r="B17" s="4">
        <f>'4.1 Comptes 2021 natures'!BF82</f>
        <v>1118975.43</v>
      </c>
    </row>
    <row r="18" spans="1:2" x14ac:dyDescent="0.25">
      <c r="A18" s="7" t="s">
        <v>773</v>
      </c>
      <c r="B18" s="4">
        <f>'4.1 Comptes 2021 natures'!BF88</f>
        <v>79953170.469999999</v>
      </c>
    </row>
    <row r="19" spans="1:2" x14ac:dyDescent="0.25">
      <c r="A19" s="7" t="s">
        <v>774</v>
      </c>
      <c r="B19" s="4">
        <f>'4.1 Comptes 2021 natures'!BF99</f>
        <v>2251909.0299999998</v>
      </c>
    </row>
    <row r="20" spans="1:2" x14ac:dyDescent="0.25">
      <c r="A20" s="7" t="s">
        <v>775</v>
      </c>
      <c r="B20" s="4">
        <f>'4.1 Comptes 2021 natures'!BF105</f>
        <v>14543222.970000001</v>
      </c>
    </row>
    <row r="21" spans="1:2" x14ac:dyDescent="0.25">
      <c r="A21" s="7" t="s">
        <v>776</v>
      </c>
      <c r="B21" s="4">
        <f>'4.1 Comptes 2021 natures'!BF117</f>
        <v>899800.40999999992</v>
      </c>
    </row>
    <row r="22" spans="1:2" x14ac:dyDescent="0.25">
      <c r="A22" s="7" t="s">
        <v>777</v>
      </c>
      <c r="B22" s="4">
        <f>'4.1 Comptes 2021 natures'!BF121</f>
        <v>64521544.840000004</v>
      </c>
    </row>
    <row r="23" spans="1:2" x14ac:dyDescent="0.25">
      <c r="A23" s="7" t="s">
        <v>778</v>
      </c>
      <c r="B23" s="4">
        <f>'4.1 Comptes 2021 natures'!BF128</f>
        <v>2368380.25</v>
      </c>
    </row>
    <row r="24" spans="1:2" x14ac:dyDescent="0.25">
      <c r="A24" s="7" t="s">
        <v>779</v>
      </c>
      <c r="B24" s="4">
        <f>'4.1 Comptes 2021 natures'!BF131</f>
        <v>3735282.14</v>
      </c>
    </row>
    <row r="25" spans="1:2" x14ac:dyDescent="0.25">
      <c r="A25" s="7" t="s">
        <v>780</v>
      </c>
      <c r="B25" s="4">
        <f>'4.1 Comptes 2021 natures'!BF140</f>
        <v>7606722.9299999997</v>
      </c>
    </row>
    <row r="26" spans="1:2" x14ac:dyDescent="0.25">
      <c r="B26" s="4"/>
    </row>
    <row r="27" spans="1:2" x14ac:dyDescent="0.25">
      <c r="B27" s="4"/>
    </row>
    <row r="28" spans="1:2" x14ac:dyDescent="0.25">
      <c r="B28" s="4"/>
    </row>
    <row r="29" spans="1:2" x14ac:dyDescent="0.25">
      <c r="B29" s="4"/>
    </row>
    <row r="30" spans="1:2" x14ac:dyDescent="0.25">
      <c r="B30" s="4"/>
    </row>
    <row r="31" spans="1:2" x14ac:dyDescent="0.25">
      <c r="B31" s="4"/>
    </row>
    <row r="32" spans="1:2" x14ac:dyDescent="0.25">
      <c r="B32" s="4"/>
    </row>
    <row r="33" spans="2:2" x14ac:dyDescent="0.25">
      <c r="B33" s="4"/>
    </row>
    <row r="34" spans="2:2" x14ac:dyDescent="0.25">
      <c r="B34" s="4"/>
    </row>
  </sheetData>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FF0000"/>
  </sheetPr>
  <dimension ref="A1:AD28"/>
  <sheetViews>
    <sheetView workbookViewId="0">
      <selection activeCell="A2" sqref="A2"/>
    </sheetView>
  </sheetViews>
  <sheetFormatPr baseColWidth="10" defaultColWidth="11.42578125" defaultRowHeight="15" x14ac:dyDescent="0.25"/>
  <cols>
    <col min="1" max="1" width="5.7109375" customWidth="1"/>
    <col min="2" max="2" width="50.28515625" customWidth="1"/>
    <col min="3" max="30" width="16.28515625" customWidth="1"/>
  </cols>
  <sheetData>
    <row r="1" spans="1:30" ht="26.25" x14ac:dyDescent="0.4">
      <c r="A1" s="32" t="s">
        <v>850</v>
      </c>
      <c r="B1" s="7"/>
    </row>
    <row r="2" spans="1:30" ht="15" customHeight="1" x14ac:dyDescent="0.25">
      <c r="A2" s="150" t="s">
        <v>827</v>
      </c>
      <c r="B2" s="7"/>
    </row>
    <row r="3" spans="1:30" ht="15" customHeight="1" x14ac:dyDescent="0.25">
      <c r="A3" s="7"/>
      <c r="B3" s="7"/>
    </row>
    <row r="4" spans="1:30" ht="15" customHeight="1" x14ac:dyDescent="0.4">
      <c r="A4" s="32"/>
      <c r="B4" s="7"/>
    </row>
    <row r="5" spans="1:30" x14ac:dyDescent="0.25">
      <c r="A5" s="151"/>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row>
    <row r="6" spans="1:30" x14ac:dyDescent="0.25">
      <c r="C6" s="33" t="s">
        <v>801</v>
      </c>
      <c r="D6" s="33" t="s">
        <v>802</v>
      </c>
      <c r="E6" s="33" t="s">
        <v>803</v>
      </c>
      <c r="F6" s="33" t="s">
        <v>804</v>
      </c>
      <c r="G6" s="33" t="s">
        <v>805</v>
      </c>
      <c r="H6" s="33" t="s">
        <v>806</v>
      </c>
      <c r="I6" s="33" t="s">
        <v>807</v>
      </c>
      <c r="J6" s="33" t="s">
        <v>830</v>
      </c>
      <c r="K6" s="33" t="s">
        <v>808</v>
      </c>
      <c r="L6" s="33" t="s">
        <v>809</v>
      </c>
      <c r="M6" s="33" t="s">
        <v>810</v>
      </c>
      <c r="N6" s="33" t="s">
        <v>811</v>
      </c>
      <c r="O6" s="33" t="s">
        <v>812</v>
      </c>
      <c r="P6" s="33" t="s">
        <v>813</v>
      </c>
      <c r="Q6" s="33" t="s">
        <v>814</v>
      </c>
      <c r="R6" s="33" t="s">
        <v>815</v>
      </c>
      <c r="S6" s="33" t="s">
        <v>816</v>
      </c>
      <c r="T6" s="33" t="s">
        <v>817</v>
      </c>
      <c r="U6" s="33" t="s">
        <v>818</v>
      </c>
      <c r="V6" s="34" t="s">
        <v>819</v>
      </c>
      <c r="W6" s="34" t="s">
        <v>820</v>
      </c>
      <c r="X6" s="34" t="s">
        <v>821</v>
      </c>
      <c r="Y6" s="34" t="s">
        <v>822</v>
      </c>
      <c r="Z6" s="34" t="s">
        <v>823</v>
      </c>
      <c r="AA6" s="34" t="s">
        <v>824</v>
      </c>
      <c r="AB6" s="34" t="s">
        <v>825</v>
      </c>
      <c r="AC6" s="34" t="s">
        <v>826</v>
      </c>
      <c r="AD6" s="36" t="s">
        <v>65</v>
      </c>
    </row>
    <row r="7" spans="1:30" x14ac:dyDescent="0.25">
      <c r="A7">
        <v>10</v>
      </c>
      <c r="B7" t="s">
        <v>240</v>
      </c>
      <c r="C7" s="83">
        <f>'Syndicats Bilan'!F5</f>
        <v>198502.62000000002</v>
      </c>
      <c r="D7" s="83">
        <f>'Syndicats Bilan'!G5</f>
        <v>3568204.0599999996</v>
      </c>
      <c r="E7" s="83">
        <f>'Syndicats Bilan'!H5</f>
        <v>218365.75</v>
      </c>
      <c r="F7" s="83">
        <f>'Syndicats Bilan'!I5</f>
        <v>7706245.8399999999</v>
      </c>
      <c r="G7" s="83">
        <f>'Syndicats Bilan'!J5</f>
        <v>933919.45000000007</v>
      </c>
      <c r="H7" s="83">
        <f>'Syndicats Bilan'!K5</f>
        <v>286341.36</v>
      </c>
      <c r="I7" s="83">
        <f>'Syndicats Bilan'!L5</f>
        <v>429594.01</v>
      </c>
      <c r="J7" s="83">
        <f>'Syndicats Bilan'!M5</f>
        <v>1390414.1199999999</v>
      </c>
      <c r="K7" s="83">
        <f>'Syndicats Bilan'!N5</f>
        <v>98110.300000000017</v>
      </c>
      <c r="L7" s="83">
        <f>'Syndicats Bilan'!O5</f>
        <v>149290.84</v>
      </c>
      <c r="M7" s="83">
        <f>'Syndicats Bilan'!P5</f>
        <v>8995733.7799999993</v>
      </c>
      <c r="N7" s="83">
        <f>'Syndicats Bilan'!Q5</f>
        <v>0</v>
      </c>
      <c r="O7" s="83">
        <f>'Syndicats Bilan'!R5</f>
        <v>6637.19</v>
      </c>
      <c r="P7" s="83">
        <f>'Syndicats Bilan'!S5</f>
        <v>43617.55</v>
      </c>
      <c r="Q7" s="83">
        <f>'Syndicats Bilan'!T5</f>
        <v>5669.75</v>
      </c>
      <c r="R7" s="83">
        <f>'Syndicats Bilan'!U5</f>
        <v>0</v>
      </c>
      <c r="S7" s="83">
        <f>'Syndicats Bilan'!V5</f>
        <v>264343.56</v>
      </c>
      <c r="T7" s="83">
        <f>'Syndicats Bilan'!W5</f>
        <v>16672.11</v>
      </c>
      <c r="U7" s="83">
        <f>'Syndicats Bilan'!X5</f>
        <v>33899.65</v>
      </c>
      <c r="V7" s="83">
        <f>'Syndicats Bilan'!Y5</f>
        <v>2858861.27</v>
      </c>
      <c r="W7" s="83">
        <f>'Syndicats Bilan'!Z5</f>
        <v>2710551.7699999996</v>
      </c>
      <c r="X7" s="83">
        <f>'Syndicats Bilan'!AA5</f>
        <v>336129.13</v>
      </c>
      <c r="Y7" s="83">
        <f>'Syndicats Bilan'!AB5</f>
        <v>1791515.2</v>
      </c>
      <c r="Z7" s="83">
        <f>'Syndicats Bilan'!AC5</f>
        <v>0</v>
      </c>
      <c r="AA7" s="83">
        <f>'Syndicats Bilan'!AD5</f>
        <v>150475.90000000002</v>
      </c>
      <c r="AB7" s="83">
        <f>'Syndicats Bilan'!AE5</f>
        <v>590901.02</v>
      </c>
      <c r="AC7" s="83">
        <f>'Syndicats Bilan'!AF5</f>
        <v>751902.5</v>
      </c>
      <c r="AD7" s="83">
        <f>SUM(C7:AC7)</f>
        <v>33535898.729999989</v>
      </c>
    </row>
    <row r="8" spans="1:30" x14ac:dyDescent="0.25">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row>
    <row r="9" spans="1:30" x14ac:dyDescent="0.25">
      <c r="A9">
        <v>20</v>
      </c>
      <c r="B9" t="s">
        <v>252</v>
      </c>
      <c r="C9" s="83">
        <f>'Syndicats Bilan'!F121</f>
        <v>1462265.3599999999</v>
      </c>
      <c r="D9" s="83">
        <f>'Syndicats Bilan'!G121</f>
        <v>741238.91999999993</v>
      </c>
      <c r="E9" s="83">
        <f>'Syndicats Bilan'!H121</f>
        <v>23955.599999999999</v>
      </c>
      <c r="F9" s="83">
        <f>'Syndicats Bilan'!I121</f>
        <v>2167339.5</v>
      </c>
      <c r="G9" s="83">
        <f>'Syndicats Bilan'!J121</f>
        <v>933919.45</v>
      </c>
      <c r="H9" s="83">
        <f>'Syndicats Bilan'!K121</f>
        <v>2645497.8600000003</v>
      </c>
      <c r="I9" s="83">
        <f>'Syndicats Bilan'!L121</f>
        <v>925444.01</v>
      </c>
      <c r="J9" s="83">
        <f>'Syndicats Bilan'!M121</f>
        <v>4636516.55</v>
      </c>
      <c r="K9" s="83">
        <f>'Syndicats Bilan'!N121</f>
        <v>98110.3</v>
      </c>
      <c r="L9" s="83">
        <f>'Syndicats Bilan'!O121</f>
        <v>21949.600000000002</v>
      </c>
      <c r="M9" s="83">
        <f>'Syndicats Bilan'!P121</f>
        <v>243896.25</v>
      </c>
      <c r="N9" s="83">
        <f>'Syndicats Bilan'!Q121</f>
        <v>0</v>
      </c>
      <c r="O9" s="83">
        <f>'Syndicats Bilan'!R121</f>
        <v>28866.6</v>
      </c>
      <c r="P9" s="83">
        <f>'Syndicats Bilan'!S121</f>
        <v>-527.45000000000005</v>
      </c>
      <c r="Q9" s="83">
        <f>'Syndicats Bilan'!T121</f>
        <v>0</v>
      </c>
      <c r="R9" s="83">
        <f>'Syndicats Bilan'!U121</f>
        <v>0</v>
      </c>
      <c r="S9" s="83">
        <f>'Syndicats Bilan'!V121</f>
        <v>1741610.74</v>
      </c>
      <c r="T9" s="83">
        <f>'Syndicats Bilan'!W121</f>
        <v>1389527.95</v>
      </c>
      <c r="U9" s="83">
        <f>'Syndicats Bilan'!X121</f>
        <v>7234.75</v>
      </c>
      <c r="V9" s="83">
        <f>'Syndicats Bilan'!Y121</f>
        <v>456154.74</v>
      </c>
      <c r="W9" s="83">
        <f>'Syndicats Bilan'!Z121</f>
        <v>23135009.859999999</v>
      </c>
      <c r="X9" s="83">
        <f>'Syndicats Bilan'!AA121</f>
        <v>1535460.6</v>
      </c>
      <c r="Y9" s="83">
        <f>'Syndicats Bilan'!AB121</f>
        <v>1660293.72</v>
      </c>
      <c r="Z9" s="83">
        <f>'Syndicats Bilan'!AC121</f>
        <v>0</v>
      </c>
      <c r="AA9" s="83">
        <f>'Syndicats Bilan'!AD121</f>
        <v>150475.9</v>
      </c>
      <c r="AB9" s="83">
        <f>'Syndicats Bilan'!AE121</f>
        <v>8282724.4900000002</v>
      </c>
      <c r="AC9" s="83">
        <f>'Syndicats Bilan'!AF121</f>
        <v>289792.8</v>
      </c>
      <c r="AD9" s="83">
        <f>SUM(C9:AC9)</f>
        <v>52576758.100000001</v>
      </c>
    </row>
    <row r="10" spans="1:30" x14ac:dyDescent="0.25">
      <c r="C10" s="83"/>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row>
    <row r="11" spans="1:30" x14ac:dyDescent="0.25">
      <c r="A11">
        <v>200</v>
      </c>
      <c r="B11" t="s">
        <v>451</v>
      </c>
      <c r="C11" s="83">
        <f>'Syndicats Bilan'!F122</f>
        <v>81088.509999999995</v>
      </c>
      <c r="D11" s="83">
        <f>'Syndicats Bilan'!G122</f>
        <v>643656.85</v>
      </c>
      <c r="E11" s="83">
        <f>'Syndicats Bilan'!H122</f>
        <v>0</v>
      </c>
      <c r="F11" s="83">
        <f>'Syndicats Bilan'!I122</f>
        <v>2167339.5</v>
      </c>
      <c r="G11" s="83">
        <f>'Syndicats Bilan'!J122</f>
        <v>11119.45</v>
      </c>
      <c r="H11" s="83">
        <f>'Syndicats Bilan'!K122</f>
        <v>128850.46</v>
      </c>
      <c r="I11" s="83">
        <f>'Syndicats Bilan'!L122</f>
        <v>409825.01</v>
      </c>
      <c r="J11" s="83">
        <f>'Syndicats Bilan'!M122</f>
        <v>78717.89</v>
      </c>
      <c r="K11" s="83">
        <f>'Syndicats Bilan'!N122</f>
        <v>13878.95</v>
      </c>
      <c r="L11" s="83">
        <f>'Syndicats Bilan'!O122</f>
        <v>0</v>
      </c>
      <c r="M11" s="83">
        <f>'Syndicats Bilan'!P122</f>
        <v>240460.95</v>
      </c>
      <c r="N11" s="83">
        <f>'Syndicats Bilan'!Q122</f>
        <v>0</v>
      </c>
      <c r="O11" s="83">
        <f>'Syndicats Bilan'!R122</f>
        <v>0</v>
      </c>
      <c r="P11" s="83">
        <f>'Syndicats Bilan'!S122</f>
        <v>0</v>
      </c>
      <c r="Q11" s="83">
        <f>'Syndicats Bilan'!T122</f>
        <v>0</v>
      </c>
      <c r="R11" s="83">
        <f>'Syndicats Bilan'!U122</f>
        <v>0</v>
      </c>
      <c r="S11" s="83">
        <f>'Syndicats Bilan'!V122</f>
        <v>15810.74</v>
      </c>
      <c r="T11" s="83">
        <f>'Syndicats Bilan'!W122</f>
        <v>0</v>
      </c>
      <c r="U11" s="83">
        <f>'Syndicats Bilan'!X122</f>
        <v>7234.75</v>
      </c>
      <c r="V11" s="83">
        <f>'Syndicats Bilan'!Y122</f>
        <v>51842.19</v>
      </c>
      <c r="W11" s="83">
        <f>'Syndicats Bilan'!Z122</f>
        <v>1160284.69</v>
      </c>
      <c r="X11" s="83">
        <f>'Syndicats Bilan'!AA122</f>
        <v>0</v>
      </c>
      <c r="Y11" s="83">
        <f>'Syndicats Bilan'!AB122</f>
        <v>118497.67</v>
      </c>
      <c r="Z11" s="83">
        <f>'Syndicats Bilan'!AC122</f>
        <v>0</v>
      </c>
      <c r="AA11" s="83">
        <f>'Syndicats Bilan'!AD122</f>
        <v>0</v>
      </c>
      <c r="AB11" s="83">
        <f>'Syndicats Bilan'!AE122</f>
        <v>230085.49</v>
      </c>
      <c r="AC11" s="83">
        <f>'Syndicats Bilan'!AF122</f>
        <v>0</v>
      </c>
      <c r="AD11" s="83">
        <f>SUM(C11:AC11)</f>
        <v>5358693.1000000015</v>
      </c>
    </row>
    <row r="12" spans="1:30" x14ac:dyDescent="0.25">
      <c r="C12" s="83"/>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row>
    <row r="13" spans="1:30" x14ac:dyDescent="0.25">
      <c r="A13">
        <v>201</v>
      </c>
      <c r="B13" t="s">
        <v>254</v>
      </c>
      <c r="C13" s="83">
        <f>'Syndicats Bilan'!F132</f>
        <v>0</v>
      </c>
      <c r="D13" s="83">
        <f>'Syndicats Bilan'!G132</f>
        <v>0</v>
      </c>
      <c r="E13" s="83">
        <f>'Syndicats Bilan'!H132</f>
        <v>0</v>
      </c>
      <c r="F13" s="83">
        <f>'Syndicats Bilan'!I132</f>
        <v>0</v>
      </c>
      <c r="G13" s="83">
        <f>'Syndicats Bilan'!J132</f>
        <v>0</v>
      </c>
      <c r="H13" s="83">
        <f>'Syndicats Bilan'!K132</f>
        <v>317920</v>
      </c>
      <c r="I13" s="83">
        <f>'Syndicats Bilan'!L132</f>
        <v>0</v>
      </c>
      <c r="J13" s="83">
        <f>'Syndicats Bilan'!M132</f>
        <v>923798.66</v>
      </c>
      <c r="K13" s="83">
        <f>'Syndicats Bilan'!N132</f>
        <v>0</v>
      </c>
      <c r="L13" s="83">
        <f>'Syndicats Bilan'!O132</f>
        <v>0</v>
      </c>
      <c r="M13" s="83">
        <f>'Syndicats Bilan'!P132</f>
        <v>0</v>
      </c>
      <c r="N13" s="83">
        <f>'Syndicats Bilan'!Q132</f>
        <v>0</v>
      </c>
      <c r="O13" s="83">
        <f>'Syndicats Bilan'!R132</f>
        <v>0</v>
      </c>
      <c r="P13" s="83">
        <f>'Syndicats Bilan'!S132</f>
        <v>0</v>
      </c>
      <c r="Q13" s="83">
        <f>'Syndicats Bilan'!T132</f>
        <v>0</v>
      </c>
      <c r="R13" s="83">
        <f>'Syndicats Bilan'!U132</f>
        <v>0</v>
      </c>
      <c r="S13" s="83">
        <f>'Syndicats Bilan'!V132</f>
        <v>0</v>
      </c>
      <c r="T13" s="83">
        <f>'Syndicats Bilan'!W132</f>
        <v>889527.95</v>
      </c>
      <c r="U13" s="83">
        <f>'Syndicats Bilan'!X132</f>
        <v>0</v>
      </c>
      <c r="V13" s="83">
        <f>'Syndicats Bilan'!Y132</f>
        <v>105040</v>
      </c>
      <c r="W13" s="83">
        <f>'Syndicats Bilan'!Z132</f>
        <v>8113844.4199999999</v>
      </c>
      <c r="X13" s="83">
        <f>'Syndicats Bilan'!AA132</f>
        <v>0</v>
      </c>
      <c r="Y13" s="83">
        <f>'Syndicats Bilan'!AB132</f>
        <v>132500</v>
      </c>
      <c r="Z13" s="83">
        <f>'Syndicats Bilan'!AC132</f>
        <v>0</v>
      </c>
      <c r="AA13" s="83">
        <f>'Syndicats Bilan'!AD132</f>
        <v>0</v>
      </c>
      <c r="AB13" s="83">
        <f>'Syndicats Bilan'!AE132</f>
        <v>450000</v>
      </c>
      <c r="AC13" s="83">
        <f>'Syndicats Bilan'!AF132</f>
        <v>0</v>
      </c>
      <c r="AD13" s="83">
        <f>SUM(C13:AC13)</f>
        <v>10932631.030000001</v>
      </c>
    </row>
    <row r="14" spans="1:30" x14ac:dyDescent="0.25">
      <c r="C14" s="83"/>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row>
    <row r="15" spans="1:30" x14ac:dyDescent="0.25">
      <c r="A15">
        <v>206</v>
      </c>
      <c r="B15" t="s">
        <v>257</v>
      </c>
      <c r="C15" s="83">
        <f>'Syndicats Bilan'!F164</f>
        <v>1306100</v>
      </c>
      <c r="D15" s="83">
        <f>'Syndicats Bilan'!G164</f>
        <v>0</v>
      </c>
      <c r="E15" s="83">
        <f>'Syndicats Bilan'!H164</f>
        <v>20300</v>
      </c>
      <c r="F15" s="83">
        <f>'Syndicats Bilan'!I164</f>
        <v>0</v>
      </c>
      <c r="G15" s="83">
        <f>'Syndicats Bilan'!J164</f>
        <v>922800</v>
      </c>
      <c r="H15" s="83">
        <f>'Syndicats Bilan'!K164</f>
        <v>2171450.2000000002</v>
      </c>
      <c r="I15" s="83">
        <f>'Syndicats Bilan'!L164</f>
        <v>500000</v>
      </c>
      <c r="J15" s="83">
        <f>'Syndicats Bilan'!M164</f>
        <v>3634000</v>
      </c>
      <c r="K15" s="83">
        <f>'Syndicats Bilan'!N164</f>
        <v>0</v>
      </c>
      <c r="L15" s="83">
        <f>'Syndicats Bilan'!O164</f>
        <v>0</v>
      </c>
      <c r="M15" s="83">
        <f>'Syndicats Bilan'!P164</f>
        <v>0</v>
      </c>
      <c r="N15" s="83">
        <f>'Syndicats Bilan'!Q164</f>
        <v>0</v>
      </c>
      <c r="O15" s="83">
        <f>'Syndicats Bilan'!R164</f>
        <v>24800</v>
      </c>
      <c r="P15" s="83">
        <f>'Syndicats Bilan'!S164</f>
        <v>0</v>
      </c>
      <c r="Q15" s="83">
        <f>'Syndicats Bilan'!T164</f>
        <v>0</v>
      </c>
      <c r="R15" s="83">
        <f>'Syndicats Bilan'!U164</f>
        <v>0</v>
      </c>
      <c r="S15" s="83">
        <f>'Syndicats Bilan'!V164</f>
        <v>1725000</v>
      </c>
      <c r="T15" s="83">
        <f>'Syndicats Bilan'!W164</f>
        <v>500000</v>
      </c>
      <c r="U15" s="83">
        <f>'Syndicats Bilan'!X164</f>
        <v>0</v>
      </c>
      <c r="V15" s="83">
        <f>'Syndicats Bilan'!Y164</f>
        <v>275799.32</v>
      </c>
      <c r="W15" s="83">
        <f>'Syndicats Bilan'!Z164</f>
        <v>13618600</v>
      </c>
      <c r="X15" s="83">
        <f>'Syndicats Bilan'!AA164</f>
        <v>1390300</v>
      </c>
      <c r="Y15" s="83">
        <f>'Syndicats Bilan'!AB164</f>
        <v>1378500</v>
      </c>
      <c r="Z15" s="83">
        <f>'Syndicats Bilan'!AC164</f>
        <v>0</v>
      </c>
      <c r="AA15" s="83">
        <f>'Syndicats Bilan'!AD164</f>
        <v>0</v>
      </c>
      <c r="AB15" s="83">
        <f>'Syndicats Bilan'!AE164</f>
        <v>7600000</v>
      </c>
      <c r="AC15" s="83">
        <f>'Syndicats Bilan'!AF164</f>
        <v>0</v>
      </c>
      <c r="AD15" s="83">
        <f>SUM(C15:AC15)</f>
        <v>35067649.519999996</v>
      </c>
    </row>
    <row r="16" spans="1:30" x14ac:dyDescent="0.25">
      <c r="C16" s="83"/>
      <c r="D16" s="83"/>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row>
    <row r="17" spans="1:30" x14ac:dyDescent="0.25">
      <c r="A17">
        <v>2016</v>
      </c>
      <c r="B17" t="s">
        <v>269</v>
      </c>
      <c r="C17" s="83">
        <f>'Syndicats Bilan'!F139</f>
        <v>0</v>
      </c>
      <c r="D17" s="83">
        <f>'Syndicats Bilan'!G139</f>
        <v>0</v>
      </c>
      <c r="E17" s="83">
        <f>'Syndicats Bilan'!H139</f>
        <v>0</v>
      </c>
      <c r="F17" s="83">
        <f>'Syndicats Bilan'!I139</f>
        <v>0</v>
      </c>
      <c r="G17" s="83">
        <f>'Syndicats Bilan'!J139</f>
        <v>0</v>
      </c>
      <c r="H17" s="83">
        <f>'Syndicats Bilan'!K139</f>
        <v>0</v>
      </c>
      <c r="I17" s="83">
        <f>'Syndicats Bilan'!L139</f>
        <v>0</v>
      </c>
      <c r="J17" s="83">
        <f>'Syndicats Bilan'!M139</f>
        <v>0</v>
      </c>
      <c r="K17" s="83">
        <f>'Syndicats Bilan'!N139</f>
        <v>0</v>
      </c>
      <c r="L17" s="83">
        <f>'Syndicats Bilan'!O139</f>
        <v>0</v>
      </c>
      <c r="M17" s="83">
        <f>'Syndicats Bilan'!P139</f>
        <v>0</v>
      </c>
      <c r="N17" s="83">
        <f>'Syndicats Bilan'!Q139</f>
        <v>0</v>
      </c>
      <c r="O17" s="83">
        <f>'Syndicats Bilan'!R139</f>
        <v>0</v>
      </c>
      <c r="P17" s="83">
        <f>'Syndicats Bilan'!S139</f>
        <v>0</v>
      </c>
      <c r="Q17" s="83">
        <f>'Syndicats Bilan'!T139</f>
        <v>0</v>
      </c>
      <c r="R17" s="83">
        <f>'Syndicats Bilan'!U139</f>
        <v>0</v>
      </c>
      <c r="S17" s="83">
        <f>'Syndicats Bilan'!V139</f>
        <v>0</v>
      </c>
      <c r="T17" s="83">
        <f>'Syndicats Bilan'!W139</f>
        <v>0</v>
      </c>
      <c r="U17" s="83">
        <f>'Syndicats Bilan'!X139</f>
        <v>0</v>
      </c>
      <c r="V17" s="83">
        <f>'Syndicats Bilan'!Y139</f>
        <v>0</v>
      </c>
      <c r="W17" s="83">
        <f>'Syndicats Bilan'!Z139</f>
        <v>0</v>
      </c>
      <c r="X17" s="83">
        <f>'Syndicats Bilan'!AA139</f>
        <v>0</v>
      </c>
      <c r="Y17" s="83">
        <f>'Syndicats Bilan'!AB139</f>
        <v>0</v>
      </c>
      <c r="Z17" s="83">
        <f>'Syndicats Bilan'!AC139</f>
        <v>0</v>
      </c>
      <c r="AA17" s="83">
        <f>'Syndicats Bilan'!AD139</f>
        <v>0</v>
      </c>
      <c r="AB17" s="83">
        <f>'Syndicats Bilan'!AE139</f>
        <v>0</v>
      </c>
      <c r="AC17" s="83">
        <f>'Syndicats Bilan'!AF139</f>
        <v>0</v>
      </c>
      <c r="AD17" s="83">
        <f>SUM(C17:AC17)</f>
        <v>0</v>
      </c>
    </row>
    <row r="18" spans="1:30" x14ac:dyDescent="0.25">
      <c r="C18" s="83"/>
      <c r="D18" s="83"/>
      <c r="E18" s="83"/>
      <c r="F18" s="83"/>
      <c r="G18" s="83"/>
      <c r="H18" s="83"/>
      <c r="I18" s="83"/>
      <c r="J18" s="83"/>
      <c r="K18" s="83"/>
      <c r="L18" s="83"/>
      <c r="M18" s="83"/>
      <c r="N18" s="83"/>
      <c r="O18" s="83"/>
      <c r="P18" s="83"/>
      <c r="Q18" s="83"/>
      <c r="R18" s="83"/>
      <c r="S18" s="83"/>
      <c r="T18" s="83"/>
      <c r="U18" s="83"/>
      <c r="V18" s="83"/>
      <c r="W18" s="83"/>
      <c r="X18" s="83"/>
      <c r="Y18" s="83"/>
      <c r="Z18" s="83"/>
      <c r="AA18" s="83"/>
      <c r="AB18" s="83"/>
      <c r="AC18" s="83"/>
      <c r="AD18" s="83"/>
    </row>
    <row r="19" spans="1:30" x14ac:dyDescent="0.25">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row>
    <row r="20" spans="1:30" x14ac:dyDescent="0.25">
      <c r="B20" s="81" t="s">
        <v>567</v>
      </c>
      <c r="C20" s="147">
        <f>C11+C13+C15-C17</f>
        <v>1387188.51</v>
      </c>
      <c r="D20" s="147">
        <f t="shared" ref="D20:AC20" si="0">D11+D13+D15-D17</f>
        <v>643656.85</v>
      </c>
      <c r="E20" s="147">
        <f t="shared" si="0"/>
        <v>20300</v>
      </c>
      <c r="F20" s="147">
        <f t="shared" si="0"/>
        <v>2167339.5</v>
      </c>
      <c r="G20" s="147">
        <f t="shared" si="0"/>
        <v>933919.45</v>
      </c>
      <c r="H20" s="147">
        <f t="shared" si="0"/>
        <v>2618220.66</v>
      </c>
      <c r="I20" s="147">
        <f t="shared" si="0"/>
        <v>909825.01</v>
      </c>
      <c r="J20" s="147">
        <f t="shared" si="0"/>
        <v>4636516.55</v>
      </c>
      <c r="K20" s="147">
        <f t="shared" si="0"/>
        <v>13878.95</v>
      </c>
      <c r="L20" s="147">
        <f t="shared" si="0"/>
        <v>0</v>
      </c>
      <c r="M20" s="147">
        <f t="shared" si="0"/>
        <v>240460.95</v>
      </c>
      <c r="N20" s="147">
        <f t="shared" si="0"/>
        <v>0</v>
      </c>
      <c r="O20" s="147">
        <f t="shared" si="0"/>
        <v>24800</v>
      </c>
      <c r="P20" s="147">
        <f t="shared" si="0"/>
        <v>0</v>
      </c>
      <c r="Q20" s="147">
        <f t="shared" si="0"/>
        <v>0</v>
      </c>
      <c r="R20" s="147">
        <f t="shared" si="0"/>
        <v>0</v>
      </c>
      <c r="S20" s="147">
        <f t="shared" si="0"/>
        <v>1740810.74</v>
      </c>
      <c r="T20" s="147">
        <f t="shared" si="0"/>
        <v>1389527.95</v>
      </c>
      <c r="U20" s="147">
        <f t="shared" si="0"/>
        <v>7234.75</v>
      </c>
      <c r="V20" s="147">
        <f t="shared" si="0"/>
        <v>432681.51</v>
      </c>
      <c r="W20" s="147">
        <f t="shared" si="0"/>
        <v>22892729.109999999</v>
      </c>
      <c r="X20" s="147">
        <f t="shared" si="0"/>
        <v>1390300</v>
      </c>
      <c r="Y20" s="147">
        <f t="shared" si="0"/>
        <v>1629497.67</v>
      </c>
      <c r="Z20" s="147">
        <f t="shared" si="0"/>
        <v>0</v>
      </c>
      <c r="AA20" s="147">
        <f t="shared" si="0"/>
        <v>0</v>
      </c>
      <c r="AB20" s="147">
        <f t="shared" si="0"/>
        <v>8280085.4900000002</v>
      </c>
      <c r="AC20" s="147">
        <f t="shared" si="0"/>
        <v>0</v>
      </c>
      <c r="AD20" s="147">
        <f>SUM(C20:AC20)</f>
        <v>51358973.649999999</v>
      </c>
    </row>
    <row r="21" spans="1:30" x14ac:dyDescent="0.25">
      <c r="B21" s="7"/>
      <c r="C21" s="148"/>
      <c r="D21" s="148"/>
      <c r="E21" s="148"/>
      <c r="F21" s="148"/>
      <c r="G21" s="148"/>
      <c r="H21" s="148"/>
      <c r="I21" s="148"/>
      <c r="J21" s="148"/>
      <c r="K21" s="148"/>
      <c r="L21" s="148"/>
      <c r="M21" s="148"/>
      <c r="N21" s="148"/>
      <c r="O21" s="148"/>
      <c r="P21" s="148"/>
      <c r="Q21" s="148"/>
      <c r="R21" s="148"/>
      <c r="S21" s="148"/>
      <c r="T21" s="148"/>
      <c r="U21" s="148"/>
      <c r="V21" s="148"/>
      <c r="W21" s="148"/>
      <c r="X21" s="148"/>
      <c r="Y21" s="148"/>
      <c r="Z21" s="148"/>
      <c r="AA21" s="148"/>
      <c r="AB21" s="148"/>
      <c r="AC21" s="148"/>
      <c r="AD21" s="148"/>
    </row>
    <row r="22" spans="1:30" x14ac:dyDescent="0.25">
      <c r="C22" s="83"/>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row>
    <row r="23" spans="1:30" x14ac:dyDescent="0.25">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row>
    <row r="24" spans="1:30" x14ac:dyDescent="0.25">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row>
    <row r="25" spans="1:30" x14ac:dyDescent="0.25">
      <c r="C25" s="83"/>
      <c r="D25" s="83"/>
      <c r="E25" s="83"/>
      <c r="F25" s="83"/>
      <c r="G25" s="83"/>
      <c r="H25" s="83"/>
      <c r="I25" s="83"/>
      <c r="J25" s="83"/>
      <c r="K25" s="83"/>
      <c r="L25" s="83"/>
      <c r="M25" s="83"/>
      <c r="N25" s="83"/>
      <c r="O25" s="83"/>
      <c r="P25" s="83"/>
      <c r="Q25" s="83"/>
      <c r="R25" s="83"/>
      <c r="S25" s="83"/>
      <c r="T25" s="83"/>
      <c r="U25" s="83"/>
      <c r="V25" s="83"/>
      <c r="W25" s="83"/>
      <c r="X25" s="83"/>
      <c r="Y25" s="83"/>
      <c r="Z25" s="83"/>
      <c r="AA25" s="83"/>
      <c r="AB25" s="83"/>
      <c r="AC25" s="83"/>
      <c r="AD25" s="83"/>
    </row>
    <row r="26" spans="1:30" x14ac:dyDescent="0.25">
      <c r="C26" s="83"/>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c r="AD26" s="83"/>
    </row>
    <row r="27" spans="1:30" x14ac:dyDescent="0.25">
      <c r="C27" s="83"/>
      <c r="D27" s="83"/>
      <c r="E27" s="83"/>
      <c r="F27" s="83"/>
      <c r="G27" s="83"/>
      <c r="H27" s="83"/>
      <c r="I27" s="83"/>
      <c r="J27" s="83"/>
      <c r="K27" s="83"/>
      <c r="L27" s="83"/>
      <c r="M27" s="83"/>
      <c r="N27" s="83"/>
      <c r="O27" s="83"/>
      <c r="P27" s="83"/>
      <c r="Q27" s="83"/>
      <c r="R27" s="83"/>
      <c r="S27" s="83"/>
      <c r="T27" s="83"/>
      <c r="U27" s="83"/>
      <c r="V27" s="83"/>
      <c r="W27" s="83"/>
      <c r="X27" s="83"/>
      <c r="Y27" s="83"/>
      <c r="Z27" s="83"/>
      <c r="AA27" s="83"/>
      <c r="AB27" s="83"/>
      <c r="AC27" s="83"/>
      <c r="AD27" s="83"/>
    </row>
    <row r="28" spans="1:30" x14ac:dyDescent="0.25">
      <c r="C28" s="83"/>
      <c r="D28" s="83"/>
      <c r="E28" s="83"/>
      <c r="F28" s="83"/>
      <c r="G28" s="83"/>
      <c r="H28" s="83"/>
      <c r="I28" s="83"/>
      <c r="J28" s="83"/>
      <c r="K28" s="83"/>
      <c r="L28" s="83"/>
      <c r="M28" s="83"/>
      <c r="N28" s="83"/>
      <c r="O28" s="83"/>
      <c r="P28" s="83"/>
      <c r="Q28" s="83"/>
      <c r="R28" s="83"/>
      <c r="S28" s="83"/>
      <c r="T28" s="83"/>
      <c r="U28" s="83"/>
      <c r="V28" s="83"/>
      <c r="W28" s="83"/>
      <c r="X28" s="83"/>
      <c r="Y28" s="83"/>
      <c r="Z28" s="83"/>
      <c r="AA28" s="83"/>
      <c r="AB28" s="83"/>
      <c r="AC28" s="83"/>
      <c r="AD28" s="83"/>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FF0000"/>
  </sheetPr>
  <dimension ref="A1:C21"/>
  <sheetViews>
    <sheetView workbookViewId="0">
      <selection activeCell="B4" sqref="B4"/>
    </sheetView>
  </sheetViews>
  <sheetFormatPr baseColWidth="10" defaultColWidth="11.42578125" defaultRowHeight="15" x14ac:dyDescent="0.25"/>
  <cols>
    <col min="1" max="1" width="5.7109375" customWidth="1"/>
    <col min="2" max="2" width="50.28515625" customWidth="1"/>
    <col min="3" max="3" width="22.85546875" customWidth="1"/>
  </cols>
  <sheetData>
    <row r="1" spans="1:3" ht="26.25" x14ac:dyDescent="0.4">
      <c r="A1" s="32" t="s">
        <v>862</v>
      </c>
      <c r="B1" s="7"/>
    </row>
    <row r="2" spans="1:3" ht="15" customHeight="1" x14ac:dyDescent="0.4">
      <c r="A2" s="32"/>
      <c r="B2" s="7"/>
    </row>
    <row r="3" spans="1:3" ht="15" customHeight="1" thickBot="1" x14ac:dyDescent="0.3">
      <c r="A3" s="7"/>
      <c r="B3" t="s">
        <v>828</v>
      </c>
    </row>
    <row r="4" spans="1:3" ht="15" customHeight="1" thickBot="1" x14ac:dyDescent="0.45">
      <c r="A4" s="32"/>
      <c r="B4" s="146" t="s">
        <v>826</v>
      </c>
    </row>
    <row r="5" spans="1:3" ht="15" customHeight="1" x14ac:dyDescent="0.25">
      <c r="C5" s="53"/>
    </row>
    <row r="6" spans="1:3" ht="15" customHeight="1" x14ac:dyDescent="0.25">
      <c r="C6" s="149" t="s">
        <v>202</v>
      </c>
    </row>
    <row r="7" spans="1:3" x14ac:dyDescent="0.25">
      <c r="A7">
        <v>10</v>
      </c>
      <c r="B7" t="s">
        <v>240</v>
      </c>
      <c r="C7" s="4">
        <f>HLOOKUP($B$4,'Syndicats endettement'!C6:AD23,2,0)</f>
        <v>751902.5</v>
      </c>
    </row>
    <row r="8" spans="1:3" x14ac:dyDescent="0.25">
      <c r="C8" s="4"/>
    </row>
    <row r="9" spans="1:3" x14ac:dyDescent="0.25">
      <c r="A9">
        <v>20</v>
      </c>
      <c r="B9" t="s">
        <v>252</v>
      </c>
      <c r="C9" s="4">
        <f>HLOOKUP($B$4,'Syndicats endettement'!$C$6:$AD$20,4,0)</f>
        <v>289792.8</v>
      </c>
    </row>
    <row r="10" spans="1:3" x14ac:dyDescent="0.25">
      <c r="C10" s="4"/>
    </row>
    <row r="11" spans="1:3" x14ac:dyDescent="0.25">
      <c r="A11">
        <v>200</v>
      </c>
      <c r="B11" t="s">
        <v>451</v>
      </c>
      <c r="C11" s="4">
        <f>HLOOKUP($B$4,'Syndicats endettement'!$C$6:$AD$20,6,0)</f>
        <v>0</v>
      </c>
    </row>
    <row r="12" spans="1:3" x14ac:dyDescent="0.25">
      <c r="C12" s="4"/>
    </row>
    <row r="13" spans="1:3" x14ac:dyDescent="0.25">
      <c r="A13">
        <v>201</v>
      </c>
      <c r="B13" t="s">
        <v>254</v>
      </c>
      <c r="C13" s="4">
        <f>HLOOKUP($B$4,'Syndicats endettement'!$C$6:$AD$20,8,0)</f>
        <v>0</v>
      </c>
    </row>
    <row r="14" spans="1:3" x14ac:dyDescent="0.25">
      <c r="C14" s="4"/>
    </row>
    <row r="15" spans="1:3" x14ac:dyDescent="0.25">
      <c r="A15">
        <v>206</v>
      </c>
      <c r="B15" t="s">
        <v>257</v>
      </c>
      <c r="C15" s="4">
        <f>HLOOKUP($B$4,'Syndicats endettement'!$C$6:$AD$20,10,0)</f>
        <v>0</v>
      </c>
    </row>
    <row r="16" spans="1:3" x14ac:dyDescent="0.25">
      <c r="C16" s="4"/>
    </row>
    <row r="17" spans="1:3" x14ac:dyDescent="0.25">
      <c r="A17">
        <v>2016</v>
      </c>
      <c r="B17" t="s">
        <v>269</v>
      </c>
      <c r="C17" s="4">
        <f>HLOOKUP($B$4,'Syndicats endettement'!$C$6:$AD$20,12,0)</f>
        <v>0</v>
      </c>
    </row>
    <row r="18" spans="1:3" x14ac:dyDescent="0.25">
      <c r="C18" s="4"/>
    </row>
    <row r="19" spans="1:3" x14ac:dyDescent="0.25">
      <c r="C19" s="4"/>
    </row>
    <row r="20" spans="1:3" x14ac:dyDescent="0.25">
      <c r="B20" s="81" t="s">
        <v>567</v>
      </c>
      <c r="C20" s="82">
        <f>HLOOKUP($B$4,'Syndicats endettement'!$C$6:$AD$20,15,0)</f>
        <v>0</v>
      </c>
    </row>
    <row r="21" spans="1:3" x14ac:dyDescent="0.25">
      <c r="B21" s="81" t="s">
        <v>498</v>
      </c>
      <c r="C21" s="82">
        <f>C20-C7</f>
        <v>-751902.5</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C00-000000000000}">
          <x14:formula1>
            <xm:f>'Syndicats Bilan'!$F$3:$AG$3</xm:f>
          </x14:formula1>
          <xm:sqref>B4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59999389629810485"/>
    <pageSetUpPr fitToPage="1"/>
  </sheetPr>
  <dimension ref="A1:C60"/>
  <sheetViews>
    <sheetView topLeftCell="A7" workbookViewId="0">
      <selection activeCell="D47" sqref="D47"/>
    </sheetView>
  </sheetViews>
  <sheetFormatPr baseColWidth="10" defaultColWidth="11.42578125" defaultRowHeight="15" x14ac:dyDescent="0.25"/>
  <cols>
    <col min="1" max="1" width="31.28515625" customWidth="1"/>
    <col min="2" max="3" width="19.28515625" customWidth="1"/>
  </cols>
  <sheetData>
    <row r="1" spans="1:3" ht="15.75" x14ac:dyDescent="0.25">
      <c r="A1" s="168" t="s">
        <v>759</v>
      </c>
    </row>
    <row r="2" spans="1:3" ht="15.75" x14ac:dyDescent="0.25">
      <c r="A2" s="168"/>
    </row>
    <row r="3" spans="1:3" x14ac:dyDescent="0.25">
      <c r="A3" t="s">
        <v>67</v>
      </c>
      <c r="B3" s="124" t="s">
        <v>760</v>
      </c>
      <c r="C3" s="124" t="s">
        <v>761</v>
      </c>
    </row>
    <row r="4" spans="1:3" x14ac:dyDescent="0.25">
      <c r="A4" s="169" t="s">
        <v>56</v>
      </c>
      <c r="B4" s="83">
        <f>'4.1 Comptes 2021 natures'!AZ153</f>
        <v>59877.34</v>
      </c>
      <c r="C4" s="83">
        <f>'4.9 Comptes 2021 par habitant'!E153</f>
        <v>47.44255543822598</v>
      </c>
    </row>
    <row r="5" spans="1:3" x14ac:dyDescent="0.25">
      <c r="A5" s="169" t="s">
        <v>18</v>
      </c>
      <c r="B5" s="83">
        <f>'4.1 Comptes 2021 natures'!F153</f>
        <v>-48557.319999999992</v>
      </c>
      <c r="C5" s="83">
        <f>'4.9 Comptes 2021 par habitant'!F153</f>
        <v>-183.23516981132076</v>
      </c>
    </row>
    <row r="6" spans="1:3" x14ac:dyDescent="0.25">
      <c r="A6" s="169" t="s">
        <v>57</v>
      </c>
      <c r="B6" s="83">
        <f>'4.1 Comptes 2021 natures'!G153</f>
        <v>-94828.599999999991</v>
      </c>
      <c r="C6" s="83">
        <f>'4.9 Comptes 2021 par habitant'!G153</f>
        <v>-202.19317697228144</v>
      </c>
    </row>
    <row r="7" spans="1:3" x14ac:dyDescent="0.25">
      <c r="A7" s="169" t="s">
        <v>53</v>
      </c>
      <c r="B7" s="83">
        <f>'4.1 Comptes 2021 natures'!H153</f>
        <v>106112.79000000001</v>
      </c>
      <c r="C7" s="83">
        <f>'4.9 Comptes 2021 par habitant'!H153</f>
        <v>241.71478359908883</v>
      </c>
    </row>
    <row r="8" spans="1:3" x14ac:dyDescent="0.25">
      <c r="A8" s="169" t="s">
        <v>33</v>
      </c>
      <c r="B8" s="83">
        <f>'4.1 Comptes 2021 natures'!I153</f>
        <v>509529.57</v>
      </c>
      <c r="C8" s="83">
        <f>'4.9 Comptes 2021 par habitant'!I153</f>
        <v>136.67638680257511</v>
      </c>
    </row>
    <row r="9" spans="1:3" x14ac:dyDescent="0.25">
      <c r="A9" s="169" t="s">
        <v>10</v>
      </c>
      <c r="B9" s="83">
        <f>'4.1 Comptes 2021 natures'!J153</f>
        <v>355331.14</v>
      </c>
      <c r="C9" s="83">
        <f>'4.9 Comptes 2021 par habitant'!J153</f>
        <v>106.22754559043348</v>
      </c>
    </row>
    <row r="10" spans="1:3" x14ac:dyDescent="0.25">
      <c r="A10" s="169" t="s">
        <v>15</v>
      </c>
      <c r="B10" s="83">
        <f>'4.1 Comptes 2021 natures'!K153</f>
        <v>521660.97000000003</v>
      </c>
      <c r="C10" s="83">
        <f>'4.9 Comptes 2021 par habitant'!K153</f>
        <v>196.70473981900452</v>
      </c>
    </row>
    <row r="11" spans="1:3" x14ac:dyDescent="0.25">
      <c r="A11" s="169" t="s">
        <v>28</v>
      </c>
      <c r="B11" s="83">
        <f>'4.1 Comptes 2021 natures'!L153</f>
        <v>3551526.5</v>
      </c>
      <c r="C11" s="83">
        <f>'4.9 Comptes 2021 par habitant'!L153</f>
        <v>284.60024841734116</v>
      </c>
    </row>
    <row r="12" spans="1:3" x14ac:dyDescent="0.25">
      <c r="A12" s="169" t="s">
        <v>42</v>
      </c>
      <c r="B12" s="83">
        <f>'4.1 Comptes 2021 natures'!M153</f>
        <v>288258.07</v>
      </c>
      <c r="C12" s="83">
        <f>'4.9 Comptes 2021 par habitant'!M153</f>
        <v>212.11042678440032</v>
      </c>
    </row>
    <row r="13" spans="1:3" x14ac:dyDescent="0.25">
      <c r="A13" s="169" t="s">
        <v>23</v>
      </c>
      <c r="B13" s="83">
        <f>'4.1 Comptes 2021 natures'!N153</f>
        <v>-9232.119999999999</v>
      </c>
      <c r="C13" s="83">
        <f>'4.9 Comptes 2021 par habitant'!N153</f>
        <v>-78.907008547008544</v>
      </c>
    </row>
    <row r="14" spans="1:3" x14ac:dyDescent="0.25">
      <c r="A14" s="169" t="s">
        <v>22</v>
      </c>
      <c r="B14" s="83">
        <f>'4.1 Comptes 2021 natures'!O153</f>
        <v>713421.97</v>
      </c>
      <c r="C14" s="83">
        <f>'4.9 Comptes 2021 par habitant'!O153</f>
        <v>98.253955378047095</v>
      </c>
    </row>
    <row r="15" spans="1:3" x14ac:dyDescent="0.25">
      <c r="A15" s="169" t="s">
        <v>13</v>
      </c>
      <c r="B15" s="83">
        <f>'4.1 Comptes 2021 natures'!P153</f>
        <v>98362.19</v>
      </c>
      <c r="C15" s="83">
        <f>'4.9 Comptes 2021 par habitant'!P153</f>
        <v>182.82934944237917</v>
      </c>
    </row>
    <row r="16" spans="1:3" x14ac:dyDescent="0.25">
      <c r="A16" s="169" t="s">
        <v>17</v>
      </c>
      <c r="B16" s="83">
        <f>'4.1 Comptes 2021 natures'!Q153</f>
        <v>-4705.8100000000013</v>
      </c>
      <c r="C16" s="83">
        <f>'4.9 Comptes 2021 par habitant'!Q153</f>
        <v>-42.394684684684705</v>
      </c>
    </row>
    <row r="17" spans="1:3" x14ac:dyDescent="0.25">
      <c r="A17" s="169" t="s">
        <v>43</v>
      </c>
      <c r="B17" s="83">
        <f>'4.1 Comptes 2021 natures'!R153</f>
        <v>43963.29</v>
      </c>
      <c r="C17" s="83">
        <f>'4.9 Comptes 2021 par habitant'!R153</f>
        <v>104.42586698337291</v>
      </c>
    </row>
    <row r="18" spans="1:3" x14ac:dyDescent="0.25">
      <c r="A18" s="169" t="s">
        <v>40</v>
      </c>
      <c r="B18" s="83">
        <f>'4.1 Comptes 2021 natures'!S153</f>
        <v>-48947.220000000016</v>
      </c>
      <c r="C18" s="83">
        <f>'4.9 Comptes 2021 par habitant'!S153</f>
        <v>-141.46595375722549</v>
      </c>
    </row>
    <row r="19" spans="1:3" x14ac:dyDescent="0.25">
      <c r="A19" s="169" t="s">
        <v>31</v>
      </c>
      <c r="B19" s="83">
        <f>'4.1 Comptes 2021 natures'!T153</f>
        <v>544010.83000000007</v>
      </c>
      <c r="C19" s="83">
        <f>'4.9 Comptes 2021 par habitant'!T153</f>
        <v>766.21243661971835</v>
      </c>
    </row>
    <row r="20" spans="1:3" x14ac:dyDescent="0.25">
      <c r="A20" s="169" t="s">
        <v>12</v>
      </c>
      <c r="B20" s="83">
        <f>'4.1 Comptes 2021 natures'!U153</f>
        <v>-15080.91</v>
      </c>
      <c r="C20" s="83">
        <f>'4.9 Comptes 2021 par habitant'!U153</f>
        <v>-56.062862453531608</v>
      </c>
    </row>
    <row r="21" spans="1:3" x14ac:dyDescent="0.25">
      <c r="A21" s="169" t="s">
        <v>59</v>
      </c>
      <c r="B21" s="83">
        <f>'4.1 Comptes 2021 natures'!V153</f>
        <v>-314421.67000000004</v>
      </c>
      <c r="C21" s="83">
        <f>'4.9 Comptes 2021 par habitant'!V153</f>
        <v>-714.59470454545453</v>
      </c>
    </row>
    <row r="22" spans="1:3" x14ac:dyDescent="0.25">
      <c r="A22" s="169" t="s">
        <v>27</v>
      </c>
      <c r="B22" s="83">
        <f>'4.1 Comptes 2021 natures'!W153</f>
        <v>456199.36</v>
      </c>
      <c r="C22" s="83">
        <f>'4.9 Comptes 2021 par habitant'!W153</f>
        <v>141.28193248683803</v>
      </c>
    </row>
    <row r="23" spans="1:3" x14ac:dyDescent="0.25">
      <c r="A23" s="169" t="s">
        <v>30</v>
      </c>
      <c r="B23" s="83">
        <f>'4.1 Comptes 2021 natures'!X153</f>
        <v>138689.76999999999</v>
      </c>
      <c r="C23" s="83">
        <f>'4.9 Comptes 2021 par habitant'!X153</f>
        <v>447.38635483870968</v>
      </c>
    </row>
    <row r="24" spans="1:3" x14ac:dyDescent="0.25">
      <c r="A24" s="169" t="s">
        <v>20</v>
      </c>
      <c r="B24" s="83">
        <f>'4.1 Comptes 2021 natures'!Y153</f>
        <v>1766349.46</v>
      </c>
      <c r="C24" s="83">
        <f>'4.9 Comptes 2021 par habitant'!Y153</f>
        <v>1390.826346456693</v>
      </c>
    </row>
    <row r="25" spans="1:3" x14ac:dyDescent="0.25">
      <c r="A25" s="169" t="s">
        <v>45</v>
      </c>
      <c r="B25" s="83">
        <f>'4.1 Comptes 2021 natures'!Z153</f>
        <v>1120099.08</v>
      </c>
      <c r="C25" s="83">
        <f>'4.9 Comptes 2021 par habitant'!Z153</f>
        <v>743.75768924302781</v>
      </c>
    </row>
    <row r="26" spans="1:3" x14ac:dyDescent="0.25">
      <c r="A26" s="169" t="s">
        <v>71</v>
      </c>
      <c r="B26" s="83">
        <f>'4.1 Comptes 2021 natures'!AA153</f>
        <v>10126.51</v>
      </c>
      <c r="C26" s="83">
        <f>'4.9 Comptes 2021 par habitant'!AA153</f>
        <v>105.48447916666669</v>
      </c>
    </row>
    <row r="27" spans="1:3" x14ac:dyDescent="0.25">
      <c r="A27" s="169" t="s">
        <v>39</v>
      </c>
      <c r="B27" s="83">
        <f>'4.1 Comptes 2021 natures'!AB153</f>
        <v>1129.2400000000052</v>
      </c>
      <c r="C27" s="83">
        <f>'4.9 Comptes 2021 par habitant'!AB153</f>
        <v>7.6300000000000523</v>
      </c>
    </row>
    <row r="28" spans="1:3" x14ac:dyDescent="0.25">
      <c r="A28" s="169" t="s">
        <v>19</v>
      </c>
      <c r="B28" s="83">
        <f>'4.1 Comptes 2021 natures'!AC153</f>
        <v>-297058.18</v>
      </c>
      <c r="C28" s="83">
        <f>'4.9 Comptes 2021 par habitant'!AC153</f>
        <v>-573.47138996138995</v>
      </c>
    </row>
    <row r="29" spans="1:3" x14ac:dyDescent="0.25">
      <c r="A29" s="169" t="s">
        <v>41</v>
      </c>
      <c r="B29" s="83">
        <f>'4.1 Comptes 2021 natures'!AD153</f>
        <v>4584.9600000000064</v>
      </c>
      <c r="C29" s="83">
        <f>'4.9 Comptes 2021 par habitant'!AD153</f>
        <v>6.5405991440798914</v>
      </c>
    </row>
    <row r="30" spans="1:3" x14ac:dyDescent="0.25">
      <c r="A30" s="169" t="s">
        <v>36</v>
      </c>
      <c r="B30" s="83">
        <f>'4.1 Comptes 2021 natures'!AE153</f>
        <v>-249384.18</v>
      </c>
      <c r="C30" s="83">
        <f>'4.9 Comptes 2021 par habitant'!AE153</f>
        <v>-442.17053191489367</v>
      </c>
    </row>
    <row r="31" spans="1:3" x14ac:dyDescent="0.25">
      <c r="A31" s="169" t="s">
        <v>7</v>
      </c>
      <c r="B31" s="83">
        <f>'4.1 Comptes 2021 natures'!AF153</f>
        <v>76405.579999999987</v>
      </c>
      <c r="C31" s="83">
        <f>'4.9 Comptes 2021 par habitant'!AF153</f>
        <v>145.53443809523804</v>
      </c>
    </row>
    <row r="32" spans="1:3" x14ac:dyDescent="0.25">
      <c r="A32" s="169" t="s">
        <v>55</v>
      </c>
      <c r="B32" s="83">
        <f>'4.1 Comptes 2021 natures'!AG153</f>
        <v>904527.7</v>
      </c>
      <c r="C32" s="83">
        <f>'4.9 Comptes 2021 par habitant'!AG153</f>
        <v>473.82278679937139</v>
      </c>
    </row>
    <row r="33" spans="1:3" x14ac:dyDescent="0.25">
      <c r="A33" s="169" t="s">
        <v>21</v>
      </c>
      <c r="B33" s="83">
        <f>'4.1 Comptes 2021 natures'!AH153</f>
        <v>869734.76</v>
      </c>
      <c r="C33" s="83">
        <f>'4.9 Comptes 2021 par habitant'!AH153</f>
        <v>337.10649612403097</v>
      </c>
    </row>
    <row r="34" spans="1:3" x14ac:dyDescent="0.25">
      <c r="A34" s="169" t="s">
        <v>6</v>
      </c>
      <c r="B34" s="83">
        <f>'4.1 Comptes 2021 natures'!AI153</f>
        <v>-37068.9</v>
      </c>
      <c r="C34" s="83">
        <f>'4.9 Comptes 2021 par habitant'!AI153</f>
        <v>-166.97702702702702</v>
      </c>
    </row>
    <row r="35" spans="1:3" x14ac:dyDescent="0.25">
      <c r="A35" s="169" t="s">
        <v>34</v>
      </c>
      <c r="B35" s="83">
        <f>'4.1 Comptes 2021 natures'!AJ153</f>
        <v>45606.67</v>
      </c>
      <c r="C35" s="83">
        <f>'4.9 Comptes 2021 par habitant'!AJ153</f>
        <v>353.54007751937985</v>
      </c>
    </row>
    <row r="36" spans="1:3" x14ac:dyDescent="0.25">
      <c r="A36" s="169" t="s">
        <v>52</v>
      </c>
      <c r="B36" s="83">
        <f>'4.1 Comptes 2021 natures'!AK153</f>
        <v>571824.05000000005</v>
      </c>
      <c r="C36" s="83">
        <f>'4.9 Comptes 2021 par habitant'!AK153</f>
        <v>302.39241142252774</v>
      </c>
    </row>
    <row r="37" spans="1:3" x14ac:dyDescent="0.25">
      <c r="A37" s="169" t="s">
        <v>14</v>
      </c>
      <c r="B37" s="83">
        <f>'4.1 Comptes 2021 natures'!AL153</f>
        <v>45087.840000000004</v>
      </c>
      <c r="C37" s="83">
        <f>'4.9 Comptes 2021 par habitant'!AL153</f>
        <v>40.042486678507998</v>
      </c>
    </row>
    <row r="38" spans="1:3" x14ac:dyDescent="0.25">
      <c r="A38" s="169" t="s">
        <v>32</v>
      </c>
      <c r="B38" s="83">
        <f>'4.1 Comptes 2021 natures'!AM153</f>
        <v>123768.67</v>
      </c>
      <c r="C38" s="83">
        <f>'4.9 Comptes 2021 par habitant'!AM153</f>
        <v>101.03564897959184</v>
      </c>
    </row>
    <row r="39" spans="1:3" x14ac:dyDescent="0.25">
      <c r="A39" s="169" t="s">
        <v>29</v>
      </c>
      <c r="B39" s="83">
        <f>'4.1 Comptes 2021 natures'!AN153</f>
        <v>6229.74</v>
      </c>
      <c r="C39" s="83">
        <f>'4.9 Comptes 2021 par habitant'!AN153</f>
        <v>53.245641025641021</v>
      </c>
    </row>
    <row r="40" spans="1:3" x14ac:dyDescent="0.25">
      <c r="A40" s="169" t="s">
        <v>26</v>
      </c>
      <c r="B40" s="83">
        <f>'4.1 Comptes 2021 natures'!AO153</f>
        <v>209567.68</v>
      </c>
      <c r="C40" s="83">
        <f>'4.9 Comptes 2021 par habitant'!AO153</f>
        <v>176.85036286919831</v>
      </c>
    </row>
    <row r="41" spans="1:3" x14ac:dyDescent="0.25">
      <c r="A41" s="169" t="s">
        <v>48</v>
      </c>
      <c r="B41" s="83">
        <f>'4.1 Comptes 2021 natures'!AP153</f>
        <v>200305.65999999997</v>
      </c>
      <c r="C41" s="83">
        <f>'4.9 Comptes 2021 par habitant'!AP153</f>
        <v>312.00258566978192</v>
      </c>
    </row>
    <row r="42" spans="1:3" x14ac:dyDescent="0.25">
      <c r="A42" s="169" t="s">
        <v>44</v>
      </c>
      <c r="B42" s="83">
        <f>'4.1 Comptes 2021 natures'!AQ153</f>
        <v>32981.15</v>
      </c>
      <c r="C42" s="83">
        <f>'4.9 Comptes 2021 par habitant'!AQ153</f>
        <v>52.102922590837281</v>
      </c>
    </row>
    <row r="43" spans="1:3" x14ac:dyDescent="0.25">
      <c r="A43" s="169" t="s">
        <v>37</v>
      </c>
      <c r="B43" s="83">
        <f>'4.1 Comptes 2021 natures'!AR153</f>
        <v>76558.69</v>
      </c>
      <c r="C43" s="83">
        <f>'4.9 Comptes 2021 par habitant'!AR153</f>
        <v>59.62514797507788</v>
      </c>
    </row>
    <row r="44" spans="1:3" x14ac:dyDescent="0.25">
      <c r="A44" s="169" t="s">
        <v>51</v>
      </c>
      <c r="B44" s="83">
        <f>'4.1 Comptes 2021 natures'!AS153</f>
        <v>1288.75</v>
      </c>
      <c r="C44" s="83">
        <f>'4.9 Comptes 2021 par habitant'!AS153</f>
        <v>1.7629958960328338</v>
      </c>
    </row>
    <row r="45" spans="1:3" x14ac:dyDescent="0.25">
      <c r="A45" s="169" t="s">
        <v>8</v>
      </c>
      <c r="B45" s="83">
        <f>'4.1 Comptes 2021 natures'!AT153</f>
        <v>-3462.9399999999951</v>
      </c>
      <c r="C45" s="83">
        <f>'4.9 Comptes 2021 par habitant'!AT153</f>
        <v>-3.4084055118110186</v>
      </c>
    </row>
    <row r="46" spans="1:3" x14ac:dyDescent="0.25">
      <c r="A46" s="169" t="s">
        <v>24</v>
      </c>
      <c r="B46" s="83">
        <f>'4.1 Comptes 2021 natures'!AU153</f>
        <v>47834.869999999995</v>
      </c>
      <c r="C46" s="83">
        <f>'4.9 Comptes 2021 par habitant'!AU153</f>
        <v>157.35154605263159</v>
      </c>
    </row>
    <row r="47" spans="1:3" x14ac:dyDescent="0.25">
      <c r="A47" s="169" t="s">
        <v>9</v>
      </c>
      <c r="B47" s="83">
        <f>'4.1 Comptes 2021 natures'!AV153</f>
        <v>258416.72000000003</v>
      </c>
      <c r="C47" s="83">
        <f>'4.9 Comptes 2021 par habitant'!AV153</f>
        <v>107.13794361525706</v>
      </c>
    </row>
    <row r="48" spans="1:3" x14ac:dyDescent="0.25">
      <c r="A48" s="169" t="s">
        <v>62</v>
      </c>
      <c r="B48" s="83">
        <f>'4.1 Comptes 2021 natures'!AW153</f>
        <v>82660.81</v>
      </c>
      <c r="C48" s="83">
        <f>'4.9 Comptes 2021 par habitant'!AW153</f>
        <v>112.46368707482995</v>
      </c>
    </row>
    <row r="49" spans="1:3" x14ac:dyDescent="0.25">
      <c r="A49" s="169" t="s">
        <v>46</v>
      </c>
      <c r="B49" s="83">
        <f>'4.1 Comptes 2021 natures'!AX153</f>
        <v>-50574.92</v>
      </c>
      <c r="C49" s="83">
        <f>'4.9 Comptes 2021 par habitant'!AX153</f>
        <v>-273.37794594594595</v>
      </c>
    </row>
    <row r="50" spans="1:3" x14ac:dyDescent="0.25">
      <c r="A50" s="169" t="s">
        <v>35</v>
      </c>
      <c r="B50" s="83">
        <f>'4.1 Comptes 2021 natures'!AY153</f>
        <v>-46434.000000000007</v>
      </c>
      <c r="C50" s="83">
        <f>'4.9 Comptes 2021 par habitant'!AY153</f>
        <v>-136.57058823529411</v>
      </c>
    </row>
    <row r="51" spans="1:3" x14ac:dyDescent="0.25">
      <c r="A51" s="169" t="s">
        <v>49</v>
      </c>
      <c r="B51" s="83">
        <f>'4.1 Comptes 2021 natures'!AZ153</f>
        <v>59877.34</v>
      </c>
      <c r="C51" s="83">
        <f>'4.9 Comptes 2021 par habitant'!AZ153</f>
        <v>35.28423099587507</v>
      </c>
    </row>
    <row r="52" spans="1:3" x14ac:dyDescent="0.25">
      <c r="A52" s="169" t="s">
        <v>47</v>
      </c>
      <c r="B52" s="83">
        <f>'4.1 Comptes 2021 natures'!BA153</f>
        <v>122026.26000000001</v>
      </c>
      <c r="C52" s="83">
        <f>'4.9 Comptes 2021 par habitant'!BA153</f>
        <v>312.88784615384617</v>
      </c>
    </row>
    <row r="53" spans="1:3" x14ac:dyDescent="0.25">
      <c r="A53" s="169" t="s">
        <v>58</v>
      </c>
      <c r="B53" s="83">
        <f>'4.1 Comptes 2021 natures'!BB153</f>
        <v>134564.66</v>
      </c>
      <c r="C53" s="83">
        <f>'4.9 Comptes 2021 par habitant'!BB153</f>
        <v>125.40974836905872</v>
      </c>
    </row>
    <row r="54" spans="1:3" x14ac:dyDescent="0.25">
      <c r="A54" s="169" t="s">
        <v>50</v>
      </c>
      <c r="B54" s="83">
        <f>'4.1 Comptes 2021 natures'!BC153</f>
        <v>59759.93</v>
      </c>
      <c r="C54" s="83">
        <f>'4.9 Comptes 2021 par habitant'!BC153</f>
        <v>324.78222826086954</v>
      </c>
    </row>
    <row r="55" spans="1:3" x14ac:dyDescent="0.25">
      <c r="A55" s="169" t="s">
        <v>16</v>
      </c>
      <c r="B55" s="83">
        <f>'4.1 Comptes 2021 natures'!BD153</f>
        <v>651336.63000000012</v>
      </c>
      <c r="C55" s="83">
        <f>'4.9 Comptes 2021 par habitant'!BD153</f>
        <v>100.73254407670896</v>
      </c>
    </row>
    <row r="56" spans="1:3" x14ac:dyDescent="0.25">
      <c r="A56" s="169" t="s">
        <v>25</v>
      </c>
      <c r="B56" s="83">
        <f>'4.1 Comptes 2021 natures'!BE153</f>
        <v>116013.61000000002</v>
      </c>
      <c r="C56" s="83">
        <f>'4.9 Comptes 2021 par habitant'!BE153</f>
        <v>207.53776386404294</v>
      </c>
    </row>
    <row r="57" spans="1:3" x14ac:dyDescent="0.25">
      <c r="A57" s="171" t="s">
        <v>65</v>
      </c>
      <c r="B57" s="148">
        <f>'4.1 Comptes 2021 natures'!BF153</f>
        <v>13750904.800000003</v>
      </c>
      <c r="C57" s="148">
        <f>'4.9 Comptes 2021 par habitant'!BF153</f>
        <v>6097.9277869510706</v>
      </c>
    </row>
    <row r="58" spans="1:3" x14ac:dyDescent="0.25">
      <c r="A58" s="171" t="s">
        <v>211</v>
      </c>
      <c r="B58" s="148">
        <f>'4.1 Comptes 2021 natures'!BG153</f>
        <v>6697531.1299999999</v>
      </c>
      <c r="C58" s="148">
        <f>'4.9 Comptes 2021 par habitant'!BG153</f>
        <v>1099.6266665899179</v>
      </c>
    </row>
    <row r="59" spans="1:3" x14ac:dyDescent="0.25">
      <c r="A59" s="171" t="s">
        <v>212</v>
      </c>
      <c r="B59" s="148">
        <f>'4.1 Comptes 2021 natures'!BH153</f>
        <v>4353742.4700000007</v>
      </c>
      <c r="C59" s="148">
        <f>'4.9 Comptes 2021 par habitant'!BH153</f>
        <v>2829.0103184838867</v>
      </c>
    </row>
    <row r="60" spans="1:3" x14ac:dyDescent="0.25">
      <c r="A60" s="171" t="s">
        <v>213</v>
      </c>
      <c r="B60" s="148">
        <f>'4.1 Comptes 2021 natures'!BI153</f>
        <v>2699631.2</v>
      </c>
      <c r="C60" s="148">
        <f>'4.9 Comptes 2021 par habitant'!BI153</f>
        <v>2169.2908018772659</v>
      </c>
    </row>
  </sheetData>
  <pageMargins left="0.7" right="0.7" top="0.75" bottom="0.75" header="0.3" footer="0.3"/>
  <pageSetup paperSize="9" scale="8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59999389629810485"/>
    <pageSetUpPr fitToPage="1"/>
  </sheetPr>
  <dimension ref="A2:E161"/>
  <sheetViews>
    <sheetView workbookViewId="0">
      <selection activeCell="D5" sqref="D5"/>
    </sheetView>
  </sheetViews>
  <sheetFormatPr baseColWidth="10" defaultColWidth="11.42578125" defaultRowHeight="15" x14ac:dyDescent="0.25"/>
  <cols>
    <col min="1" max="2" width="5.7109375" customWidth="1"/>
    <col min="3" max="3" width="9" customWidth="1"/>
    <col min="4" max="4" width="63.5703125" customWidth="1"/>
    <col min="5" max="5" width="23" customWidth="1"/>
  </cols>
  <sheetData>
    <row r="2" spans="1:5" ht="26.25" x14ac:dyDescent="0.4">
      <c r="A2" s="32" t="s">
        <v>837</v>
      </c>
      <c r="B2" s="7"/>
      <c r="C2" s="7"/>
      <c r="D2" s="7"/>
    </row>
    <row r="4" spans="1:5" ht="15.75" thickBot="1" x14ac:dyDescent="0.3"/>
    <row r="5" spans="1:5" ht="15.75" thickBot="1" x14ac:dyDescent="0.3">
      <c r="A5" t="s">
        <v>634</v>
      </c>
      <c r="D5" s="142" t="s">
        <v>25</v>
      </c>
    </row>
    <row r="7" spans="1:5" x14ac:dyDescent="0.25">
      <c r="E7" s="53" t="s">
        <v>202</v>
      </c>
    </row>
    <row r="8" spans="1:5" ht="21" x14ac:dyDescent="0.35">
      <c r="A8" s="74">
        <v>3</v>
      </c>
      <c r="B8" s="74"/>
      <c r="C8" s="74"/>
      <c r="D8" s="74" t="s">
        <v>60</v>
      </c>
      <c r="E8" s="139">
        <f>HLOOKUP(D5,'4.1 Comptes 2021 natures'!$E$3:$BE$158,2,0)</f>
        <v>2420550.6100000003</v>
      </c>
    </row>
    <row r="9" spans="1:5" x14ac:dyDescent="0.25">
      <c r="A9" s="76"/>
      <c r="B9" s="76">
        <v>30</v>
      </c>
      <c r="C9" s="76"/>
      <c r="D9" s="76" t="s">
        <v>61</v>
      </c>
      <c r="E9" s="77">
        <f>HLOOKUP($D$5,'4.1 Comptes 2021 natures'!$E$3:$BE$158,3,0)</f>
        <v>314902.15000000002</v>
      </c>
    </row>
    <row r="10" spans="1:5" x14ac:dyDescent="0.25">
      <c r="C10">
        <v>300</v>
      </c>
      <c r="D10" t="s">
        <v>80</v>
      </c>
      <c r="E10" s="4">
        <f>HLOOKUP($D$5,'4.1 Comptes 2021 natures'!$E$3:$BE$158,4,0)</f>
        <v>27030.9</v>
      </c>
    </row>
    <row r="11" spans="1:5" x14ac:dyDescent="0.25">
      <c r="C11">
        <v>301</v>
      </c>
      <c r="D11" t="s">
        <v>81</v>
      </c>
      <c r="E11" s="4">
        <f>HLOOKUP($D$5,'4.1 Comptes 2021 natures'!$E$3:$BE$158,5,0)</f>
        <v>239400.55</v>
      </c>
    </row>
    <row r="12" spans="1:5" x14ac:dyDescent="0.25">
      <c r="C12">
        <v>302</v>
      </c>
      <c r="D12" t="s">
        <v>82</v>
      </c>
      <c r="E12" s="4">
        <f>HLOOKUP($D$5,'4.1 Comptes 2021 natures'!$E$3:$BE$158,6,0)</f>
        <v>0</v>
      </c>
    </row>
    <row r="13" spans="1:5" x14ac:dyDescent="0.25">
      <c r="C13">
        <v>303</v>
      </c>
      <c r="D13" t="s">
        <v>83</v>
      </c>
      <c r="E13" s="4">
        <f>HLOOKUP($D$5,'4.1 Comptes 2021 natures'!$E$3:$BE$158,7,0)</f>
        <v>0</v>
      </c>
    </row>
    <row r="14" spans="1:5" x14ac:dyDescent="0.25">
      <c r="C14">
        <v>304</v>
      </c>
      <c r="D14" t="s">
        <v>583</v>
      </c>
      <c r="E14" s="4">
        <f>HLOOKUP($D$5,'4.1 Comptes 2021 natures'!$E$3:$BE$158,8,0)</f>
        <v>0</v>
      </c>
    </row>
    <row r="15" spans="1:5" x14ac:dyDescent="0.25">
      <c r="C15">
        <v>305</v>
      </c>
      <c r="D15" t="s">
        <v>84</v>
      </c>
      <c r="E15" s="4">
        <f>HLOOKUP($D$5,'4.1 Comptes 2021 natures'!$E$3:$BE$158,9,0)</f>
        <v>48051.45</v>
      </c>
    </row>
    <row r="16" spans="1:5" x14ac:dyDescent="0.25">
      <c r="C16">
        <v>306</v>
      </c>
      <c r="D16" t="s">
        <v>85</v>
      </c>
      <c r="E16" s="4">
        <f>HLOOKUP($D$5,'4.1 Comptes 2021 natures'!$E$3:$BE$158,10,0)</f>
        <v>0</v>
      </c>
    </row>
    <row r="17" spans="2:5" x14ac:dyDescent="0.25">
      <c r="C17">
        <v>309</v>
      </c>
      <c r="D17" t="s">
        <v>86</v>
      </c>
      <c r="E17" s="4">
        <f>HLOOKUP($D$5,'4.1 Comptes 2021 natures'!$E$3:$BE$158,11,0)</f>
        <v>419.25</v>
      </c>
    </row>
    <row r="18" spans="2:5" x14ac:dyDescent="0.25">
      <c r="E18" s="4"/>
    </row>
    <row r="19" spans="2:5" x14ac:dyDescent="0.25">
      <c r="B19" s="76">
        <v>31</v>
      </c>
      <c r="C19" s="76"/>
      <c r="D19" s="76" t="s">
        <v>87</v>
      </c>
      <c r="E19" s="77">
        <f>SUM(E20:E29)</f>
        <v>409134.82</v>
      </c>
    </row>
    <row r="20" spans="2:5" x14ac:dyDescent="0.25">
      <c r="C20">
        <v>310</v>
      </c>
      <c r="D20" t="s">
        <v>88</v>
      </c>
      <c r="E20" s="4">
        <f>HLOOKUP($D$5,'4.1 Comptes 2021 natures'!$E$3:$BE$158,14,0)</f>
        <v>71492.899999999994</v>
      </c>
    </row>
    <row r="21" spans="2:5" x14ac:dyDescent="0.25">
      <c r="C21">
        <v>311</v>
      </c>
      <c r="D21" t="s">
        <v>452</v>
      </c>
      <c r="E21" s="4">
        <f>HLOOKUP($D$5,'4.1 Comptes 2021 natures'!$E$3:$BE$158,15,0)</f>
        <v>15891.1</v>
      </c>
    </row>
    <row r="22" spans="2:5" x14ac:dyDescent="0.25">
      <c r="C22">
        <v>312</v>
      </c>
      <c r="D22" t="s">
        <v>90</v>
      </c>
      <c r="E22" s="4">
        <f>HLOOKUP($D$5,'4.1 Comptes 2021 natures'!$E$3:$BE$158,16,0)</f>
        <v>27528.1</v>
      </c>
    </row>
    <row r="23" spans="2:5" x14ac:dyDescent="0.25">
      <c r="C23">
        <v>313</v>
      </c>
      <c r="D23" t="s">
        <v>91</v>
      </c>
      <c r="E23" s="4">
        <f>HLOOKUP($D$5,'4.1 Comptes 2021 natures'!$E$3:$BE$158,17,0)</f>
        <v>148225.19</v>
      </c>
    </row>
    <row r="24" spans="2:5" x14ac:dyDescent="0.25">
      <c r="C24">
        <v>314</v>
      </c>
      <c r="D24" t="s">
        <v>92</v>
      </c>
      <c r="E24" s="4">
        <f>HLOOKUP($D$5,'4.1 Comptes 2021 natures'!$E$3:$BE$158,18,0)</f>
        <v>57146.35</v>
      </c>
    </row>
    <row r="25" spans="2:5" x14ac:dyDescent="0.25">
      <c r="C25">
        <v>315</v>
      </c>
      <c r="D25" t="s">
        <v>93</v>
      </c>
      <c r="E25" s="4">
        <f>HLOOKUP($D$5,'4.1 Comptes 2021 natures'!$E$3:$BE$158,19,0)</f>
        <v>41709.5</v>
      </c>
    </row>
    <row r="26" spans="2:5" x14ac:dyDescent="0.25">
      <c r="C26">
        <v>316</v>
      </c>
      <c r="D26" t="s">
        <v>94</v>
      </c>
      <c r="E26" s="4">
        <f>HLOOKUP($D$5,'4.1 Comptes 2021 natures'!$E$3:$BE$158,20,0)</f>
        <v>600</v>
      </c>
    </row>
    <row r="27" spans="2:5" x14ac:dyDescent="0.25">
      <c r="C27">
        <v>317</v>
      </c>
      <c r="D27" t="s">
        <v>95</v>
      </c>
      <c r="E27" s="4">
        <f>HLOOKUP($D$5,'4.1 Comptes 2021 natures'!$E$3:$BE$158,21,0)</f>
        <v>3546.8</v>
      </c>
    </row>
    <row r="28" spans="2:5" x14ac:dyDescent="0.25">
      <c r="C28">
        <v>318</v>
      </c>
      <c r="D28" t="s">
        <v>96</v>
      </c>
      <c r="E28" s="4">
        <f>HLOOKUP($D$5,'4.1 Comptes 2021 natures'!$E$3:$BE$158,22,0)</f>
        <v>39212.879999999997</v>
      </c>
    </row>
    <row r="29" spans="2:5" x14ac:dyDescent="0.25">
      <c r="C29">
        <v>319</v>
      </c>
      <c r="D29" t="s">
        <v>97</v>
      </c>
      <c r="E29" s="4">
        <f>HLOOKUP($D$5,'4.1 Comptes 2021 natures'!$E$3:$BE$158,23,0)</f>
        <v>3782</v>
      </c>
    </row>
    <row r="30" spans="2:5" x14ac:dyDescent="0.25">
      <c r="E30" s="4"/>
    </row>
    <row r="31" spans="2:5" x14ac:dyDescent="0.25">
      <c r="B31" s="76">
        <v>33</v>
      </c>
      <c r="C31" s="76"/>
      <c r="D31" s="76" t="s">
        <v>98</v>
      </c>
      <c r="E31" s="77">
        <f>SUM(E32:E33)</f>
        <v>101119</v>
      </c>
    </row>
    <row r="32" spans="2:5" x14ac:dyDescent="0.25">
      <c r="C32">
        <v>330</v>
      </c>
      <c r="D32" t="s">
        <v>100</v>
      </c>
      <c r="E32" s="4">
        <f>HLOOKUP($D$5,'4.1 Comptes 2021 natures'!$E$3:$BE$158,26,0)</f>
        <v>101119</v>
      </c>
    </row>
    <row r="33" spans="2:5" x14ac:dyDescent="0.25">
      <c r="C33">
        <v>332</v>
      </c>
      <c r="D33" t="s">
        <v>99</v>
      </c>
      <c r="E33" s="4">
        <f>HLOOKUP($D$5,'4.1 Comptes 2021 natures'!$E$3:$BE$158,27,0)</f>
        <v>0</v>
      </c>
    </row>
    <row r="34" spans="2:5" x14ac:dyDescent="0.25">
      <c r="E34" s="4"/>
    </row>
    <row r="35" spans="2:5" x14ac:dyDescent="0.25">
      <c r="B35" s="76">
        <v>34</v>
      </c>
      <c r="C35" s="76"/>
      <c r="D35" s="76" t="s">
        <v>101</v>
      </c>
      <c r="E35" s="77">
        <f>SUM(E36:E41)</f>
        <v>57204</v>
      </c>
    </row>
    <row r="36" spans="2:5" x14ac:dyDescent="0.25">
      <c r="C36">
        <v>340</v>
      </c>
      <c r="D36" t="s">
        <v>102</v>
      </c>
      <c r="E36" s="4">
        <f>HLOOKUP($D$5,'4.1 Comptes 2021 natures'!$E$3:$BE$158,30,0)</f>
        <v>39123.85</v>
      </c>
    </row>
    <row r="37" spans="2:5" x14ac:dyDescent="0.25">
      <c r="C37">
        <v>341</v>
      </c>
      <c r="D37" t="s">
        <v>103</v>
      </c>
      <c r="E37" s="4">
        <f>HLOOKUP($D$5,'4.1 Comptes 2021 natures'!$E$3:$BE$158,31,0)</f>
        <v>0</v>
      </c>
    </row>
    <row r="38" spans="2:5" x14ac:dyDescent="0.25">
      <c r="C38">
        <v>342</v>
      </c>
      <c r="D38" t="s">
        <v>104</v>
      </c>
      <c r="E38" s="4">
        <f>HLOOKUP($D$5,'4.1 Comptes 2021 natures'!$E$3:$BE$158,32,0)</f>
        <v>0</v>
      </c>
    </row>
    <row r="39" spans="2:5" x14ac:dyDescent="0.25">
      <c r="C39">
        <v>343</v>
      </c>
      <c r="D39" t="s">
        <v>105</v>
      </c>
      <c r="E39" s="4">
        <f>HLOOKUP($D$5,'4.1 Comptes 2021 natures'!$E$3:$BE$158,33,0)</f>
        <v>16172.75</v>
      </c>
    </row>
    <row r="40" spans="2:5" x14ac:dyDescent="0.25">
      <c r="C40">
        <v>344</v>
      </c>
      <c r="D40" t="s">
        <v>106</v>
      </c>
      <c r="E40" s="4">
        <f>HLOOKUP($D$5,'4.1 Comptes 2021 natures'!$E$3:$BE$158,34,0)</f>
        <v>0</v>
      </c>
    </row>
    <row r="41" spans="2:5" x14ac:dyDescent="0.25">
      <c r="C41">
        <v>349</v>
      </c>
      <c r="D41" t="s">
        <v>107</v>
      </c>
      <c r="E41" s="4">
        <f>HLOOKUP($D$5,'4.1 Comptes 2021 natures'!$E$3:$BE$158,35,0)</f>
        <v>1907.4</v>
      </c>
    </row>
    <row r="42" spans="2:5" x14ac:dyDescent="0.25">
      <c r="E42" s="4"/>
    </row>
    <row r="43" spans="2:5" x14ac:dyDescent="0.25">
      <c r="B43" s="76">
        <v>35</v>
      </c>
      <c r="C43" s="76"/>
      <c r="D43" s="76" t="s">
        <v>109</v>
      </c>
      <c r="E43" s="77">
        <f>SUM(E44:E45)</f>
        <v>19316.63</v>
      </c>
    </row>
    <row r="44" spans="2:5" x14ac:dyDescent="0.25">
      <c r="C44">
        <v>350</v>
      </c>
      <c r="D44" t="s">
        <v>109</v>
      </c>
      <c r="E44" s="4">
        <f>HLOOKUP($D$5,'4.1 Comptes 2021 natures'!$E$3:$BE$158,38,0)</f>
        <v>0</v>
      </c>
    </row>
    <row r="45" spans="2:5" x14ac:dyDescent="0.25">
      <c r="C45">
        <v>351</v>
      </c>
      <c r="D45" t="s">
        <v>108</v>
      </c>
      <c r="E45" s="4">
        <f>HLOOKUP($D$5,'4.1 Comptes 2021 natures'!$E$3:$BE$158,39,0)</f>
        <v>19316.63</v>
      </c>
    </row>
    <row r="46" spans="2:5" x14ac:dyDescent="0.25">
      <c r="E46" s="4"/>
    </row>
    <row r="47" spans="2:5" x14ac:dyDescent="0.25">
      <c r="B47" s="76">
        <v>36</v>
      </c>
      <c r="C47" s="76"/>
      <c r="D47" s="76" t="s">
        <v>110</v>
      </c>
      <c r="E47" s="77">
        <f>SUM(E48:E55)</f>
        <v>1443374.0100000002</v>
      </c>
    </row>
    <row r="48" spans="2:5" x14ac:dyDescent="0.25">
      <c r="C48">
        <v>360</v>
      </c>
      <c r="D48" t="s">
        <v>111</v>
      </c>
      <c r="E48" s="4">
        <f>HLOOKUP($D$5,'4.1 Comptes 2021 natures'!$E$3:$BE$158,42,0)</f>
        <v>2220</v>
      </c>
    </row>
    <row r="49" spans="2:5" x14ac:dyDescent="0.25">
      <c r="C49">
        <v>361</v>
      </c>
      <c r="D49" t="s">
        <v>112</v>
      </c>
      <c r="E49" s="4">
        <f>HLOOKUP($D$5,'4.1 Comptes 2021 natures'!$E$3:$BE$158,43,0)</f>
        <v>1048753.6100000001</v>
      </c>
    </row>
    <row r="50" spans="2:5" x14ac:dyDescent="0.25">
      <c r="C50">
        <v>362</v>
      </c>
      <c r="D50" t="s">
        <v>113</v>
      </c>
      <c r="E50" s="4">
        <f>HLOOKUP($D$5,'4.1 Comptes 2021 natures'!$E$3:$BE$158,44,0)</f>
        <v>0</v>
      </c>
    </row>
    <row r="51" spans="2:5" x14ac:dyDescent="0.25">
      <c r="C51">
        <v>363</v>
      </c>
      <c r="D51" t="s">
        <v>114</v>
      </c>
      <c r="E51" s="4">
        <f>HLOOKUP($D$5,'4.1 Comptes 2021 natures'!$E$3:$BE$158,45,0)</f>
        <v>387396.4</v>
      </c>
    </row>
    <row r="52" spans="2:5" x14ac:dyDescent="0.25">
      <c r="C52">
        <v>364</v>
      </c>
      <c r="D52" t="s">
        <v>115</v>
      </c>
      <c r="E52" s="4">
        <f>HLOOKUP($D$5,'4.1 Comptes 2021 natures'!$E$3:$BE$158,46,0)</f>
        <v>0</v>
      </c>
    </row>
    <row r="53" spans="2:5" x14ac:dyDescent="0.25">
      <c r="C53">
        <v>365</v>
      </c>
      <c r="D53" t="s">
        <v>116</v>
      </c>
      <c r="E53" s="4">
        <f>HLOOKUP($D$5,'4.1 Comptes 2021 natures'!$E$3:$BE$158,47,0)</f>
        <v>0</v>
      </c>
    </row>
    <row r="54" spans="2:5" x14ac:dyDescent="0.25">
      <c r="C54">
        <v>366</v>
      </c>
      <c r="D54" t="s">
        <v>117</v>
      </c>
      <c r="E54" s="4">
        <f>HLOOKUP($D$5,'4.1 Comptes 2021 natures'!$E$3:$BE$158,48,0)</f>
        <v>0</v>
      </c>
    </row>
    <row r="55" spans="2:5" x14ac:dyDescent="0.25">
      <c r="C55">
        <v>369</v>
      </c>
      <c r="D55" t="s">
        <v>118</v>
      </c>
      <c r="E55" s="4">
        <f>HLOOKUP($D$5,'4.1 Comptes 2021 natures'!$E$3:$BE$158,49,0)</f>
        <v>5004</v>
      </c>
    </row>
    <row r="56" spans="2:5" x14ac:dyDescent="0.25">
      <c r="E56" s="4"/>
    </row>
    <row r="57" spans="2:5" x14ac:dyDescent="0.25">
      <c r="B57" s="76">
        <v>37</v>
      </c>
      <c r="C57" s="76"/>
      <c r="D57" s="76" t="s">
        <v>119</v>
      </c>
      <c r="E57" s="77">
        <f>SUM(E58)</f>
        <v>0</v>
      </c>
    </row>
    <row r="58" spans="2:5" x14ac:dyDescent="0.25">
      <c r="C58">
        <v>370</v>
      </c>
      <c r="D58" t="s">
        <v>120</v>
      </c>
      <c r="E58" s="4">
        <f>HLOOKUP($D$5,'4.1 Comptes 2021 natures'!$E$3:$BE$158,52,0)</f>
        <v>0</v>
      </c>
    </row>
    <row r="59" spans="2:5" x14ac:dyDescent="0.25">
      <c r="E59" s="4"/>
    </row>
    <row r="60" spans="2:5" x14ac:dyDescent="0.25">
      <c r="B60" s="76">
        <v>38</v>
      </c>
      <c r="C60" s="76"/>
      <c r="D60" s="76" t="s">
        <v>121</v>
      </c>
      <c r="E60" s="77">
        <f>SUM(E61:E66)</f>
        <v>60000</v>
      </c>
    </row>
    <row r="61" spans="2:5" x14ac:dyDescent="0.25">
      <c r="C61">
        <v>380</v>
      </c>
      <c r="D61" t="s">
        <v>122</v>
      </c>
      <c r="E61" s="4">
        <f>HLOOKUP($D$5,'4.1 Comptes 2021 natures'!$E$3:$BE$158,55,0)</f>
        <v>0</v>
      </c>
    </row>
    <row r="62" spans="2:5" x14ac:dyDescent="0.25">
      <c r="C62">
        <v>381</v>
      </c>
      <c r="D62" t="s">
        <v>123</v>
      </c>
      <c r="E62" s="4">
        <f>HLOOKUP($D$5,'4.1 Comptes 2021 natures'!$E$3:$BE$158,56,0)</f>
        <v>0</v>
      </c>
    </row>
    <row r="63" spans="2:5" x14ac:dyDescent="0.25">
      <c r="C63">
        <v>384</v>
      </c>
      <c r="D63" t="s">
        <v>124</v>
      </c>
      <c r="E63" s="4">
        <f>HLOOKUP($D$5,'4.1 Comptes 2021 natures'!$E$3:$BE$158,57,0)</f>
        <v>0</v>
      </c>
    </row>
    <row r="64" spans="2:5" x14ac:dyDescent="0.25">
      <c r="C64">
        <v>385</v>
      </c>
      <c r="D64" t="s">
        <v>125</v>
      </c>
      <c r="E64" s="4">
        <f>HLOOKUP($D$5,'4.1 Comptes 2021 natures'!$E$3:$BE$158,58,0)</f>
        <v>0</v>
      </c>
    </row>
    <row r="65" spans="1:5" x14ac:dyDescent="0.25">
      <c r="C65">
        <v>386</v>
      </c>
      <c r="D65" t="s">
        <v>126</v>
      </c>
      <c r="E65" s="4">
        <f>HLOOKUP($D$5,'4.1 Comptes 2021 natures'!$E$3:$BE$158,59,0)</f>
        <v>0</v>
      </c>
    </row>
    <row r="66" spans="1:5" x14ac:dyDescent="0.25">
      <c r="C66">
        <v>389</v>
      </c>
      <c r="D66" t="s">
        <v>290</v>
      </c>
      <c r="E66" s="4">
        <f>HLOOKUP($D$5,'4.1 Comptes 2021 natures'!$E$3:$BE$158,60,0)</f>
        <v>60000</v>
      </c>
    </row>
    <row r="67" spans="1:5" x14ac:dyDescent="0.25">
      <c r="E67" s="4"/>
    </row>
    <row r="68" spans="1:5" x14ac:dyDescent="0.25">
      <c r="B68" s="76">
        <v>39</v>
      </c>
      <c r="C68" s="76"/>
      <c r="D68" s="76" t="s">
        <v>128</v>
      </c>
      <c r="E68" s="77">
        <f>SUM(E69:E76)</f>
        <v>15500</v>
      </c>
    </row>
    <row r="69" spans="1:5" x14ac:dyDescent="0.25">
      <c r="C69">
        <v>390</v>
      </c>
      <c r="D69" t="s">
        <v>129</v>
      </c>
      <c r="E69" s="4">
        <f>HLOOKUP($D$5,'4.1 Comptes 2021 natures'!$E$3:$BE$158,63,0)</f>
        <v>0</v>
      </c>
    </row>
    <row r="70" spans="1:5" x14ac:dyDescent="0.25">
      <c r="C70">
        <v>391</v>
      </c>
      <c r="D70" t="s">
        <v>130</v>
      </c>
      <c r="E70" s="4">
        <f>HLOOKUP($D$5,'4.1 Comptes 2021 natures'!$E$3:$BE$158,64,0)</f>
        <v>15500</v>
      </c>
    </row>
    <row r="71" spans="1:5" x14ac:dyDescent="0.25">
      <c r="C71">
        <v>392</v>
      </c>
      <c r="D71" t="s">
        <v>131</v>
      </c>
      <c r="E71" s="4">
        <f>HLOOKUP($D$5,'4.1 Comptes 2021 natures'!$E$3:$BE$158,65,0)</f>
        <v>0</v>
      </c>
    </row>
    <row r="72" spans="1:5" x14ac:dyDescent="0.25">
      <c r="C72">
        <v>393</v>
      </c>
      <c r="D72" t="s">
        <v>132</v>
      </c>
      <c r="E72" s="4">
        <f>HLOOKUP($D$5,'4.1 Comptes 2021 natures'!$E$3:$BE$158,66,0)</f>
        <v>0</v>
      </c>
    </row>
    <row r="73" spans="1:5" x14ac:dyDescent="0.25">
      <c r="C73">
        <v>394</v>
      </c>
      <c r="D73" t="s">
        <v>133</v>
      </c>
      <c r="E73" s="4">
        <f>HLOOKUP($D$5,'4.1 Comptes 2021 natures'!$E$3:$BE$158,67,0)</f>
        <v>0</v>
      </c>
    </row>
    <row r="74" spans="1:5" x14ac:dyDescent="0.25">
      <c r="C74">
        <v>395</v>
      </c>
      <c r="D74" t="s">
        <v>134</v>
      </c>
      <c r="E74" s="4">
        <f>HLOOKUP($D$5,'4.1 Comptes 2021 natures'!$E$3:$BE$158,68,0)</f>
        <v>0</v>
      </c>
    </row>
    <row r="75" spans="1:5" x14ac:dyDescent="0.25">
      <c r="C75">
        <v>398</v>
      </c>
      <c r="D75" t="s">
        <v>135</v>
      </c>
      <c r="E75" s="4">
        <f>HLOOKUP($D$5,'4.1 Comptes 2021 natures'!$E$3:$BE$158,69,0)</f>
        <v>0</v>
      </c>
    </row>
    <row r="76" spans="1:5" x14ac:dyDescent="0.25">
      <c r="C76">
        <v>399</v>
      </c>
      <c r="D76" t="s">
        <v>136</v>
      </c>
      <c r="E76" s="4">
        <f>HLOOKUP($D$5,'4.1 Comptes 2021 natures'!$E$3:$BE$158,70,0)</f>
        <v>0</v>
      </c>
    </row>
    <row r="77" spans="1:5" x14ac:dyDescent="0.25">
      <c r="E77" s="4"/>
    </row>
    <row r="78" spans="1:5" x14ac:dyDescent="0.25">
      <c r="E78" s="4"/>
    </row>
    <row r="79" spans="1:5" ht="21" x14ac:dyDescent="0.35">
      <c r="A79" s="80">
        <v>4</v>
      </c>
      <c r="B79" s="80"/>
      <c r="C79" s="80"/>
      <c r="D79" s="80" t="s">
        <v>137</v>
      </c>
      <c r="E79" s="140">
        <f>HLOOKUP($D$5,'4.1 Comptes 2021 natures'!$E$3:$BE$158,73,0)</f>
        <v>2536564.2199999997</v>
      </c>
    </row>
    <row r="80" spans="1:5" x14ac:dyDescent="0.25">
      <c r="A80" s="7"/>
      <c r="B80" s="78">
        <v>40</v>
      </c>
      <c r="C80" s="78"/>
      <c r="D80" s="78" t="s">
        <v>79</v>
      </c>
      <c r="E80" s="73">
        <f>SUM(E81:E84)</f>
        <v>1475042.4700000002</v>
      </c>
    </row>
    <row r="81" spans="2:5" x14ac:dyDescent="0.25">
      <c r="C81">
        <v>400</v>
      </c>
      <c r="D81" t="s">
        <v>138</v>
      </c>
      <c r="E81" s="4">
        <f>HLOOKUP($D$5,'4.1 Comptes 2021 natures'!$E$3:$BE$158,75,0)</f>
        <v>1229515.01</v>
      </c>
    </row>
    <row r="82" spans="2:5" x14ac:dyDescent="0.25">
      <c r="C82">
        <v>401</v>
      </c>
      <c r="D82" t="s">
        <v>139</v>
      </c>
      <c r="E82" s="4">
        <f>HLOOKUP($D$5,'4.1 Comptes 2021 natures'!$E$3:$BE$158,76,0)</f>
        <v>33491.089999999997</v>
      </c>
    </row>
    <row r="83" spans="2:5" x14ac:dyDescent="0.25">
      <c r="C83">
        <v>402</v>
      </c>
      <c r="D83" t="s">
        <v>140</v>
      </c>
      <c r="E83" s="4">
        <f>HLOOKUP($D$5,'4.1 Comptes 2021 natures'!$E$3:$BE$158,77,0)</f>
        <v>205660.37</v>
      </c>
    </row>
    <row r="84" spans="2:5" x14ac:dyDescent="0.25">
      <c r="C84">
        <v>403</v>
      </c>
      <c r="D84" t="s">
        <v>141</v>
      </c>
      <c r="E84" s="4">
        <f>HLOOKUP($D$5,'4.1 Comptes 2021 natures'!$E$3:$BE$158,78,0)</f>
        <v>6376</v>
      </c>
    </row>
    <row r="85" spans="2:5" x14ac:dyDescent="0.25">
      <c r="E85" s="4"/>
    </row>
    <row r="86" spans="2:5" x14ac:dyDescent="0.25">
      <c r="B86" s="78">
        <v>41</v>
      </c>
      <c r="C86" s="78"/>
      <c r="D86" s="78" t="s">
        <v>142</v>
      </c>
      <c r="E86" s="73">
        <f>SUM(E87:E90)</f>
        <v>0</v>
      </c>
    </row>
    <row r="87" spans="2:5" x14ac:dyDescent="0.25">
      <c r="C87">
        <v>410</v>
      </c>
      <c r="D87" t="s">
        <v>143</v>
      </c>
      <c r="E87" s="4">
        <f>HLOOKUP($D$5,'4.1 Comptes 2021 natures'!$E$3:$BE$158,81,0)</f>
        <v>0</v>
      </c>
    </row>
    <row r="88" spans="2:5" x14ac:dyDescent="0.25">
      <c r="C88">
        <v>411</v>
      </c>
      <c r="D88" t="s">
        <v>144</v>
      </c>
      <c r="E88" s="4">
        <f>HLOOKUP($D$5,'4.1 Comptes 2021 natures'!$E$3:$BE$158,82,0)</f>
        <v>0</v>
      </c>
    </row>
    <row r="89" spans="2:5" x14ac:dyDescent="0.25">
      <c r="C89">
        <v>412</v>
      </c>
      <c r="D89" t="s">
        <v>145</v>
      </c>
      <c r="E89" s="4">
        <f>HLOOKUP($D$5,'4.1 Comptes 2021 natures'!$E$3:$BE$158,83,0)</f>
        <v>0</v>
      </c>
    </row>
    <row r="90" spans="2:5" x14ac:dyDescent="0.25">
      <c r="C90">
        <v>413</v>
      </c>
      <c r="D90" t="s">
        <v>146</v>
      </c>
      <c r="E90" s="4">
        <f>HLOOKUP($D$5,'4.1 Comptes 2021 natures'!$E$3:$BE$158,84,0)</f>
        <v>0</v>
      </c>
    </row>
    <row r="91" spans="2:5" x14ac:dyDescent="0.25">
      <c r="E91" s="4"/>
    </row>
    <row r="92" spans="2:5" x14ac:dyDescent="0.25">
      <c r="B92" s="78">
        <v>42</v>
      </c>
      <c r="C92" s="78"/>
      <c r="D92" s="78" t="s">
        <v>147</v>
      </c>
      <c r="E92" s="73">
        <f>SUM(E93:E101)</f>
        <v>398744.61</v>
      </c>
    </row>
    <row r="93" spans="2:5" x14ac:dyDescent="0.25">
      <c r="C93">
        <v>420</v>
      </c>
      <c r="D93" t="s">
        <v>148</v>
      </c>
      <c r="E93" s="4">
        <f>HLOOKUP($D$5,'4.1 Comptes 2021 natures'!$E$3:$BE$158,87,0)</f>
        <v>12725.75</v>
      </c>
    </row>
    <row r="94" spans="2:5" x14ac:dyDescent="0.25">
      <c r="C94">
        <v>421</v>
      </c>
      <c r="D94" t="s">
        <v>149</v>
      </c>
      <c r="E94" s="4">
        <f>HLOOKUP($D$5,'4.1 Comptes 2021 natures'!$E$3:$BE$158,88,0)</f>
        <v>8598.75</v>
      </c>
    </row>
    <row r="95" spans="2:5" x14ac:dyDescent="0.25">
      <c r="C95">
        <v>422</v>
      </c>
      <c r="D95" t="s">
        <v>150</v>
      </c>
      <c r="E95" s="4">
        <f>HLOOKUP($D$5,'4.1 Comptes 2021 natures'!$E$3:$BE$158,89,0)</f>
        <v>0</v>
      </c>
    </row>
    <row r="96" spans="2:5" x14ac:dyDescent="0.25">
      <c r="C96">
        <v>423</v>
      </c>
      <c r="D96" t="s">
        <v>151</v>
      </c>
      <c r="E96" s="4">
        <f>HLOOKUP($D$5,'4.1 Comptes 2021 natures'!$E$3:$BE$158,90,0)</f>
        <v>0</v>
      </c>
    </row>
    <row r="97" spans="2:5" x14ac:dyDescent="0.25">
      <c r="C97">
        <v>424</v>
      </c>
      <c r="D97" t="s">
        <v>152</v>
      </c>
      <c r="E97" s="4">
        <f>HLOOKUP($D$5,'4.1 Comptes 2021 natures'!$E$3:$BE$158,91,0)</f>
        <v>252789.8</v>
      </c>
    </row>
    <row r="98" spans="2:5" x14ac:dyDescent="0.25">
      <c r="C98">
        <v>425</v>
      </c>
      <c r="D98" t="s">
        <v>153</v>
      </c>
      <c r="E98" s="4">
        <f>HLOOKUP($D$5,'4.1 Comptes 2021 natures'!$E$3:$BE$158,92,0)</f>
        <v>105430.51</v>
      </c>
    </row>
    <row r="99" spans="2:5" x14ac:dyDescent="0.25">
      <c r="C99">
        <v>426</v>
      </c>
      <c r="D99" t="s">
        <v>154</v>
      </c>
      <c r="E99" s="4">
        <f>HLOOKUP($D$5,'4.1 Comptes 2021 natures'!$E$3:$BE$158,93,0)</f>
        <v>18542.8</v>
      </c>
    </row>
    <row r="100" spans="2:5" x14ac:dyDescent="0.25">
      <c r="C100">
        <v>427</v>
      </c>
      <c r="D100" t="s">
        <v>155</v>
      </c>
      <c r="E100" s="4">
        <f>HLOOKUP($D$5,'4.1 Comptes 2021 natures'!$E$3:$BE$158,94,0)</f>
        <v>657</v>
      </c>
    </row>
    <row r="101" spans="2:5" x14ac:dyDescent="0.25">
      <c r="C101">
        <v>429</v>
      </c>
      <c r="D101" t="s">
        <v>156</v>
      </c>
      <c r="E101" s="4">
        <f>HLOOKUP($D$5,'4.1 Comptes 2021 natures'!$E$3:$BE$158,95,0)</f>
        <v>0</v>
      </c>
    </row>
    <row r="102" spans="2:5" x14ac:dyDescent="0.25">
      <c r="E102" s="4"/>
    </row>
    <row r="103" spans="2:5" x14ac:dyDescent="0.25">
      <c r="B103" s="78">
        <v>43</v>
      </c>
      <c r="C103" s="78"/>
      <c r="D103" s="78" t="s">
        <v>157</v>
      </c>
      <c r="E103" s="73">
        <f>SUM(E104:E107)</f>
        <v>0</v>
      </c>
    </row>
    <row r="104" spans="2:5" x14ac:dyDescent="0.25">
      <c r="C104">
        <v>430</v>
      </c>
      <c r="D104" t="s">
        <v>158</v>
      </c>
      <c r="E104" s="4">
        <f>HLOOKUP($D$5,'4.1 Comptes 2021 natures'!$E$3:$BE$158,98,0)</f>
        <v>0</v>
      </c>
    </row>
    <row r="105" spans="2:5" x14ac:dyDescent="0.25">
      <c r="C105">
        <v>431</v>
      </c>
      <c r="D105" t="s">
        <v>159</v>
      </c>
      <c r="E105" s="4">
        <f>HLOOKUP($D$5,'4.1 Comptes 2021 natures'!$E$3:$BE$158,99,0)</f>
        <v>0</v>
      </c>
    </row>
    <row r="106" spans="2:5" x14ac:dyDescent="0.25">
      <c r="C106">
        <v>432</v>
      </c>
      <c r="D106" t="s">
        <v>160</v>
      </c>
      <c r="E106" s="4">
        <f>HLOOKUP($D$5,'4.1 Comptes 2021 natures'!$E$3:$BE$158,100,0)</f>
        <v>0</v>
      </c>
    </row>
    <row r="107" spans="2:5" x14ac:dyDescent="0.25">
      <c r="C107">
        <v>439</v>
      </c>
      <c r="D107" t="s">
        <v>161</v>
      </c>
      <c r="E107" s="4">
        <f>HLOOKUP($D$5,'4.1 Comptes 2021 natures'!$E$3:$BE$158,101,0)</f>
        <v>0</v>
      </c>
    </row>
    <row r="108" spans="2:5" x14ac:dyDescent="0.25">
      <c r="E108" s="4"/>
    </row>
    <row r="109" spans="2:5" x14ac:dyDescent="0.25">
      <c r="B109" s="78">
        <v>44</v>
      </c>
      <c r="C109" s="78"/>
      <c r="D109" s="78" t="s">
        <v>162</v>
      </c>
      <c r="E109" s="73">
        <f>SUM(E110:E119)</f>
        <v>94108.489999999991</v>
      </c>
    </row>
    <row r="110" spans="2:5" x14ac:dyDescent="0.25">
      <c r="C110">
        <v>440</v>
      </c>
      <c r="D110" t="s">
        <v>163</v>
      </c>
      <c r="E110" s="4">
        <f>HLOOKUP($D$5,'4.1 Comptes 2021 natures'!$E$3:$BE$158,104,0)</f>
        <v>34166.39</v>
      </c>
    </row>
    <row r="111" spans="2:5" x14ac:dyDescent="0.25">
      <c r="C111">
        <v>441</v>
      </c>
      <c r="D111" t="s">
        <v>164</v>
      </c>
      <c r="E111" s="4">
        <f>HLOOKUP($D$5,'4.1 Comptes 2021 natures'!$E$3:$BE$158,105,0)</f>
        <v>0</v>
      </c>
    </row>
    <row r="112" spans="2:5" x14ac:dyDescent="0.25">
      <c r="C112">
        <v>442</v>
      </c>
      <c r="D112" t="s">
        <v>165</v>
      </c>
      <c r="E112" s="4">
        <f>HLOOKUP($D$5,'4.1 Comptes 2021 natures'!$E$3:$BE$158,106,0)</f>
        <v>20</v>
      </c>
    </row>
    <row r="113" spans="2:5" x14ac:dyDescent="0.25">
      <c r="C113">
        <v>443</v>
      </c>
      <c r="D113" t="s">
        <v>166</v>
      </c>
      <c r="E113" s="4">
        <f>HLOOKUP($D$5,'4.1 Comptes 2021 natures'!$E$3:$BE$158,107,0)</f>
        <v>43754.6</v>
      </c>
    </row>
    <row r="114" spans="2:5" x14ac:dyDescent="0.25">
      <c r="C114">
        <v>444</v>
      </c>
      <c r="D114" t="s">
        <v>106</v>
      </c>
      <c r="E114" s="4">
        <f>HLOOKUP($D$5,'4.1 Comptes 2021 natures'!$E$3:$BE$158,108,0)</f>
        <v>16167.5</v>
      </c>
    </row>
    <row r="115" spans="2:5" x14ac:dyDescent="0.25">
      <c r="C115">
        <v>445</v>
      </c>
      <c r="D115" t="s">
        <v>167</v>
      </c>
      <c r="E115" s="4">
        <f>HLOOKUP($D$5,'4.1 Comptes 2021 natures'!$E$3:$BE$158,109,0)</f>
        <v>0</v>
      </c>
    </row>
    <row r="116" spans="2:5" x14ac:dyDescent="0.25">
      <c r="C116">
        <v>446</v>
      </c>
      <c r="D116" t="s">
        <v>168</v>
      </c>
      <c r="E116" s="4">
        <f>HLOOKUP($D$5,'4.1 Comptes 2021 natures'!$E$3:$BE$158,110,0)</f>
        <v>0</v>
      </c>
    </row>
    <row r="117" spans="2:5" x14ac:dyDescent="0.25">
      <c r="C117">
        <v>447</v>
      </c>
      <c r="D117" t="s">
        <v>169</v>
      </c>
      <c r="E117" s="4">
        <f>HLOOKUP($D$5,'4.1 Comptes 2021 natures'!$E$3:$BE$158,111,0)</f>
        <v>0</v>
      </c>
    </row>
    <row r="118" spans="2:5" x14ac:dyDescent="0.25">
      <c r="C118">
        <v>448</v>
      </c>
      <c r="D118" t="s">
        <v>170</v>
      </c>
      <c r="E118" s="4">
        <f>HLOOKUP($D$5,'4.1 Comptes 2021 natures'!$E$3:$BE$158,112,0)</f>
        <v>0</v>
      </c>
    </row>
    <row r="119" spans="2:5" x14ac:dyDescent="0.25">
      <c r="C119">
        <v>449</v>
      </c>
      <c r="D119" t="s">
        <v>171</v>
      </c>
      <c r="E119" s="4">
        <f>HLOOKUP($D$5,'4.1 Comptes 2021 natures'!$E$3:$BE$158,113,0)</f>
        <v>0</v>
      </c>
    </row>
    <row r="120" spans="2:5" x14ac:dyDescent="0.25">
      <c r="E120" s="4"/>
    </row>
    <row r="121" spans="2:5" x14ac:dyDescent="0.25">
      <c r="B121" s="78">
        <v>45</v>
      </c>
      <c r="C121" s="78"/>
      <c r="D121" s="78" t="s">
        <v>174</v>
      </c>
      <c r="E121" s="73">
        <f>SUM(E122:E123)</f>
        <v>8868</v>
      </c>
    </row>
    <row r="122" spans="2:5" x14ac:dyDescent="0.25">
      <c r="C122">
        <v>450</v>
      </c>
      <c r="D122" t="s">
        <v>172</v>
      </c>
      <c r="E122" s="4">
        <f>HLOOKUP($D$5,'4.1 Comptes 2021 natures'!$E$3:$BE$158,116,0)</f>
        <v>0</v>
      </c>
    </row>
    <row r="123" spans="2:5" x14ac:dyDescent="0.25">
      <c r="C123">
        <v>451</v>
      </c>
      <c r="D123" t="s">
        <v>173</v>
      </c>
      <c r="E123" s="4">
        <f>HLOOKUP($D$5,'4.1 Comptes 2021 natures'!$E$3:$BE$158,117,0)</f>
        <v>8868</v>
      </c>
    </row>
    <row r="124" spans="2:5" x14ac:dyDescent="0.25">
      <c r="E124" s="4"/>
    </row>
    <row r="125" spans="2:5" x14ac:dyDescent="0.25">
      <c r="B125" s="78">
        <v>46</v>
      </c>
      <c r="C125" s="78"/>
      <c r="D125" s="78" t="s">
        <v>175</v>
      </c>
      <c r="E125" s="73">
        <f>SUM(E126:E130)</f>
        <v>544300.64999999991</v>
      </c>
    </row>
    <row r="126" spans="2:5" x14ac:dyDescent="0.25">
      <c r="C126">
        <v>460</v>
      </c>
      <c r="D126" t="s">
        <v>176</v>
      </c>
      <c r="E126" s="4">
        <f>HLOOKUP($D$5,'4.1 Comptes 2021 natures'!$E$3:$BE$158,120,0)</f>
        <v>0</v>
      </c>
    </row>
    <row r="127" spans="2:5" x14ac:dyDescent="0.25">
      <c r="C127">
        <v>461</v>
      </c>
      <c r="D127" t="s">
        <v>177</v>
      </c>
      <c r="E127" s="4">
        <f>HLOOKUP($D$5,'4.1 Comptes 2021 natures'!$E$3:$BE$158,121,0)</f>
        <v>161219.15</v>
      </c>
    </row>
    <row r="128" spans="2:5" x14ac:dyDescent="0.25">
      <c r="C128">
        <v>462</v>
      </c>
      <c r="D128" t="s">
        <v>113</v>
      </c>
      <c r="E128" s="4">
        <f>HLOOKUP($D$5,'4.1 Comptes 2021 natures'!$E$3:$BE$158,122,0)</f>
        <v>236080</v>
      </c>
    </row>
    <row r="129" spans="2:5" x14ac:dyDescent="0.25">
      <c r="C129">
        <v>463</v>
      </c>
      <c r="D129" t="s">
        <v>178</v>
      </c>
      <c r="E129" s="4">
        <f>HLOOKUP($D$5,'4.1 Comptes 2021 natures'!$E$3:$BE$158,123,0)</f>
        <v>140139.79999999999</v>
      </c>
    </row>
    <row r="130" spans="2:5" x14ac:dyDescent="0.25">
      <c r="C130">
        <v>469</v>
      </c>
      <c r="D130" t="s">
        <v>179</v>
      </c>
      <c r="E130" s="4">
        <f>HLOOKUP($D$5,'4.1 Comptes 2021 natures'!$E$3:$BE$158,124,0)</f>
        <v>6861.7</v>
      </c>
    </row>
    <row r="131" spans="2:5" x14ac:dyDescent="0.25">
      <c r="E131" s="4"/>
    </row>
    <row r="132" spans="2:5" x14ac:dyDescent="0.25">
      <c r="B132" s="78">
        <v>47</v>
      </c>
      <c r="C132" s="78"/>
      <c r="D132" s="78" t="s">
        <v>119</v>
      </c>
      <c r="E132" s="73">
        <f>SUM(E133)</f>
        <v>0</v>
      </c>
    </row>
    <row r="133" spans="2:5" x14ac:dyDescent="0.25">
      <c r="C133">
        <v>470</v>
      </c>
      <c r="D133" t="s">
        <v>180</v>
      </c>
      <c r="E133" s="4">
        <f>HLOOKUP($D$5,'4.1 Comptes 2021 natures'!$E$3:$BE$158,127,0)</f>
        <v>0</v>
      </c>
    </row>
    <row r="134" spans="2:5" x14ac:dyDescent="0.25">
      <c r="E134" s="4"/>
    </row>
    <row r="135" spans="2:5" x14ac:dyDescent="0.25">
      <c r="B135" s="78">
        <v>48</v>
      </c>
      <c r="C135" s="78"/>
      <c r="D135" s="78" t="s">
        <v>181</v>
      </c>
      <c r="E135" s="73">
        <f>SUM(E136:E142)</f>
        <v>0</v>
      </c>
    </row>
    <row r="136" spans="2:5" x14ac:dyDescent="0.25">
      <c r="C136">
        <v>481</v>
      </c>
      <c r="D136" t="s">
        <v>182</v>
      </c>
      <c r="E136" s="4">
        <f>HLOOKUP($D$5,'4.1 Comptes 2021 natures'!$E$3:$BE$158,130,0)</f>
        <v>0</v>
      </c>
    </row>
    <row r="137" spans="2:5" x14ac:dyDescent="0.25">
      <c r="C137">
        <v>482</v>
      </c>
      <c r="D137" t="s">
        <v>183</v>
      </c>
      <c r="E137" s="4">
        <f>HLOOKUP($D$5,'4.1 Comptes 2021 natures'!$E$3:$BE$158,131,0)</f>
        <v>0</v>
      </c>
    </row>
    <row r="138" spans="2:5" x14ac:dyDescent="0.25">
      <c r="C138">
        <v>483</v>
      </c>
      <c r="D138" t="s">
        <v>184</v>
      </c>
      <c r="E138" s="4">
        <f>HLOOKUP($D$5,'4.1 Comptes 2021 natures'!$E$3:$BE$158,132,0)</f>
        <v>0</v>
      </c>
    </row>
    <row r="139" spans="2:5" x14ac:dyDescent="0.25">
      <c r="C139">
        <v>484</v>
      </c>
      <c r="D139" t="s">
        <v>185</v>
      </c>
      <c r="E139" s="4">
        <f>HLOOKUP($D$5,'4.1 Comptes 2021 natures'!$E$3:$BE$158,133,0)</f>
        <v>0</v>
      </c>
    </row>
    <row r="140" spans="2:5" x14ac:dyDescent="0.25">
      <c r="C140">
        <v>485</v>
      </c>
      <c r="D140" t="s">
        <v>186</v>
      </c>
      <c r="E140" s="4">
        <f>HLOOKUP($D$5,'4.1 Comptes 2021 natures'!$E$3:$BE$158,134,0)</f>
        <v>0</v>
      </c>
    </row>
    <row r="141" spans="2:5" x14ac:dyDescent="0.25">
      <c r="C141">
        <v>486</v>
      </c>
      <c r="D141" t="s">
        <v>187</v>
      </c>
      <c r="E141" s="4">
        <f>HLOOKUP($D$5,'4.1 Comptes 2021 natures'!$E$3:$BE$158,135,0)</f>
        <v>0</v>
      </c>
    </row>
    <row r="142" spans="2:5" x14ac:dyDescent="0.25">
      <c r="C142">
        <v>489</v>
      </c>
      <c r="D142" t="s">
        <v>188</v>
      </c>
      <c r="E142" s="4">
        <f>HLOOKUP($D$5,'4.1 Comptes 2021 natures'!$E$3:$BE$158,136,0)</f>
        <v>0</v>
      </c>
    </row>
    <row r="143" spans="2:5" x14ac:dyDescent="0.25">
      <c r="E143" s="4"/>
    </row>
    <row r="144" spans="2:5" x14ac:dyDescent="0.25">
      <c r="B144" s="78">
        <v>49</v>
      </c>
      <c r="C144" s="78"/>
      <c r="D144" s="78" t="s">
        <v>128</v>
      </c>
      <c r="E144" s="73">
        <f>SUM(E145:E152)</f>
        <v>15500</v>
      </c>
    </row>
    <row r="145" spans="1:5" x14ac:dyDescent="0.25">
      <c r="C145">
        <v>490</v>
      </c>
      <c r="D145" t="s">
        <v>129</v>
      </c>
      <c r="E145" s="4">
        <f>HLOOKUP($D$5,'4.1 Comptes 2021 natures'!$E$3:$BE$158,139,0)</f>
        <v>0</v>
      </c>
    </row>
    <row r="146" spans="1:5" x14ac:dyDescent="0.25">
      <c r="C146">
        <v>491</v>
      </c>
      <c r="D146" t="s">
        <v>130</v>
      </c>
      <c r="E146" s="4">
        <f>HLOOKUP($D$5,'4.1 Comptes 2021 natures'!$E$3:$BE$158,140,0)</f>
        <v>15500</v>
      </c>
    </row>
    <row r="147" spans="1:5" x14ac:dyDescent="0.25">
      <c r="C147">
        <v>492</v>
      </c>
      <c r="D147" t="s">
        <v>189</v>
      </c>
      <c r="E147" s="4">
        <f>HLOOKUP($D$5,'4.1 Comptes 2021 natures'!$E$3:$BE$158,141,0)</f>
        <v>0</v>
      </c>
    </row>
    <row r="148" spans="1:5" x14ac:dyDescent="0.25">
      <c r="C148">
        <v>493</v>
      </c>
      <c r="D148" t="s">
        <v>190</v>
      </c>
      <c r="E148" s="4">
        <f>HLOOKUP($D$5,'4.1 Comptes 2021 natures'!$E$3:$BE$158,142,0)</f>
        <v>0</v>
      </c>
    </row>
    <row r="149" spans="1:5" x14ac:dyDescent="0.25">
      <c r="C149">
        <v>494</v>
      </c>
      <c r="D149" t="s">
        <v>133</v>
      </c>
      <c r="E149" s="4">
        <f>HLOOKUP($D$5,'4.1 Comptes 2021 natures'!$E$3:$BE$158,143,0)</f>
        <v>0</v>
      </c>
    </row>
    <row r="150" spans="1:5" x14ac:dyDescent="0.25">
      <c r="C150">
        <v>495</v>
      </c>
      <c r="D150" t="s">
        <v>191</v>
      </c>
      <c r="E150" s="4">
        <f>HLOOKUP($D$5,'4.1 Comptes 2021 natures'!$E$3:$BE$158,144,0)</f>
        <v>0</v>
      </c>
    </row>
    <row r="151" spans="1:5" x14ac:dyDescent="0.25">
      <c r="C151">
        <v>498</v>
      </c>
      <c r="D151" t="s">
        <v>192</v>
      </c>
      <c r="E151" s="4">
        <f>HLOOKUP($D$5,'4.1 Comptes 2021 natures'!$E$3:$BE$158,145,0)</f>
        <v>0</v>
      </c>
    </row>
    <row r="152" spans="1:5" x14ac:dyDescent="0.25">
      <c r="C152">
        <v>499</v>
      </c>
      <c r="D152" t="s">
        <v>136</v>
      </c>
      <c r="E152" s="4">
        <f>HLOOKUP($D$5,'4.1 Comptes 2021 natures'!$E$3:$BE$158,146,0)</f>
        <v>0</v>
      </c>
    </row>
    <row r="153" spans="1:5" x14ac:dyDescent="0.25">
      <c r="E153" s="4"/>
    </row>
    <row r="154" spans="1:5" x14ac:dyDescent="0.25">
      <c r="E154" s="4"/>
    </row>
    <row r="155" spans="1:5" x14ac:dyDescent="0.25">
      <c r="E155" s="4"/>
    </row>
    <row r="156" spans="1:5" x14ac:dyDescent="0.25">
      <c r="A156" s="88">
        <v>9</v>
      </c>
      <c r="B156" s="88"/>
      <c r="C156" s="88"/>
      <c r="D156" s="88" t="s">
        <v>194</v>
      </c>
      <c r="E156" s="89"/>
    </row>
    <row r="157" spans="1:5" x14ac:dyDescent="0.25">
      <c r="A157" s="88"/>
      <c r="B157" s="88">
        <v>90</v>
      </c>
      <c r="C157" s="88"/>
      <c r="D157" s="88" t="s">
        <v>195</v>
      </c>
      <c r="E157" s="90">
        <f>SUM(E158:E159)</f>
        <v>116013.61000000002</v>
      </c>
    </row>
    <row r="158" spans="1:5" x14ac:dyDescent="0.25">
      <c r="C158">
        <v>900</v>
      </c>
      <c r="D158" t="s">
        <v>196</v>
      </c>
      <c r="E158" s="4">
        <f>HLOOKUP($D$5,'4.1 Comptes 2021 natures'!$E$3:$BE$158,152,0)</f>
        <v>66157.88</v>
      </c>
    </row>
    <row r="159" spans="1:5" x14ac:dyDescent="0.25">
      <c r="C159">
        <v>901</v>
      </c>
      <c r="D159" t="s">
        <v>197</v>
      </c>
      <c r="E159" s="4">
        <f>HLOOKUP($D$5,'4.1 Comptes 2021 natures'!$E$3:$BE$158,153,0)</f>
        <v>49855.73</v>
      </c>
    </row>
    <row r="160" spans="1:5" x14ac:dyDescent="0.25">
      <c r="E160" s="4"/>
    </row>
    <row r="161" spans="4:5" x14ac:dyDescent="0.25">
      <c r="D161" s="7" t="s">
        <v>198</v>
      </c>
      <c r="E161" s="31">
        <f>HLOOKUP($D$5,'4.1 Comptes 2021 natures'!$E$3:$BE$158,155,0)</f>
        <v>116013.61000000002</v>
      </c>
    </row>
  </sheetData>
  <pageMargins left="0.7" right="0.7" top="0.75" bottom="0.75" header="0.3" footer="0.3"/>
  <pageSetup paperSize="9" scale="3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'4.1 Comptes 2021 natures'!$E$3:$BE$3</xm:f>
          </x14:formula1>
          <xm:sqref>D5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59999389629810485"/>
  </sheetPr>
  <dimension ref="A1:BI178"/>
  <sheetViews>
    <sheetView workbookViewId="0">
      <pane xSplit="4" ySplit="3" topLeftCell="Z4" activePane="bottomRight" state="frozen"/>
      <selection pane="topRight" activeCell="E1" sqref="E1"/>
      <selection pane="bottomLeft" activeCell="A4" sqref="A4"/>
      <selection pane="bottomRight" activeCell="H7" sqref="H7"/>
    </sheetView>
  </sheetViews>
  <sheetFormatPr baseColWidth="10" defaultColWidth="11.42578125" defaultRowHeight="15" x14ac:dyDescent="0.25"/>
  <cols>
    <col min="1" max="2" width="5.7109375" customWidth="1"/>
    <col min="3" max="3" width="9" customWidth="1"/>
    <col min="4" max="4" width="63.5703125" customWidth="1"/>
    <col min="5" max="58" width="16.28515625" customWidth="1"/>
    <col min="59" max="61" width="17.85546875" customWidth="1"/>
  </cols>
  <sheetData>
    <row r="1" spans="1:61" ht="26.25" x14ac:dyDescent="0.4">
      <c r="A1" s="32" t="s">
        <v>837</v>
      </c>
      <c r="B1" s="7"/>
      <c r="C1" s="7"/>
      <c r="D1" s="7"/>
    </row>
    <row r="2" spans="1:61" x14ac:dyDescent="0.25">
      <c r="E2" s="45">
        <f>'Base de données pop.'!C2</f>
        <v>947</v>
      </c>
      <c r="F2" s="45">
        <f>'Base de données pop.'!C3</f>
        <v>265</v>
      </c>
      <c r="G2" s="45">
        <f>'Base de données pop.'!C4</f>
        <v>469</v>
      </c>
      <c r="H2" s="45">
        <f>'Base de données pop.'!C5</f>
        <v>439</v>
      </c>
      <c r="I2" s="45">
        <f>'Base de données pop.'!C6</f>
        <v>3728</v>
      </c>
      <c r="J2" s="45">
        <f>'Base de données pop.'!C7</f>
        <v>3345</v>
      </c>
      <c r="K2" s="45">
        <f>'Base de données pop.'!C8</f>
        <v>2652</v>
      </c>
      <c r="L2" s="45">
        <f>'Base de données pop.'!C9</f>
        <v>12479</v>
      </c>
      <c r="M2" s="45">
        <f>'Base de données pop.'!C10</f>
        <v>1359</v>
      </c>
      <c r="N2" s="45">
        <f>'Base de données pop.'!C11</f>
        <v>117</v>
      </c>
      <c r="O2" s="45">
        <f>'Base de données pop.'!C12</f>
        <v>7261</v>
      </c>
      <c r="P2" s="45">
        <f>'Base de données pop.'!C13</f>
        <v>538</v>
      </c>
      <c r="Q2" s="45">
        <f>'Base de données pop.'!C14</f>
        <v>111</v>
      </c>
      <c r="R2" s="45">
        <f>'Base de données pop.'!C15</f>
        <v>421</v>
      </c>
      <c r="S2" s="45">
        <f>'Base de données pop.'!C16</f>
        <v>346</v>
      </c>
      <c r="T2" s="45">
        <f>'Base de données pop.'!C17</f>
        <v>710</v>
      </c>
      <c r="U2" s="45">
        <f>'Base de données pop.'!C18</f>
        <v>269</v>
      </c>
      <c r="V2" s="45">
        <f>'Base de données pop.'!C19</f>
        <v>440</v>
      </c>
      <c r="W2" s="45">
        <f>'Base de données pop.'!C20</f>
        <v>3229</v>
      </c>
      <c r="X2" s="45">
        <f>'Base de données pop.'!C21</f>
        <v>310</v>
      </c>
      <c r="Y2" s="45">
        <f>'Base de données pop.'!C22</f>
        <v>1270</v>
      </c>
      <c r="Z2" s="45">
        <f>'Base de données pop.'!C23</f>
        <v>1506</v>
      </c>
      <c r="AA2" s="45">
        <f>'Base de données pop.'!C24</f>
        <v>96</v>
      </c>
      <c r="AB2" s="45">
        <f>'Base de données pop.'!C25</f>
        <v>148</v>
      </c>
      <c r="AC2" s="45">
        <f>'Base de données pop.'!C26</f>
        <v>518</v>
      </c>
      <c r="AD2" s="45">
        <f>'Base de données pop.'!C27</f>
        <v>701</v>
      </c>
      <c r="AE2" s="45">
        <f>'Base de données pop.'!C28</f>
        <v>564</v>
      </c>
      <c r="AF2" s="45">
        <f>'Base de données pop.'!C29</f>
        <v>525</v>
      </c>
      <c r="AG2" s="45">
        <f>'Base de données pop.'!C30</f>
        <v>1909</v>
      </c>
      <c r="AH2" s="45">
        <f>'Base de données pop.'!C31</f>
        <v>2580</v>
      </c>
      <c r="AI2" s="45">
        <f>'Base de données pop.'!C32</f>
        <v>222</v>
      </c>
      <c r="AJ2" s="45">
        <f>'Base de données pop.'!C33</f>
        <v>129</v>
      </c>
      <c r="AK2" s="45">
        <f>'Base de données pop.'!C34</f>
        <v>1891</v>
      </c>
      <c r="AL2" s="45">
        <f>'Base de données pop.'!C35</f>
        <v>1126</v>
      </c>
      <c r="AM2" s="45">
        <f>'Base de données pop.'!C36</f>
        <v>1225</v>
      </c>
      <c r="AN2" s="45">
        <f>'Base de données pop.'!C37</f>
        <v>117</v>
      </c>
      <c r="AO2" s="45">
        <f>'Base de données pop.'!C38</f>
        <v>1185</v>
      </c>
      <c r="AP2" s="45">
        <f>'Base de données pop.'!C39</f>
        <v>642</v>
      </c>
      <c r="AQ2" s="45">
        <f>'Base de données pop.'!C40</f>
        <v>633</v>
      </c>
      <c r="AR2" s="45">
        <f>'Base de données pop.'!C41</f>
        <v>1284</v>
      </c>
      <c r="AS2" s="45">
        <f>'Base de données pop.'!C42</f>
        <v>731</v>
      </c>
      <c r="AT2" s="45">
        <f>'Base de données pop.'!C43</f>
        <v>1016</v>
      </c>
      <c r="AU2" s="45">
        <f>'Base de données pop.'!C44</f>
        <v>304</v>
      </c>
      <c r="AV2" s="45">
        <f>'Base de données pop.'!C45</f>
        <v>2412</v>
      </c>
      <c r="AW2" s="45">
        <f>'Base de données pop.'!C46</f>
        <v>735</v>
      </c>
      <c r="AX2" s="45">
        <f>'Base de données pop.'!C47</f>
        <v>185</v>
      </c>
      <c r="AY2" s="45">
        <f>'Base de données pop.'!C48</f>
        <v>340</v>
      </c>
      <c r="AZ2" s="45">
        <f>'Base de données pop.'!C49</f>
        <v>1697</v>
      </c>
      <c r="BA2" s="45">
        <f>'Base de données pop.'!C50</f>
        <v>390</v>
      </c>
      <c r="BB2" s="45">
        <f>'Base de données pop.'!C51</f>
        <v>1073</v>
      </c>
      <c r="BC2" s="45">
        <f>'Base de données pop.'!C52</f>
        <v>184</v>
      </c>
      <c r="BD2" s="45">
        <f>'Base de données pop.'!C53</f>
        <v>6466</v>
      </c>
      <c r="BE2" s="45">
        <f>'Base de données pop.'!C54</f>
        <v>559</v>
      </c>
      <c r="BF2" s="45">
        <f>SUM(E2:BE2)</f>
        <v>73798</v>
      </c>
      <c r="BG2" s="45">
        <f>SUM(E2:W2)</f>
        <v>39125</v>
      </c>
      <c r="BH2" s="45">
        <f>SUM(X2:AJ2)</f>
        <v>10478</v>
      </c>
      <c r="BI2" s="45">
        <f>SUM(AK2:BE2)</f>
        <v>24195</v>
      </c>
    </row>
    <row r="3" spans="1:61" x14ac:dyDescent="0.25">
      <c r="E3" s="33" t="s">
        <v>56</v>
      </c>
      <c r="F3" s="33" t="s">
        <v>18</v>
      </c>
      <c r="G3" s="33" t="s">
        <v>57</v>
      </c>
      <c r="H3" s="33" t="s">
        <v>53</v>
      </c>
      <c r="I3" s="33" t="s">
        <v>33</v>
      </c>
      <c r="J3" s="33" t="s">
        <v>10</v>
      </c>
      <c r="K3" s="33" t="s">
        <v>15</v>
      </c>
      <c r="L3" s="33" t="s">
        <v>28</v>
      </c>
      <c r="M3" s="33" t="s">
        <v>42</v>
      </c>
      <c r="N3" s="33" t="s">
        <v>23</v>
      </c>
      <c r="O3" s="33" t="s">
        <v>22</v>
      </c>
      <c r="P3" s="33" t="s">
        <v>13</v>
      </c>
      <c r="Q3" s="33" t="s">
        <v>17</v>
      </c>
      <c r="R3" s="33" t="s">
        <v>43</v>
      </c>
      <c r="S3" s="33" t="s">
        <v>40</v>
      </c>
      <c r="T3" s="33" t="s">
        <v>31</v>
      </c>
      <c r="U3" s="33" t="s">
        <v>12</v>
      </c>
      <c r="V3" s="33" t="s">
        <v>59</v>
      </c>
      <c r="W3" s="33" t="s">
        <v>27</v>
      </c>
      <c r="X3" s="34" t="s">
        <v>30</v>
      </c>
      <c r="Y3" s="34" t="s">
        <v>20</v>
      </c>
      <c r="Z3" s="34" t="s">
        <v>45</v>
      </c>
      <c r="AA3" s="34" t="s">
        <v>71</v>
      </c>
      <c r="AB3" s="34" t="s">
        <v>39</v>
      </c>
      <c r="AC3" s="34" t="s">
        <v>19</v>
      </c>
      <c r="AD3" s="34" t="s">
        <v>41</v>
      </c>
      <c r="AE3" s="34" t="s">
        <v>36</v>
      </c>
      <c r="AF3" s="34" t="s">
        <v>7</v>
      </c>
      <c r="AG3" s="34" t="s">
        <v>55</v>
      </c>
      <c r="AH3" s="34" t="s">
        <v>21</v>
      </c>
      <c r="AI3" s="34" t="s">
        <v>6</v>
      </c>
      <c r="AJ3" s="34" t="s">
        <v>34</v>
      </c>
      <c r="AK3" s="35" t="s">
        <v>52</v>
      </c>
      <c r="AL3" s="35" t="s">
        <v>14</v>
      </c>
      <c r="AM3" s="35" t="s">
        <v>32</v>
      </c>
      <c r="AN3" s="35" t="s">
        <v>29</v>
      </c>
      <c r="AO3" s="35" t="s">
        <v>26</v>
      </c>
      <c r="AP3" s="35" t="s">
        <v>48</v>
      </c>
      <c r="AQ3" s="35" t="s">
        <v>44</v>
      </c>
      <c r="AR3" s="35" t="s">
        <v>37</v>
      </c>
      <c r="AS3" s="35" t="s">
        <v>51</v>
      </c>
      <c r="AT3" s="35" t="s">
        <v>8</v>
      </c>
      <c r="AU3" s="35" t="s">
        <v>24</v>
      </c>
      <c r="AV3" s="35" t="s">
        <v>9</v>
      </c>
      <c r="AW3" s="35" t="s">
        <v>62</v>
      </c>
      <c r="AX3" s="35" t="s">
        <v>46</v>
      </c>
      <c r="AY3" s="35" t="s">
        <v>35</v>
      </c>
      <c r="AZ3" s="35" t="s">
        <v>49</v>
      </c>
      <c r="BA3" s="35" t="s">
        <v>47</v>
      </c>
      <c r="BB3" s="35" t="s">
        <v>58</v>
      </c>
      <c r="BC3" s="35" t="s">
        <v>50</v>
      </c>
      <c r="BD3" s="35" t="s">
        <v>16</v>
      </c>
      <c r="BE3" s="35" t="s">
        <v>25</v>
      </c>
      <c r="BF3" s="36" t="s">
        <v>65</v>
      </c>
      <c r="BG3" s="37" t="s">
        <v>28</v>
      </c>
      <c r="BH3" s="34" t="s">
        <v>64</v>
      </c>
      <c r="BI3" s="35" t="s">
        <v>16</v>
      </c>
    </row>
    <row r="4" spans="1:61" ht="21" x14ac:dyDescent="0.35">
      <c r="A4" s="74">
        <v>3</v>
      </c>
      <c r="B4" s="74"/>
      <c r="C4" s="74"/>
      <c r="D4" s="74" t="s">
        <v>60</v>
      </c>
      <c r="E4" s="75">
        <f>E5+E15+E27+E31+E39+E43+E53+E56+E64</f>
        <v>3746.4921436114041</v>
      </c>
      <c r="F4" s="75">
        <f t="shared" ref="F4:BI4" si="0">F5+F15+F27+F31+F39+F43+F53+F56+F64</f>
        <v>4166.8776981132069</v>
      </c>
      <c r="G4" s="75">
        <f t="shared" si="0"/>
        <v>3490.4023240938172</v>
      </c>
      <c r="H4" s="75">
        <f t="shared" si="0"/>
        <v>4263.0596583143515</v>
      </c>
      <c r="I4" s="75">
        <f t="shared" si="0"/>
        <v>4121.4118589055797</v>
      </c>
      <c r="J4" s="75">
        <f t="shared" si="0"/>
        <v>3938.0932376681612</v>
      </c>
      <c r="K4" s="75">
        <f t="shared" si="0"/>
        <v>3777.0799170437408</v>
      </c>
      <c r="L4" s="75">
        <f t="shared" si="0"/>
        <v>8077.6147640035251</v>
      </c>
      <c r="M4" s="75">
        <f t="shared" si="0"/>
        <v>5504.9976674025029</v>
      </c>
      <c r="N4" s="75">
        <f t="shared" si="0"/>
        <v>4581.373076923077</v>
      </c>
      <c r="O4" s="75">
        <f t="shared" si="0"/>
        <v>3666.7585525409722</v>
      </c>
      <c r="P4" s="75">
        <f t="shared" si="0"/>
        <v>3328.982063197026</v>
      </c>
      <c r="Q4" s="75">
        <f t="shared" si="0"/>
        <v>3833.6426126126125</v>
      </c>
      <c r="R4" s="75">
        <f t="shared" si="0"/>
        <v>3570.9294061757723</v>
      </c>
      <c r="S4" s="75">
        <f t="shared" si="0"/>
        <v>3841.7641907514453</v>
      </c>
      <c r="T4" s="75">
        <f t="shared" si="0"/>
        <v>3499.5452816901411</v>
      </c>
      <c r="U4" s="75">
        <f t="shared" si="0"/>
        <v>3557.2564312267659</v>
      </c>
      <c r="V4" s="75">
        <f t="shared" si="0"/>
        <v>5748.585954545455</v>
      </c>
      <c r="W4" s="75">
        <f t="shared" si="0"/>
        <v>3821.432198823165</v>
      </c>
      <c r="X4" s="75">
        <f t="shared" si="0"/>
        <v>5812.923741935484</v>
      </c>
      <c r="Y4" s="75">
        <f t="shared" si="0"/>
        <v>4529.4880314960628</v>
      </c>
      <c r="Z4" s="75">
        <f t="shared" si="0"/>
        <v>6915.3420185922969</v>
      </c>
      <c r="AA4" s="75">
        <f t="shared" si="0"/>
        <v>6697.8907291666665</v>
      </c>
      <c r="AB4" s="75">
        <f t="shared" si="0"/>
        <v>5964.4033108108115</v>
      </c>
      <c r="AC4" s="75">
        <f t="shared" si="0"/>
        <v>5578.0337837837833</v>
      </c>
      <c r="AD4" s="75">
        <f t="shared" si="0"/>
        <v>4858.4034379457917</v>
      </c>
      <c r="AE4" s="75">
        <f t="shared" si="0"/>
        <v>5368.659237588653</v>
      </c>
      <c r="AF4" s="75">
        <f t="shared" si="0"/>
        <v>6457.8775428571435</v>
      </c>
      <c r="AG4" s="75">
        <f t="shared" si="0"/>
        <v>4847.0214405447869</v>
      </c>
      <c r="AH4" s="75">
        <f t="shared" si="0"/>
        <v>4585.5338062015499</v>
      </c>
      <c r="AI4" s="75">
        <f t="shared" si="0"/>
        <v>5098.1836936936943</v>
      </c>
      <c r="AJ4" s="75">
        <f t="shared" si="0"/>
        <v>5198.4916279069766</v>
      </c>
      <c r="AK4" s="75">
        <f t="shared" si="0"/>
        <v>4295.1071020624004</v>
      </c>
      <c r="AL4" s="75">
        <f t="shared" si="0"/>
        <v>5003.1597513321494</v>
      </c>
      <c r="AM4" s="75">
        <f t="shared" si="0"/>
        <v>4334.1338040816327</v>
      </c>
      <c r="AN4" s="75">
        <f t="shared" si="0"/>
        <v>5168.9658974358981</v>
      </c>
      <c r="AO4" s="75">
        <f t="shared" si="0"/>
        <v>7759.0930126582271</v>
      </c>
      <c r="AP4" s="75">
        <f t="shared" si="0"/>
        <v>5732.9828504672896</v>
      </c>
      <c r="AQ4" s="75">
        <f t="shared" si="0"/>
        <v>3615.7136966824642</v>
      </c>
      <c r="AR4" s="75">
        <f t="shared" si="0"/>
        <v>5095.5303971962621</v>
      </c>
      <c r="AS4" s="75">
        <f t="shared" si="0"/>
        <v>4861.7282352941183</v>
      </c>
      <c r="AT4" s="75">
        <f t="shared" si="0"/>
        <v>4383.7423523622056</v>
      </c>
      <c r="AU4" s="75">
        <f t="shared" si="0"/>
        <v>4614.3661513157886</v>
      </c>
      <c r="AV4" s="75">
        <f t="shared" si="0"/>
        <v>4093.1982048092873</v>
      </c>
      <c r="AW4" s="75">
        <f t="shared" si="0"/>
        <v>4407.1175102040816</v>
      </c>
      <c r="AX4" s="75">
        <f t="shared" si="0"/>
        <v>3808.3936216216221</v>
      </c>
      <c r="AY4" s="75">
        <f t="shared" si="0"/>
        <v>4116.1800588235301</v>
      </c>
      <c r="AZ4" s="75">
        <f t="shared" si="0"/>
        <v>4270.9520742486748</v>
      </c>
      <c r="BA4" s="75">
        <f t="shared" si="0"/>
        <v>4136.1047435897435</v>
      </c>
      <c r="BB4" s="75">
        <f t="shared" si="0"/>
        <v>5336.8654613233921</v>
      </c>
      <c r="BC4" s="75">
        <f t="shared" si="0"/>
        <v>3774.3536413043466</v>
      </c>
      <c r="BD4" s="75">
        <f t="shared" si="0"/>
        <v>6111.5815357253323</v>
      </c>
      <c r="BE4" s="75">
        <f t="shared" si="0"/>
        <v>4330.1442039355989</v>
      </c>
      <c r="BF4" s="75">
        <f t="shared" si="0"/>
        <v>251697.96574664049</v>
      </c>
      <c r="BG4" s="75">
        <f t="shared" si="0"/>
        <v>80536.299037642733</v>
      </c>
      <c r="BH4" s="75">
        <f t="shared" si="0"/>
        <v>71912.252402523693</v>
      </c>
      <c r="BI4" s="75">
        <f t="shared" si="0"/>
        <v>99249.414306474035</v>
      </c>
    </row>
    <row r="5" spans="1:61" x14ac:dyDescent="0.25">
      <c r="A5" s="7"/>
      <c r="B5" s="76">
        <v>30</v>
      </c>
      <c r="C5" s="76"/>
      <c r="D5" s="76" t="s">
        <v>61</v>
      </c>
      <c r="E5" s="77">
        <f>E6+E7+E8+E9+E10+E11+E12+E13</f>
        <v>475.91372756071809</v>
      </c>
      <c r="F5" s="77">
        <f t="shared" ref="F5:BI5" si="1">F6+F7+F8+F9+F10+F11+F12+F13</f>
        <v>203.35622641509434</v>
      </c>
      <c r="G5" s="77">
        <f t="shared" si="1"/>
        <v>282.2880597014925</v>
      </c>
      <c r="H5" s="77">
        <f t="shared" si="1"/>
        <v>588.58861047836001</v>
      </c>
      <c r="I5" s="77">
        <f t="shared" si="1"/>
        <v>712.80163626609431</v>
      </c>
      <c r="J5" s="77">
        <f t="shared" si="1"/>
        <v>911.09771001494767</v>
      </c>
      <c r="K5" s="77">
        <f t="shared" si="1"/>
        <v>406.98938536953244</v>
      </c>
      <c r="L5" s="77">
        <f t="shared" si="1"/>
        <v>1936.1629465502044</v>
      </c>
      <c r="M5" s="77">
        <f t="shared" si="1"/>
        <v>929.68083149374547</v>
      </c>
      <c r="N5" s="77">
        <f t="shared" si="1"/>
        <v>464.38205128205129</v>
      </c>
      <c r="O5" s="77">
        <f t="shared" si="1"/>
        <v>516.56457099573061</v>
      </c>
      <c r="P5" s="77">
        <f t="shared" si="1"/>
        <v>319.45566914498136</v>
      </c>
      <c r="Q5" s="77">
        <f t="shared" si="1"/>
        <v>623.79729729729729</v>
      </c>
      <c r="R5" s="77">
        <f t="shared" si="1"/>
        <v>559.34809976247027</v>
      </c>
      <c r="S5" s="77">
        <f t="shared" si="1"/>
        <v>422.29592485549136</v>
      </c>
      <c r="T5" s="77">
        <f t="shared" si="1"/>
        <v>363.36605633802816</v>
      </c>
      <c r="U5" s="77">
        <f t="shared" si="1"/>
        <v>445.73382899628251</v>
      </c>
      <c r="V5" s="77">
        <f t="shared" si="1"/>
        <v>800.43965909090912</v>
      </c>
      <c r="W5" s="77">
        <f t="shared" si="1"/>
        <v>711.4746670795912</v>
      </c>
      <c r="X5" s="77">
        <f t="shared" si="1"/>
        <v>296.76338709677424</v>
      </c>
      <c r="Y5" s="77">
        <f t="shared" si="1"/>
        <v>1034.951377952756</v>
      </c>
      <c r="Z5" s="77">
        <f t="shared" si="1"/>
        <v>1131.9647343957504</v>
      </c>
      <c r="AA5" s="77">
        <f t="shared" si="1"/>
        <v>850.31562499999995</v>
      </c>
      <c r="AB5" s="77">
        <f t="shared" si="1"/>
        <v>457.18513513513511</v>
      </c>
      <c r="AC5" s="77">
        <f t="shared" si="1"/>
        <v>734.96708494208497</v>
      </c>
      <c r="AD5" s="77">
        <f t="shared" si="1"/>
        <v>823.9417974322397</v>
      </c>
      <c r="AE5" s="77">
        <f t="shared" si="1"/>
        <v>597.94397163120561</v>
      </c>
      <c r="AF5" s="77">
        <f t="shared" si="1"/>
        <v>609.74038095238097</v>
      </c>
      <c r="AG5" s="77">
        <f t="shared" si="1"/>
        <v>521.7941068622315</v>
      </c>
      <c r="AH5" s="77">
        <f t="shared" si="1"/>
        <v>692.40682170542641</v>
      </c>
      <c r="AI5" s="77">
        <f t="shared" si="1"/>
        <v>510.64864864864865</v>
      </c>
      <c r="AJ5" s="77">
        <f t="shared" si="1"/>
        <v>499.99689922480616</v>
      </c>
      <c r="AK5" s="77">
        <f t="shared" si="1"/>
        <v>403.54591750396611</v>
      </c>
      <c r="AL5" s="77">
        <f t="shared" si="1"/>
        <v>584.07300177619902</v>
      </c>
      <c r="AM5" s="77">
        <f t="shared" si="1"/>
        <v>398.37420408163263</v>
      </c>
      <c r="AN5" s="77">
        <f t="shared" si="1"/>
        <v>600.08829059829054</v>
      </c>
      <c r="AO5" s="77">
        <f t="shared" si="1"/>
        <v>1153.3906751054853</v>
      </c>
      <c r="AP5" s="77">
        <f t="shared" si="1"/>
        <v>1218.9306074766355</v>
      </c>
      <c r="AQ5" s="77">
        <f t="shared" si="1"/>
        <v>340.90371248025281</v>
      </c>
      <c r="AR5" s="77">
        <f t="shared" si="1"/>
        <v>923.2601246105919</v>
      </c>
      <c r="AS5" s="77">
        <f t="shared" si="1"/>
        <v>558.55266757865934</v>
      </c>
      <c r="AT5" s="77">
        <f t="shared" si="1"/>
        <v>470.79315944881893</v>
      </c>
      <c r="AU5" s="77">
        <f t="shared" si="1"/>
        <v>368.76743421052635</v>
      </c>
      <c r="AV5" s="77">
        <f t="shared" si="1"/>
        <v>418.69015339966836</v>
      </c>
      <c r="AW5" s="77">
        <f t="shared" si="1"/>
        <v>620.206544217687</v>
      </c>
      <c r="AX5" s="77">
        <f t="shared" si="1"/>
        <v>485.34810810810808</v>
      </c>
      <c r="AY5" s="77">
        <f t="shared" si="1"/>
        <v>428.98205882352943</v>
      </c>
      <c r="AZ5" s="77">
        <f t="shared" si="1"/>
        <v>506.22454331172662</v>
      </c>
      <c r="BA5" s="77">
        <f t="shared" si="1"/>
        <v>343.88517948717941</v>
      </c>
      <c r="BB5" s="77">
        <f t="shared" si="1"/>
        <v>1208.1999534016775</v>
      </c>
      <c r="BC5" s="77">
        <f t="shared" si="1"/>
        <v>398.40152173913043</v>
      </c>
      <c r="BD5" s="77">
        <f t="shared" si="1"/>
        <v>1640.1569486545006</v>
      </c>
      <c r="BE5" s="77">
        <f t="shared" si="1"/>
        <v>563.33121645796064</v>
      </c>
      <c r="BF5" s="77">
        <f t="shared" si="1"/>
        <v>34070.462952144684</v>
      </c>
      <c r="BG5" s="77">
        <f t="shared" si="1"/>
        <v>11673.736958693024</v>
      </c>
      <c r="BH5" s="77">
        <f t="shared" si="1"/>
        <v>8762.6199709794419</v>
      </c>
      <c r="BI5" s="77">
        <f t="shared" si="1"/>
        <v>13634.106022472228</v>
      </c>
    </row>
    <row r="6" spans="1:61" x14ac:dyDescent="0.25">
      <c r="C6">
        <v>300</v>
      </c>
      <c r="D6" t="s">
        <v>80</v>
      </c>
      <c r="E6" s="4">
        <f>'4.1 Comptes 2021 natures'!E6/'4.1 Comptes 2021 natures'!E2</f>
        <v>42.832101372756071</v>
      </c>
      <c r="F6" s="4">
        <f>'4.1 Comptes 2021 natures'!F6/'4.1 Comptes 2021 natures'!F2</f>
        <v>79.266981132075472</v>
      </c>
      <c r="G6" s="4">
        <f>'4.1 Comptes 2021 natures'!G6/'4.1 Comptes 2021 natures'!G2</f>
        <v>63.103624733475478</v>
      </c>
      <c r="H6" s="4">
        <f>'4.1 Comptes 2021 natures'!H6/'4.1 Comptes 2021 natures'!H2</f>
        <v>90.851594533029612</v>
      </c>
      <c r="I6" s="4">
        <f>'4.1 Comptes 2021 natures'!I6/'4.1 Comptes 2021 natures'!I2</f>
        <v>46.402896995708154</v>
      </c>
      <c r="J6" s="4">
        <f>'4.1 Comptes 2021 natures'!J6/'4.1 Comptes 2021 natures'!J2</f>
        <v>42.730493273542599</v>
      </c>
      <c r="K6" s="4">
        <f>'4.1 Comptes 2021 natures'!K6/'4.1 Comptes 2021 natures'!K2</f>
        <v>44.102111613876318</v>
      </c>
      <c r="L6" s="4">
        <f>'4.1 Comptes 2021 natures'!L6/'4.1 Comptes 2021 natures'!L2</f>
        <v>60.264744771215639</v>
      </c>
      <c r="M6" s="4">
        <f>'4.1 Comptes 2021 natures'!M6/'4.1 Comptes 2021 natures'!M2</f>
        <v>52.549300956585725</v>
      </c>
      <c r="N6" s="4">
        <f>'4.1 Comptes 2021 natures'!N6/'4.1 Comptes 2021 natures'!N2</f>
        <v>156.59658119658118</v>
      </c>
      <c r="O6" s="4">
        <f>'4.1 Comptes 2021 natures'!O6/'4.1 Comptes 2021 natures'!O2</f>
        <v>37.580780884175731</v>
      </c>
      <c r="P6" s="4">
        <f>'4.1 Comptes 2021 natures'!P6/'4.1 Comptes 2021 natures'!P2</f>
        <v>84.505576208178439</v>
      </c>
      <c r="Q6" s="4">
        <f>'4.1 Comptes 2021 natures'!Q6/'4.1 Comptes 2021 natures'!Q2</f>
        <v>129.86486486486487</v>
      </c>
      <c r="R6" s="4">
        <f>'4.1 Comptes 2021 natures'!R6/'4.1 Comptes 2021 natures'!R2</f>
        <v>46.257719714964374</v>
      </c>
      <c r="S6" s="4">
        <f>'4.1 Comptes 2021 natures'!S6/'4.1 Comptes 2021 natures'!S2</f>
        <v>68.25679190751444</v>
      </c>
      <c r="T6" s="4">
        <f>'4.1 Comptes 2021 natures'!T6/'4.1 Comptes 2021 natures'!T2</f>
        <v>86.215704225352113</v>
      </c>
      <c r="U6" s="4">
        <f>'4.1 Comptes 2021 natures'!U6/'4.1 Comptes 2021 natures'!U2</f>
        <v>54.868587360594795</v>
      </c>
      <c r="V6" s="4">
        <f>'4.1 Comptes 2021 natures'!V6/'4.1 Comptes 2021 natures'!V2</f>
        <v>139.51272727272726</v>
      </c>
      <c r="W6" s="4">
        <f>'4.1 Comptes 2021 natures'!W6/'4.1 Comptes 2021 natures'!W2</f>
        <v>33.953964075565189</v>
      </c>
      <c r="X6" s="4">
        <f>'4.1 Comptes 2021 natures'!X6/'4.1 Comptes 2021 natures'!X2</f>
        <v>102.57306451612904</v>
      </c>
      <c r="Y6" s="4">
        <f>'4.1 Comptes 2021 natures'!Y6/'4.1 Comptes 2021 natures'!Y2</f>
        <v>48.315078740157482</v>
      </c>
      <c r="Z6" s="4">
        <f>'4.1 Comptes 2021 natures'!Z6/'4.1 Comptes 2021 natures'!Z2</f>
        <v>33.482768924302789</v>
      </c>
      <c r="AA6" s="4">
        <f>'4.1 Comptes 2021 natures'!AA6/'4.1 Comptes 2021 natures'!AA2</f>
        <v>54.786458333333336</v>
      </c>
      <c r="AB6" s="4">
        <f>'4.1 Comptes 2021 natures'!AB6/'4.1 Comptes 2021 natures'!AB2</f>
        <v>79.163851351351354</v>
      </c>
      <c r="AC6" s="4">
        <f>'4.1 Comptes 2021 natures'!AC6/'4.1 Comptes 2021 natures'!AC2</f>
        <v>51.065154440154437</v>
      </c>
      <c r="AD6" s="4">
        <f>'4.1 Comptes 2021 natures'!AD6/'4.1 Comptes 2021 natures'!AD2</f>
        <v>42.306490727532093</v>
      </c>
      <c r="AE6" s="4">
        <f>'4.1 Comptes 2021 natures'!AE6/'4.1 Comptes 2021 natures'!AE2</f>
        <v>64.031471631205676</v>
      </c>
      <c r="AF6" s="4">
        <f>'4.1 Comptes 2021 natures'!AF6/'4.1 Comptes 2021 natures'!AF2</f>
        <v>50.940666666666665</v>
      </c>
      <c r="AG6" s="4">
        <f>'4.1 Comptes 2021 natures'!AG6/'4.1 Comptes 2021 natures'!AG2</f>
        <v>45.468831849135675</v>
      </c>
      <c r="AH6" s="4">
        <f>'4.1 Comptes 2021 natures'!AH6/'4.1 Comptes 2021 natures'!AH2</f>
        <v>23.558875968992247</v>
      </c>
      <c r="AI6" s="4">
        <f>'4.1 Comptes 2021 natures'!AI6/'4.1 Comptes 2021 natures'!AI2</f>
        <v>104.67387387387387</v>
      </c>
      <c r="AJ6" s="4">
        <f>'4.1 Comptes 2021 natures'!AJ6/'4.1 Comptes 2021 natures'!AJ2</f>
        <v>98.911627906976747</v>
      </c>
      <c r="AK6" s="4">
        <f>'4.1 Comptes 2021 natures'!AK6/'4.1 Comptes 2021 natures'!AK2</f>
        <v>72.161607615018511</v>
      </c>
      <c r="AL6" s="4">
        <f>'4.1 Comptes 2021 natures'!AL6/'4.1 Comptes 2021 natures'!AL2</f>
        <v>47.025754884547069</v>
      </c>
      <c r="AM6" s="4">
        <f>'4.1 Comptes 2021 natures'!AM6/'4.1 Comptes 2021 natures'!AM2</f>
        <v>36.778897959183674</v>
      </c>
      <c r="AN6" s="4">
        <f>'4.1 Comptes 2021 natures'!AN6/'4.1 Comptes 2021 natures'!AN2</f>
        <v>162.27606837606837</v>
      </c>
      <c r="AO6" s="4">
        <f>'4.1 Comptes 2021 natures'!AO6/'4.1 Comptes 2021 natures'!AO2</f>
        <v>76.749029535864977</v>
      </c>
      <c r="AP6" s="4">
        <f>'4.1 Comptes 2021 natures'!AP6/'4.1 Comptes 2021 natures'!AP2</f>
        <v>44.506308411214953</v>
      </c>
      <c r="AQ6" s="4">
        <f>'4.1 Comptes 2021 natures'!AQ6/'4.1 Comptes 2021 natures'!AQ2</f>
        <v>65.348736176935233</v>
      </c>
      <c r="AR6" s="4">
        <f>'4.1 Comptes 2021 natures'!AR6/'4.1 Comptes 2021 natures'!AR2</f>
        <v>68.608839563862929</v>
      </c>
      <c r="AS6" s="4">
        <f>'4.1 Comptes 2021 natures'!AS6/'4.1 Comptes 2021 natures'!AS2</f>
        <v>44.633926128590971</v>
      </c>
      <c r="AT6" s="4">
        <f>'4.1 Comptes 2021 natures'!AT6/'4.1 Comptes 2021 natures'!AT2</f>
        <v>39.549704724409452</v>
      </c>
      <c r="AU6" s="4">
        <f>'4.1 Comptes 2021 natures'!AU6/'4.1 Comptes 2021 natures'!AU2</f>
        <v>38.55263157894737</v>
      </c>
      <c r="AV6" s="4">
        <f>'4.1 Comptes 2021 natures'!AV6/'4.1 Comptes 2021 natures'!AV2</f>
        <v>23.623030679933667</v>
      </c>
      <c r="AW6" s="4">
        <f>'4.1 Comptes 2021 natures'!AW6/'4.1 Comptes 2021 natures'!AW2</f>
        <v>64.574829931972786</v>
      </c>
      <c r="AX6" s="4">
        <f>'4.1 Comptes 2021 natures'!AX6/'4.1 Comptes 2021 natures'!AX2</f>
        <v>65.335405405405396</v>
      </c>
      <c r="AY6" s="4">
        <f>'4.1 Comptes 2021 natures'!AY6/'4.1 Comptes 2021 natures'!AY2</f>
        <v>39.261470588235291</v>
      </c>
      <c r="AZ6" s="4">
        <f>'4.1 Comptes 2021 natures'!AZ6/'4.1 Comptes 2021 natures'!AZ2</f>
        <v>32.52209781968179</v>
      </c>
      <c r="BA6" s="4">
        <f>'4.1 Comptes 2021 natures'!BA6/'4.1 Comptes 2021 natures'!BA2</f>
        <v>50.878205128205131</v>
      </c>
      <c r="BB6" s="4">
        <f>'4.1 Comptes 2021 natures'!BB6/'4.1 Comptes 2021 natures'!BB2</f>
        <v>52.044920782851811</v>
      </c>
      <c r="BC6" s="4">
        <f>'4.1 Comptes 2021 natures'!BC6/'4.1 Comptes 2021 natures'!BC2</f>
        <v>65.972826086956516</v>
      </c>
      <c r="BD6" s="4">
        <f>'4.1 Comptes 2021 natures'!BD6/'4.1 Comptes 2021 natures'!BD2</f>
        <v>36.765821218682333</v>
      </c>
      <c r="BE6" s="4">
        <f>'4.1 Comptes 2021 natures'!BE6/'4.1 Comptes 2021 natures'!BE2</f>
        <v>48.355813953488372</v>
      </c>
      <c r="BF6" s="4">
        <f>SUM(E6:BE6)</f>
        <v>3334.5212885726523</v>
      </c>
      <c r="BG6" s="4">
        <f>SUM(E6:W6)</f>
        <v>1359.7171470927835</v>
      </c>
      <c r="BH6" s="4">
        <f>SUM(X6:AJ6)</f>
        <v>799.27821492981127</v>
      </c>
      <c r="BI6" s="4">
        <f>SUM(AK6:BE6)</f>
        <v>1175.5259265500565</v>
      </c>
    </row>
    <row r="7" spans="1:61" x14ac:dyDescent="0.25">
      <c r="C7">
        <v>301</v>
      </c>
      <c r="D7" t="s">
        <v>81</v>
      </c>
      <c r="E7" s="4">
        <f>'4.1 Comptes 2021 natures'!E7/'4.1 Comptes 2021 natures'!E2</f>
        <v>361.25549102428721</v>
      </c>
      <c r="F7" s="4">
        <f>'4.1 Comptes 2021 natures'!F7/'4.1 Comptes 2021 natures'!F2</f>
        <v>111.44811320754717</v>
      </c>
      <c r="G7" s="4">
        <f>'4.1 Comptes 2021 natures'!G7/'4.1 Comptes 2021 natures'!G2</f>
        <v>187.35692963752663</v>
      </c>
      <c r="H7" s="4">
        <f>'4.1 Comptes 2021 natures'!H7/'4.1 Comptes 2021 natures'!H2</f>
        <v>429.13888382687929</v>
      </c>
      <c r="I7" s="4">
        <f>'4.1 Comptes 2021 natures'!I7/'4.1 Comptes 2021 natures'!I2</f>
        <v>538.66068937768239</v>
      </c>
      <c r="J7" s="4">
        <f>'4.1 Comptes 2021 natures'!J7/'4.1 Comptes 2021 natures'!J2</f>
        <v>691.86772795216734</v>
      </c>
      <c r="K7" s="4">
        <f>'4.1 Comptes 2021 natures'!K7/'4.1 Comptes 2021 natures'!K2</f>
        <v>284.89536199095022</v>
      </c>
      <c r="L7" s="4">
        <f>'4.1 Comptes 2021 natures'!L7/'4.1 Comptes 2021 natures'!L2</f>
        <v>1535.7489686673612</v>
      </c>
      <c r="M7" s="4">
        <f>'4.1 Comptes 2021 natures'!M7/'4.1 Comptes 2021 natures'!M2</f>
        <v>735.50879323031643</v>
      </c>
      <c r="N7" s="4">
        <f>'4.1 Comptes 2021 natures'!N7/'4.1 Comptes 2021 natures'!N2</f>
        <v>248.86666666666667</v>
      </c>
      <c r="O7" s="4">
        <f>'4.1 Comptes 2021 natures'!O7/'4.1 Comptes 2021 natures'!O2</f>
        <v>387.23440297479686</v>
      </c>
      <c r="P7" s="4">
        <f>'4.1 Comptes 2021 natures'!P7/'4.1 Comptes 2021 natures'!P2</f>
        <v>186.18141263940521</v>
      </c>
      <c r="Q7" s="4">
        <f>'4.1 Comptes 2021 natures'!Q7/'4.1 Comptes 2021 natures'!Q2</f>
        <v>409.29729729729729</v>
      </c>
      <c r="R7" s="4">
        <f>'4.1 Comptes 2021 natures'!R7/'4.1 Comptes 2021 natures'!R2</f>
        <v>398.92387173396679</v>
      </c>
      <c r="S7" s="4">
        <f>'4.1 Comptes 2021 natures'!S7/'4.1 Comptes 2021 natures'!S2</f>
        <v>277.62049132947976</v>
      </c>
      <c r="T7" s="4">
        <f>'4.1 Comptes 2021 natures'!T7/'4.1 Comptes 2021 natures'!T2</f>
        <v>239.78394366197185</v>
      </c>
      <c r="U7" s="4">
        <f>'4.1 Comptes 2021 natures'!U7/'4.1 Comptes 2021 natures'!U2</f>
        <v>328.80204460966542</v>
      </c>
      <c r="V7" s="4">
        <f>'4.1 Comptes 2021 natures'!V7/'4.1 Comptes 2021 natures'!V2</f>
        <v>545.35</v>
      </c>
      <c r="W7" s="4">
        <f>'4.1 Comptes 2021 natures'!W7/'4.1 Comptes 2021 natures'!W2</f>
        <v>561.05201300712292</v>
      </c>
      <c r="X7" s="4">
        <f>'4.1 Comptes 2021 natures'!X7/'4.1 Comptes 2021 natures'!X2</f>
        <v>166.57354838709679</v>
      </c>
      <c r="Y7" s="4">
        <f>'4.1 Comptes 2021 natures'!Y7/'4.1 Comptes 2021 natures'!Y2</f>
        <v>832.12106299212599</v>
      </c>
      <c r="Z7" s="4">
        <f>'4.1 Comptes 2021 natures'!Z7/'4.1 Comptes 2021 natures'!Z2</f>
        <v>918.06098273572388</v>
      </c>
      <c r="AA7" s="4">
        <f>'4.1 Comptes 2021 natures'!AA7/'4.1 Comptes 2021 natures'!AA2</f>
        <v>689.40885416666663</v>
      </c>
      <c r="AB7" s="4">
        <f>'4.1 Comptes 2021 natures'!AB7/'4.1 Comptes 2021 natures'!AB2</f>
        <v>337.66486486486485</v>
      </c>
      <c r="AC7" s="4">
        <f>'4.1 Comptes 2021 natures'!AC7/'4.1 Comptes 2021 natures'!AC2</f>
        <v>562.98368725868727</v>
      </c>
      <c r="AD7" s="4">
        <f>'4.1 Comptes 2021 natures'!AD7/'4.1 Comptes 2021 natures'!AD2</f>
        <v>639.90534950071333</v>
      </c>
      <c r="AE7" s="4">
        <f>'4.1 Comptes 2021 natures'!AE7/'4.1 Comptes 2021 natures'!AE2</f>
        <v>431.48643617021276</v>
      </c>
      <c r="AF7" s="4">
        <f>'4.1 Comptes 2021 natures'!AF7/'4.1 Comptes 2021 natures'!AF2</f>
        <v>509.78038095238099</v>
      </c>
      <c r="AG7" s="4">
        <f>'4.1 Comptes 2021 natures'!AG7/'4.1 Comptes 2021 natures'!AG2</f>
        <v>377.08465165007857</v>
      </c>
      <c r="AH7" s="4">
        <f>'4.1 Comptes 2021 natures'!AH7/'4.1 Comptes 2021 natures'!AH2</f>
        <v>554.6971317829458</v>
      </c>
      <c r="AI7" s="4">
        <f>'4.1 Comptes 2021 natures'!AI7/'4.1 Comptes 2021 natures'!AI2</f>
        <v>329.85630630630635</v>
      </c>
      <c r="AJ7" s="4">
        <f>'4.1 Comptes 2021 natures'!AJ7/'4.1 Comptes 2021 natures'!AJ2</f>
        <v>336.03837209302321</v>
      </c>
      <c r="AK7" s="4">
        <f>'4.1 Comptes 2021 natures'!AK7/'4.1 Comptes 2021 natures'!AK2</f>
        <v>274.13858276044419</v>
      </c>
      <c r="AL7" s="4">
        <f>'4.1 Comptes 2021 natures'!AL7/'4.1 Comptes 2021 natures'!AL2</f>
        <v>436.93832149200711</v>
      </c>
      <c r="AM7" s="4">
        <f>'4.1 Comptes 2021 natures'!AM7/'4.1 Comptes 2021 natures'!AM2</f>
        <v>297.98004081632649</v>
      </c>
      <c r="AN7" s="4">
        <f>'4.1 Comptes 2021 natures'!AN7/'4.1 Comptes 2021 natures'!AN2</f>
        <v>339.03119658119658</v>
      </c>
      <c r="AO7" s="4">
        <f>'4.1 Comptes 2021 natures'!AO7/'4.1 Comptes 2021 natures'!AO2</f>
        <v>898.64409282700421</v>
      </c>
      <c r="AP7" s="4">
        <f>'4.1 Comptes 2021 natures'!AP7/'4.1 Comptes 2021 natures'!AP2</f>
        <v>977.85241433021804</v>
      </c>
      <c r="AQ7" s="4">
        <f>'4.1 Comptes 2021 natures'!AQ7/'4.1 Comptes 2021 natures'!AQ2</f>
        <v>223.67922590837284</v>
      </c>
      <c r="AR7" s="4">
        <f>'4.1 Comptes 2021 natures'!AR7/'4.1 Comptes 2021 natures'!AR2</f>
        <v>721.90109034267914</v>
      </c>
      <c r="AS7" s="4">
        <f>'4.1 Comptes 2021 natures'!AS7/'4.1 Comptes 2021 natures'!AS2</f>
        <v>419.77270861833102</v>
      </c>
      <c r="AT7" s="4">
        <f>'4.1 Comptes 2021 natures'!AT7/'4.1 Comptes 2021 natures'!AT2</f>
        <v>354.54867125984254</v>
      </c>
      <c r="AU7" s="4">
        <f>'4.1 Comptes 2021 natures'!AU7/'4.1 Comptes 2021 natures'!AU2</f>
        <v>266.4453947368421</v>
      </c>
      <c r="AV7" s="4">
        <f>'4.1 Comptes 2021 natures'!AV7/'4.1 Comptes 2021 natures'!AV2</f>
        <v>317.60617744610283</v>
      </c>
      <c r="AW7" s="4">
        <f>'4.1 Comptes 2021 natures'!AW7/'4.1 Comptes 2021 natures'!AW2</f>
        <v>442.72933333333333</v>
      </c>
      <c r="AX7" s="4">
        <f>'4.1 Comptes 2021 natures'!AX7/'4.1 Comptes 2021 natures'!AX2</f>
        <v>351.70756756756759</v>
      </c>
      <c r="AY7" s="4">
        <f>'4.1 Comptes 2021 natures'!AY7/'4.1 Comptes 2021 natures'!AY2</f>
        <v>329.16617647058825</v>
      </c>
      <c r="AZ7" s="4">
        <f>'4.1 Comptes 2021 natures'!AZ7/'4.1 Comptes 2021 natures'!AZ2</f>
        <v>385.58877430760168</v>
      </c>
      <c r="BA7" s="4">
        <f>'4.1 Comptes 2021 natures'!BA7/'4.1 Comptes 2021 natures'!BA2</f>
        <v>232.25307692307692</v>
      </c>
      <c r="BB7" s="4">
        <f>'4.1 Comptes 2021 natures'!BB7/'4.1 Comptes 2021 natures'!BB2</f>
        <v>959.5451537744641</v>
      </c>
      <c r="BC7" s="4">
        <f>'4.1 Comptes 2021 natures'!BC7/'4.1 Comptes 2021 natures'!BC2</f>
        <v>272.07282608695652</v>
      </c>
      <c r="BD7" s="4">
        <f>'4.1 Comptes 2021 natures'!BD7/'4.1 Comptes 2021 natures'!BD2</f>
        <v>1319.6146968759667</v>
      </c>
      <c r="BE7" s="4">
        <f>'4.1 Comptes 2021 natures'!BE7/'4.1 Comptes 2021 natures'!BE2</f>
        <v>428.26574239713773</v>
      </c>
      <c r="BF7" s="4">
        <f t="shared" ref="BF7:BF13" si="2">SUM(E7:BE7)</f>
        <v>25394.13599655198</v>
      </c>
      <c r="BG7" s="4">
        <f t="shared" ref="BG7:BG13" si="3">SUM(E7:W7)</f>
        <v>8458.9931028350911</v>
      </c>
      <c r="BH7" s="4">
        <f t="shared" ref="BH7:BH13" si="4">SUM(X7:AJ7)</f>
        <v>6685.6616288608275</v>
      </c>
      <c r="BI7" s="4">
        <f t="shared" ref="BI7:BI13" si="5">SUM(AK7:BE7)</f>
        <v>10249.48126485606</v>
      </c>
    </row>
    <row r="8" spans="1:61" x14ac:dyDescent="0.25">
      <c r="C8">
        <v>302</v>
      </c>
      <c r="D8" t="s">
        <v>82</v>
      </c>
      <c r="E8" s="4">
        <f>'4.1 Comptes 2021 natures'!E8/'4.1 Comptes 2021 natures'!E2</f>
        <v>0</v>
      </c>
      <c r="F8" s="4">
        <f>'4.1 Comptes 2021 natures'!F8/'4.1 Comptes 2021 natures'!F2</f>
        <v>0</v>
      </c>
      <c r="G8" s="4">
        <f>'4.1 Comptes 2021 natures'!G8/'4.1 Comptes 2021 natures'!G2</f>
        <v>0</v>
      </c>
      <c r="H8" s="4">
        <f>'4.1 Comptes 2021 natures'!H8/'4.1 Comptes 2021 natures'!H2</f>
        <v>0</v>
      </c>
      <c r="I8" s="4">
        <f>'4.1 Comptes 2021 natures'!I8/'4.1 Comptes 2021 natures'!I2</f>
        <v>0</v>
      </c>
      <c r="J8" s="4">
        <f>'4.1 Comptes 2021 natures'!J8/'4.1 Comptes 2021 natures'!J2</f>
        <v>0</v>
      </c>
      <c r="K8" s="4">
        <f>'4.1 Comptes 2021 natures'!K8/'4.1 Comptes 2021 natures'!K2</f>
        <v>0</v>
      </c>
      <c r="L8" s="4">
        <f>'4.1 Comptes 2021 natures'!L8/'4.1 Comptes 2021 natures'!L2</f>
        <v>0</v>
      </c>
      <c r="M8" s="4">
        <f>'4.1 Comptes 2021 natures'!M8/'4.1 Comptes 2021 natures'!M2</f>
        <v>0</v>
      </c>
      <c r="N8" s="4">
        <f>'4.1 Comptes 2021 natures'!N8/'4.1 Comptes 2021 natures'!N2</f>
        <v>0</v>
      </c>
      <c r="O8" s="4">
        <f>'4.1 Comptes 2021 natures'!O8/'4.1 Comptes 2021 natures'!O2</f>
        <v>0</v>
      </c>
      <c r="P8" s="4">
        <f>'4.1 Comptes 2021 natures'!P8/'4.1 Comptes 2021 natures'!P2</f>
        <v>0</v>
      </c>
      <c r="Q8" s="4">
        <f>'4.1 Comptes 2021 natures'!Q8/'4.1 Comptes 2021 natures'!Q2</f>
        <v>0</v>
      </c>
      <c r="R8" s="4">
        <f>'4.1 Comptes 2021 natures'!R8/'4.1 Comptes 2021 natures'!R2</f>
        <v>0</v>
      </c>
      <c r="S8" s="4">
        <f>'4.1 Comptes 2021 natures'!S8/'4.1 Comptes 2021 natures'!S2</f>
        <v>0</v>
      </c>
      <c r="T8" s="4">
        <f>'4.1 Comptes 2021 natures'!T8/'4.1 Comptes 2021 natures'!T2</f>
        <v>0</v>
      </c>
      <c r="U8" s="4">
        <f>'4.1 Comptes 2021 natures'!U8/'4.1 Comptes 2021 natures'!U2</f>
        <v>0</v>
      </c>
      <c r="V8" s="4">
        <f>'4.1 Comptes 2021 natures'!V8/'4.1 Comptes 2021 natures'!V2</f>
        <v>0</v>
      </c>
      <c r="W8" s="4">
        <f>'4.1 Comptes 2021 natures'!W8/'4.1 Comptes 2021 natures'!W2</f>
        <v>0</v>
      </c>
      <c r="X8" s="4">
        <f>'4.1 Comptes 2021 natures'!X8/'4.1 Comptes 2021 natures'!X2</f>
        <v>0</v>
      </c>
      <c r="Y8" s="4">
        <f>'4.1 Comptes 2021 natures'!Y8/'4.1 Comptes 2021 natures'!Y2</f>
        <v>0</v>
      </c>
      <c r="Z8" s="4">
        <f>'4.1 Comptes 2021 natures'!Z8/'4.1 Comptes 2021 natures'!Z2</f>
        <v>0</v>
      </c>
      <c r="AA8" s="4">
        <f>'4.1 Comptes 2021 natures'!AA8/'4.1 Comptes 2021 natures'!AA2</f>
        <v>0</v>
      </c>
      <c r="AB8" s="4">
        <f>'4.1 Comptes 2021 natures'!AB8/'4.1 Comptes 2021 natures'!AB2</f>
        <v>0</v>
      </c>
      <c r="AC8" s="4">
        <f>'4.1 Comptes 2021 natures'!AC8/'4.1 Comptes 2021 natures'!AC2</f>
        <v>0</v>
      </c>
      <c r="AD8" s="4">
        <f>'4.1 Comptes 2021 natures'!AD8/'4.1 Comptes 2021 natures'!AD2</f>
        <v>0</v>
      </c>
      <c r="AE8" s="4">
        <f>'4.1 Comptes 2021 natures'!AE8/'4.1 Comptes 2021 natures'!AE2</f>
        <v>0</v>
      </c>
      <c r="AF8" s="4">
        <f>'4.1 Comptes 2021 natures'!AF8/'4.1 Comptes 2021 natures'!AF2</f>
        <v>0</v>
      </c>
      <c r="AG8" s="4">
        <f>'4.1 Comptes 2021 natures'!AG8/'4.1 Comptes 2021 natures'!AG2</f>
        <v>1.4064955474070193</v>
      </c>
      <c r="AH8" s="4">
        <f>'4.1 Comptes 2021 natures'!AH8/'4.1 Comptes 2021 natures'!AH2</f>
        <v>0</v>
      </c>
      <c r="AI8" s="4">
        <f>'4.1 Comptes 2021 natures'!AI8/'4.1 Comptes 2021 natures'!AI2</f>
        <v>0</v>
      </c>
      <c r="AJ8" s="4">
        <f>'4.1 Comptes 2021 natures'!AJ8/'4.1 Comptes 2021 natures'!AJ2</f>
        <v>0</v>
      </c>
      <c r="AK8" s="4">
        <f>'4.1 Comptes 2021 natures'!AK8/'4.1 Comptes 2021 natures'!AK2</f>
        <v>0</v>
      </c>
      <c r="AL8" s="4">
        <f>'4.1 Comptes 2021 natures'!AL8/'4.1 Comptes 2021 natures'!AL2</f>
        <v>0</v>
      </c>
      <c r="AM8" s="4">
        <f>'4.1 Comptes 2021 natures'!AM8/'4.1 Comptes 2021 natures'!AM2</f>
        <v>0</v>
      </c>
      <c r="AN8" s="4">
        <f>'4.1 Comptes 2021 natures'!AN8/'4.1 Comptes 2021 natures'!AN2</f>
        <v>0</v>
      </c>
      <c r="AO8" s="4">
        <f>'4.1 Comptes 2021 natures'!AO8/'4.1 Comptes 2021 natures'!AO2</f>
        <v>0</v>
      </c>
      <c r="AP8" s="4">
        <f>'4.1 Comptes 2021 natures'!AP8/'4.1 Comptes 2021 natures'!AP2</f>
        <v>0</v>
      </c>
      <c r="AQ8" s="4">
        <f>'4.1 Comptes 2021 natures'!AQ8/'4.1 Comptes 2021 natures'!AQ2</f>
        <v>0</v>
      </c>
      <c r="AR8" s="4">
        <f>'4.1 Comptes 2021 natures'!AR8/'4.1 Comptes 2021 natures'!AR2</f>
        <v>0</v>
      </c>
      <c r="AS8" s="4">
        <f>'4.1 Comptes 2021 natures'!AS8/'4.1 Comptes 2021 natures'!AS2</f>
        <v>0</v>
      </c>
      <c r="AT8" s="4">
        <f>'4.1 Comptes 2021 natures'!AT8/'4.1 Comptes 2021 natures'!AT2</f>
        <v>0</v>
      </c>
      <c r="AU8" s="4">
        <f>'4.1 Comptes 2021 natures'!AU8/'4.1 Comptes 2021 natures'!AU2</f>
        <v>0</v>
      </c>
      <c r="AV8" s="4">
        <f>'4.1 Comptes 2021 natures'!AV8/'4.1 Comptes 2021 natures'!AV2</f>
        <v>0</v>
      </c>
      <c r="AW8" s="4">
        <f>'4.1 Comptes 2021 natures'!AW8/'4.1 Comptes 2021 natures'!AW2</f>
        <v>0</v>
      </c>
      <c r="AX8" s="4">
        <f>'4.1 Comptes 2021 natures'!AX8/'4.1 Comptes 2021 natures'!AX2</f>
        <v>0</v>
      </c>
      <c r="AY8" s="4">
        <f>'4.1 Comptes 2021 natures'!AY8/'4.1 Comptes 2021 natures'!AY2</f>
        <v>0</v>
      </c>
      <c r="AZ8" s="4">
        <f>'4.1 Comptes 2021 natures'!AZ8/'4.1 Comptes 2021 natures'!AZ2</f>
        <v>0</v>
      </c>
      <c r="BA8" s="4">
        <f>'4.1 Comptes 2021 natures'!BA8/'4.1 Comptes 2021 natures'!BA2</f>
        <v>0</v>
      </c>
      <c r="BB8" s="4">
        <f>'4.1 Comptes 2021 natures'!BB8/'4.1 Comptes 2021 natures'!BB2</f>
        <v>0</v>
      </c>
      <c r="BC8" s="4">
        <f>'4.1 Comptes 2021 natures'!BC8/'4.1 Comptes 2021 natures'!BC2</f>
        <v>0</v>
      </c>
      <c r="BD8" s="4">
        <f>'4.1 Comptes 2021 natures'!BD8/'4.1 Comptes 2021 natures'!BD2</f>
        <v>0</v>
      </c>
      <c r="BE8" s="4">
        <f>'4.1 Comptes 2021 natures'!BE8/'4.1 Comptes 2021 natures'!BE2</f>
        <v>0</v>
      </c>
      <c r="BF8" s="4">
        <f t="shared" si="2"/>
        <v>1.4064955474070193</v>
      </c>
      <c r="BG8" s="4">
        <f t="shared" si="3"/>
        <v>0</v>
      </c>
      <c r="BH8" s="4">
        <f t="shared" si="4"/>
        <v>1.4064955474070193</v>
      </c>
      <c r="BI8" s="4">
        <f t="shared" si="5"/>
        <v>0</v>
      </c>
    </row>
    <row r="9" spans="1:61" x14ac:dyDescent="0.25">
      <c r="C9">
        <v>303</v>
      </c>
      <c r="D9" t="s">
        <v>83</v>
      </c>
      <c r="E9" s="4">
        <f>'4.1 Comptes 2021 natures'!E9/'4.1 Comptes 2021 natures'!E2</f>
        <v>0</v>
      </c>
      <c r="F9" s="4">
        <f>'4.1 Comptes 2021 natures'!F9/'4.1 Comptes 2021 natures'!F2</f>
        <v>0</v>
      </c>
      <c r="G9" s="4">
        <f>'4.1 Comptes 2021 natures'!G9/'4.1 Comptes 2021 natures'!G2</f>
        <v>0</v>
      </c>
      <c r="H9" s="4">
        <f>'4.1 Comptes 2021 natures'!H9/'4.1 Comptes 2021 natures'!H2</f>
        <v>0</v>
      </c>
      <c r="I9" s="4">
        <f>'4.1 Comptes 2021 natures'!I9/'4.1 Comptes 2021 natures'!I2</f>
        <v>0</v>
      </c>
      <c r="J9" s="4">
        <f>'4.1 Comptes 2021 natures'!J9/'4.1 Comptes 2021 natures'!J2</f>
        <v>0</v>
      </c>
      <c r="K9" s="4">
        <f>'4.1 Comptes 2021 natures'!K9/'4.1 Comptes 2021 natures'!K2</f>
        <v>0</v>
      </c>
      <c r="L9" s="4">
        <f>'4.1 Comptes 2021 natures'!L9/'4.1 Comptes 2021 natures'!L2</f>
        <v>0</v>
      </c>
      <c r="M9" s="4">
        <f>'4.1 Comptes 2021 natures'!M9/'4.1 Comptes 2021 natures'!M2</f>
        <v>3.2604120676968358</v>
      </c>
      <c r="N9" s="4">
        <f>'4.1 Comptes 2021 natures'!N9/'4.1 Comptes 2021 natures'!N2</f>
        <v>0</v>
      </c>
      <c r="O9" s="4">
        <f>'4.1 Comptes 2021 natures'!O9/'4.1 Comptes 2021 natures'!O2</f>
        <v>0</v>
      </c>
      <c r="P9" s="4">
        <f>'4.1 Comptes 2021 natures'!P9/'4.1 Comptes 2021 natures'!P2</f>
        <v>0</v>
      </c>
      <c r="Q9" s="4">
        <f>'4.1 Comptes 2021 natures'!Q9/'4.1 Comptes 2021 natures'!Q2</f>
        <v>0</v>
      </c>
      <c r="R9" s="4">
        <f>'4.1 Comptes 2021 natures'!R9/'4.1 Comptes 2021 natures'!R2</f>
        <v>0</v>
      </c>
      <c r="S9" s="4">
        <f>'4.1 Comptes 2021 natures'!S9/'4.1 Comptes 2021 natures'!S2</f>
        <v>0</v>
      </c>
      <c r="T9" s="4">
        <f>'4.1 Comptes 2021 natures'!T9/'4.1 Comptes 2021 natures'!T2</f>
        <v>0</v>
      </c>
      <c r="U9" s="4">
        <f>'4.1 Comptes 2021 natures'!U9/'4.1 Comptes 2021 natures'!U2</f>
        <v>0</v>
      </c>
      <c r="V9" s="4">
        <f>'4.1 Comptes 2021 natures'!V9/'4.1 Comptes 2021 natures'!V2</f>
        <v>0</v>
      </c>
      <c r="W9" s="4">
        <f>'4.1 Comptes 2021 natures'!W9/'4.1 Comptes 2021 natures'!W2</f>
        <v>0</v>
      </c>
      <c r="X9" s="4">
        <f>'4.1 Comptes 2021 natures'!X9/'4.1 Comptes 2021 natures'!X2</f>
        <v>0</v>
      </c>
      <c r="Y9" s="4">
        <f>'4.1 Comptes 2021 natures'!Y9/'4.1 Comptes 2021 natures'!Y2</f>
        <v>0</v>
      </c>
      <c r="Z9" s="4">
        <f>'4.1 Comptes 2021 natures'!Z9/'4.1 Comptes 2021 natures'!Z2</f>
        <v>0</v>
      </c>
      <c r="AA9" s="4">
        <f>'4.1 Comptes 2021 natures'!AA9/'4.1 Comptes 2021 natures'!AA2</f>
        <v>0</v>
      </c>
      <c r="AB9" s="4">
        <f>'4.1 Comptes 2021 natures'!AB9/'4.1 Comptes 2021 natures'!AB2</f>
        <v>0</v>
      </c>
      <c r="AC9" s="4">
        <f>'4.1 Comptes 2021 natures'!AC9/'4.1 Comptes 2021 natures'!AC2</f>
        <v>0</v>
      </c>
      <c r="AD9" s="4">
        <f>'4.1 Comptes 2021 natures'!AD9/'4.1 Comptes 2021 natures'!AD2</f>
        <v>0</v>
      </c>
      <c r="AE9" s="4">
        <f>'4.1 Comptes 2021 natures'!AE9/'4.1 Comptes 2021 natures'!AE2</f>
        <v>0</v>
      </c>
      <c r="AF9" s="4">
        <f>'4.1 Comptes 2021 natures'!AF9/'4.1 Comptes 2021 natures'!AF2</f>
        <v>0</v>
      </c>
      <c r="AG9" s="4">
        <f>'4.1 Comptes 2021 natures'!AG9/'4.1 Comptes 2021 natures'!AG2</f>
        <v>0</v>
      </c>
      <c r="AH9" s="4">
        <f>'4.1 Comptes 2021 natures'!AH9/'4.1 Comptes 2021 natures'!AH2</f>
        <v>0</v>
      </c>
      <c r="AI9" s="4">
        <f>'4.1 Comptes 2021 natures'!AI9/'4.1 Comptes 2021 natures'!AI2</f>
        <v>0</v>
      </c>
      <c r="AJ9" s="4">
        <f>'4.1 Comptes 2021 natures'!AJ9/'4.1 Comptes 2021 natures'!AJ2</f>
        <v>0</v>
      </c>
      <c r="AK9" s="4">
        <f>'4.1 Comptes 2021 natures'!AK9/'4.1 Comptes 2021 natures'!AK2</f>
        <v>0</v>
      </c>
      <c r="AL9" s="4">
        <f>'4.1 Comptes 2021 natures'!AL9/'4.1 Comptes 2021 natures'!AL2</f>
        <v>0</v>
      </c>
      <c r="AM9" s="4">
        <f>'4.1 Comptes 2021 natures'!AM9/'4.1 Comptes 2021 natures'!AM2</f>
        <v>1.1428571428571428</v>
      </c>
      <c r="AN9" s="4">
        <f>'4.1 Comptes 2021 natures'!AN9/'4.1 Comptes 2021 natures'!AN2</f>
        <v>0</v>
      </c>
      <c r="AO9" s="4">
        <f>'4.1 Comptes 2021 natures'!AO9/'4.1 Comptes 2021 natures'!AO2</f>
        <v>0</v>
      </c>
      <c r="AP9" s="4">
        <f>'4.1 Comptes 2021 natures'!AP9/'4.1 Comptes 2021 natures'!AP2</f>
        <v>0</v>
      </c>
      <c r="AQ9" s="4">
        <f>'4.1 Comptes 2021 natures'!AQ9/'4.1 Comptes 2021 natures'!AQ2</f>
        <v>0</v>
      </c>
      <c r="AR9" s="4">
        <f>'4.1 Comptes 2021 natures'!AR9/'4.1 Comptes 2021 natures'!AR2</f>
        <v>0</v>
      </c>
      <c r="AS9" s="4">
        <f>'4.1 Comptes 2021 natures'!AS9/'4.1 Comptes 2021 natures'!AS2</f>
        <v>0</v>
      </c>
      <c r="AT9" s="4">
        <f>'4.1 Comptes 2021 natures'!AT9/'4.1 Comptes 2021 natures'!AT2</f>
        <v>0</v>
      </c>
      <c r="AU9" s="4">
        <f>'4.1 Comptes 2021 natures'!AU9/'4.1 Comptes 2021 natures'!AU2</f>
        <v>0</v>
      </c>
      <c r="AV9" s="4">
        <f>'4.1 Comptes 2021 natures'!AV9/'4.1 Comptes 2021 natures'!AV2</f>
        <v>0</v>
      </c>
      <c r="AW9" s="4">
        <f>'4.1 Comptes 2021 natures'!AW9/'4.1 Comptes 2021 natures'!AW2</f>
        <v>0.22448979591836735</v>
      </c>
      <c r="AX9" s="4">
        <f>'4.1 Comptes 2021 natures'!AX9/'4.1 Comptes 2021 natures'!AX2</f>
        <v>0</v>
      </c>
      <c r="AY9" s="4">
        <f>'4.1 Comptes 2021 natures'!AY9/'4.1 Comptes 2021 natures'!AY2</f>
        <v>0</v>
      </c>
      <c r="AZ9" s="4">
        <f>'4.1 Comptes 2021 natures'!AZ9/'4.1 Comptes 2021 natures'!AZ2</f>
        <v>0</v>
      </c>
      <c r="BA9" s="4">
        <f>'4.1 Comptes 2021 natures'!BA9/'4.1 Comptes 2021 natures'!BA2</f>
        <v>0</v>
      </c>
      <c r="BB9" s="4">
        <f>'4.1 Comptes 2021 natures'!BB9/'4.1 Comptes 2021 natures'!BB2</f>
        <v>0</v>
      </c>
      <c r="BC9" s="4">
        <f>'4.1 Comptes 2021 natures'!BC9/'4.1 Comptes 2021 natures'!BC2</f>
        <v>0</v>
      </c>
      <c r="BD9" s="4">
        <f>'4.1 Comptes 2021 natures'!BD9/'4.1 Comptes 2021 natures'!BD2</f>
        <v>0</v>
      </c>
      <c r="BE9" s="4">
        <f>'4.1 Comptes 2021 natures'!BE9/'4.1 Comptes 2021 natures'!BE2</f>
        <v>0</v>
      </c>
      <c r="BF9" s="4">
        <f t="shared" si="2"/>
        <v>4.6277590064723455</v>
      </c>
      <c r="BG9" s="4">
        <f t="shared" si="3"/>
        <v>3.2604120676968358</v>
      </c>
      <c r="BH9" s="4">
        <f t="shared" si="4"/>
        <v>0</v>
      </c>
      <c r="BI9" s="4">
        <f t="shared" si="5"/>
        <v>1.3673469387755102</v>
      </c>
    </row>
    <row r="10" spans="1:61" x14ac:dyDescent="0.25">
      <c r="C10">
        <v>304</v>
      </c>
      <c r="D10" t="s">
        <v>583</v>
      </c>
      <c r="E10" s="4">
        <f>'4.1 Comptes 2021 natures'!E10/'4.1 Comptes 2021 natures'!E2</f>
        <v>0</v>
      </c>
      <c r="F10" s="4">
        <f>'4.1 Comptes 2021 natures'!F10/'4.1 Comptes 2021 natures'!F2</f>
        <v>0</v>
      </c>
      <c r="G10" s="4">
        <f>'4.1 Comptes 2021 natures'!G10/'4.1 Comptes 2021 natures'!G2</f>
        <v>0</v>
      </c>
      <c r="H10" s="4">
        <f>'4.1 Comptes 2021 natures'!H10/'4.1 Comptes 2021 natures'!H2</f>
        <v>0</v>
      </c>
      <c r="I10" s="4">
        <f>'4.1 Comptes 2021 natures'!I10/'4.1 Comptes 2021 natures'!I2</f>
        <v>0</v>
      </c>
      <c r="J10" s="4">
        <f>'4.1 Comptes 2021 natures'!J10/'4.1 Comptes 2021 natures'!J2</f>
        <v>6.6555754857997016</v>
      </c>
      <c r="K10" s="4">
        <f>'4.1 Comptes 2021 natures'!K10/'4.1 Comptes 2021 natures'!K2</f>
        <v>0</v>
      </c>
      <c r="L10" s="4">
        <f>'4.1 Comptes 2021 natures'!L10/'4.1 Comptes 2021 natures'!L2</f>
        <v>0</v>
      </c>
      <c r="M10" s="4">
        <f>'4.1 Comptes 2021 natures'!M10/'4.1 Comptes 2021 natures'!M2</f>
        <v>0</v>
      </c>
      <c r="N10" s="4">
        <f>'4.1 Comptes 2021 natures'!N10/'4.1 Comptes 2021 natures'!N2</f>
        <v>0</v>
      </c>
      <c r="O10" s="4">
        <f>'4.1 Comptes 2021 natures'!O10/'4.1 Comptes 2021 natures'!O2</f>
        <v>0</v>
      </c>
      <c r="P10" s="4">
        <f>'4.1 Comptes 2021 natures'!P10/'4.1 Comptes 2021 natures'!P2</f>
        <v>0</v>
      </c>
      <c r="Q10" s="4">
        <f>'4.1 Comptes 2021 natures'!Q10/'4.1 Comptes 2021 natures'!Q2</f>
        <v>0</v>
      </c>
      <c r="R10" s="4">
        <f>'4.1 Comptes 2021 natures'!R10/'4.1 Comptes 2021 natures'!R2</f>
        <v>0</v>
      </c>
      <c r="S10" s="4">
        <f>'4.1 Comptes 2021 natures'!S10/'4.1 Comptes 2021 natures'!S2</f>
        <v>0</v>
      </c>
      <c r="T10" s="4">
        <f>'4.1 Comptes 2021 natures'!T10/'4.1 Comptes 2021 natures'!T2</f>
        <v>0</v>
      </c>
      <c r="U10" s="4">
        <f>'4.1 Comptes 2021 natures'!U10/'4.1 Comptes 2021 natures'!U2</f>
        <v>0</v>
      </c>
      <c r="V10" s="4">
        <f>'4.1 Comptes 2021 natures'!V10/'4.1 Comptes 2021 natures'!V2</f>
        <v>0</v>
      </c>
      <c r="W10" s="4">
        <f>'4.1 Comptes 2021 natures'!W10/'4.1 Comptes 2021 natures'!W2</f>
        <v>0</v>
      </c>
      <c r="X10" s="4">
        <f>'4.1 Comptes 2021 natures'!X10/'4.1 Comptes 2021 natures'!X2</f>
        <v>0</v>
      </c>
      <c r="Y10" s="4">
        <f>'4.1 Comptes 2021 natures'!Y10/'4.1 Comptes 2021 natures'!Y2</f>
        <v>0</v>
      </c>
      <c r="Z10" s="4">
        <f>'4.1 Comptes 2021 natures'!Z10/'4.1 Comptes 2021 natures'!Z2</f>
        <v>0</v>
      </c>
      <c r="AA10" s="4">
        <f>'4.1 Comptes 2021 natures'!AA10/'4.1 Comptes 2021 natures'!AA2</f>
        <v>0</v>
      </c>
      <c r="AB10" s="4">
        <f>'4.1 Comptes 2021 natures'!AB10/'4.1 Comptes 2021 natures'!AB2</f>
        <v>0</v>
      </c>
      <c r="AC10" s="4">
        <f>'4.1 Comptes 2021 natures'!AC10/'4.1 Comptes 2021 natures'!AC2</f>
        <v>0</v>
      </c>
      <c r="AD10" s="4">
        <f>'4.1 Comptes 2021 natures'!AD10/'4.1 Comptes 2021 natures'!AD2</f>
        <v>0</v>
      </c>
      <c r="AE10" s="4">
        <f>'4.1 Comptes 2021 natures'!AE10/'4.1 Comptes 2021 natures'!AE2</f>
        <v>0</v>
      </c>
      <c r="AF10" s="4">
        <f>'4.1 Comptes 2021 natures'!AF10/'4.1 Comptes 2021 natures'!AF2</f>
        <v>0</v>
      </c>
      <c r="AG10" s="4">
        <f>'4.1 Comptes 2021 natures'!AG10/'4.1 Comptes 2021 natures'!AG2</f>
        <v>1.0476689366160294</v>
      </c>
      <c r="AH10" s="4">
        <f>'4.1 Comptes 2021 natures'!AH10/'4.1 Comptes 2021 natures'!AH2</f>
        <v>5.8139534883720927</v>
      </c>
      <c r="AI10" s="4">
        <f>'4.1 Comptes 2021 natures'!AI10/'4.1 Comptes 2021 natures'!AI2</f>
        <v>0</v>
      </c>
      <c r="AJ10" s="4">
        <f>'4.1 Comptes 2021 natures'!AJ10/'4.1 Comptes 2021 natures'!AJ2</f>
        <v>0</v>
      </c>
      <c r="AK10" s="4">
        <f>'4.1 Comptes 2021 natures'!AK10/'4.1 Comptes 2021 natures'!AK2</f>
        <v>0</v>
      </c>
      <c r="AL10" s="4">
        <f>'4.1 Comptes 2021 natures'!AL10/'4.1 Comptes 2021 natures'!AL2</f>
        <v>0</v>
      </c>
      <c r="AM10" s="4">
        <f>'4.1 Comptes 2021 natures'!AM10/'4.1 Comptes 2021 natures'!AM2</f>
        <v>0</v>
      </c>
      <c r="AN10" s="4">
        <f>'4.1 Comptes 2021 natures'!AN10/'4.1 Comptes 2021 natures'!AN2</f>
        <v>0</v>
      </c>
      <c r="AO10" s="4">
        <f>'4.1 Comptes 2021 natures'!AO10/'4.1 Comptes 2021 natures'!AO2</f>
        <v>0</v>
      </c>
      <c r="AP10" s="4">
        <f>'4.1 Comptes 2021 natures'!AP10/'4.1 Comptes 2021 natures'!AP2</f>
        <v>0</v>
      </c>
      <c r="AQ10" s="4">
        <f>'4.1 Comptes 2021 natures'!AQ10/'4.1 Comptes 2021 natures'!AQ2</f>
        <v>0</v>
      </c>
      <c r="AR10" s="4">
        <f>'4.1 Comptes 2021 natures'!AR10/'4.1 Comptes 2021 natures'!AR2</f>
        <v>0</v>
      </c>
      <c r="AS10" s="4">
        <f>'4.1 Comptes 2021 natures'!AS10/'4.1 Comptes 2021 natures'!AS2</f>
        <v>0</v>
      </c>
      <c r="AT10" s="4">
        <f>'4.1 Comptes 2021 natures'!AT10/'4.1 Comptes 2021 natures'!AT2</f>
        <v>0</v>
      </c>
      <c r="AU10" s="4">
        <f>'4.1 Comptes 2021 natures'!AU10/'4.1 Comptes 2021 natures'!AU2</f>
        <v>4.9342105263157896E-4</v>
      </c>
      <c r="AV10" s="4">
        <f>'4.1 Comptes 2021 natures'!AV10/'4.1 Comptes 2021 natures'!AV2</f>
        <v>0</v>
      </c>
      <c r="AW10" s="4">
        <f>'4.1 Comptes 2021 natures'!AW10/'4.1 Comptes 2021 natures'!AW2</f>
        <v>0</v>
      </c>
      <c r="AX10" s="4">
        <f>'4.1 Comptes 2021 natures'!AX10/'4.1 Comptes 2021 natures'!AX2</f>
        <v>0</v>
      </c>
      <c r="AY10" s="4">
        <f>'4.1 Comptes 2021 natures'!AY10/'4.1 Comptes 2021 natures'!AY2</f>
        <v>0</v>
      </c>
      <c r="AZ10" s="4">
        <f>'4.1 Comptes 2021 natures'!AZ10/'4.1 Comptes 2021 natures'!AZ2</f>
        <v>0</v>
      </c>
      <c r="BA10" s="4">
        <f>'4.1 Comptes 2021 natures'!BA10/'4.1 Comptes 2021 natures'!BA2</f>
        <v>0</v>
      </c>
      <c r="BB10" s="4">
        <f>'4.1 Comptes 2021 natures'!BB10/'4.1 Comptes 2021 natures'!BB2</f>
        <v>0</v>
      </c>
      <c r="BC10" s="4">
        <f>'4.1 Comptes 2021 natures'!BC10/'4.1 Comptes 2021 natures'!BC2</f>
        <v>0</v>
      </c>
      <c r="BD10" s="4">
        <f>'4.1 Comptes 2021 natures'!BD10/'4.1 Comptes 2021 natures'!BD2</f>
        <v>0</v>
      </c>
      <c r="BE10" s="4">
        <f>'4.1 Comptes 2021 natures'!BE10/'4.1 Comptes 2021 natures'!BE2</f>
        <v>0</v>
      </c>
      <c r="BF10" s="4">
        <f t="shared" si="2"/>
        <v>13.517691331840455</v>
      </c>
      <c r="BG10" s="4">
        <f t="shared" si="3"/>
        <v>6.6555754857997016</v>
      </c>
      <c r="BH10" s="4">
        <f t="shared" si="4"/>
        <v>6.8616224249881217</v>
      </c>
      <c r="BI10" s="4">
        <f t="shared" si="5"/>
        <v>4.9342105263157896E-4</v>
      </c>
    </row>
    <row r="11" spans="1:61" x14ac:dyDescent="0.25">
      <c r="C11">
        <v>305</v>
      </c>
      <c r="D11" t="s">
        <v>84</v>
      </c>
      <c r="E11" s="4">
        <f>'4.1 Comptes 2021 natures'!E11/'4.1 Comptes 2021 natures'!E2</f>
        <v>71.021488912354812</v>
      </c>
      <c r="F11" s="4">
        <f>'4.1 Comptes 2021 natures'!F11/'4.1 Comptes 2021 natures'!F2</f>
        <v>12.459622641509435</v>
      </c>
      <c r="G11" s="4">
        <f>'4.1 Comptes 2021 natures'!G11/'4.1 Comptes 2021 natures'!G2</f>
        <v>31.610021321961622</v>
      </c>
      <c r="H11" s="4">
        <f>'4.1 Comptes 2021 natures'!H11/'4.1 Comptes 2021 natures'!H2</f>
        <v>68.598132118451034</v>
      </c>
      <c r="I11" s="4">
        <f>'4.1 Comptes 2021 natures'!I11/'4.1 Comptes 2021 natures'!I2</f>
        <v>123.50355418454936</v>
      </c>
      <c r="J11" s="4">
        <f>'4.1 Comptes 2021 natures'!J11/'4.1 Comptes 2021 natures'!J2</f>
        <v>163.9171898355755</v>
      </c>
      <c r="K11" s="4">
        <f>'4.1 Comptes 2021 natures'!K11/'4.1 Comptes 2021 natures'!K2</f>
        <v>73.84545625942684</v>
      </c>
      <c r="L11" s="4">
        <f>'4.1 Comptes 2021 natures'!L11/'4.1 Comptes 2021 natures'!L2</f>
        <v>321.80645644683068</v>
      </c>
      <c r="M11" s="4">
        <f>'4.1 Comptes 2021 natures'!M11/'4.1 Comptes 2021 natures'!M2</f>
        <v>130.74227373068433</v>
      </c>
      <c r="N11" s="4">
        <f>'4.1 Comptes 2021 natures'!N11/'4.1 Comptes 2021 natures'!N2</f>
        <v>45.756410256410255</v>
      </c>
      <c r="O11" s="4">
        <f>'4.1 Comptes 2021 natures'!O11/'4.1 Comptes 2021 natures'!O2</f>
        <v>86.875182481751821</v>
      </c>
      <c r="P11" s="4">
        <f>'4.1 Comptes 2021 natures'!P11/'4.1 Comptes 2021 natures'!P2</f>
        <v>41.832620817843868</v>
      </c>
      <c r="Q11" s="4">
        <f>'4.1 Comptes 2021 natures'!Q11/'4.1 Comptes 2021 natures'!Q2</f>
        <v>69.366216216216216</v>
      </c>
      <c r="R11" s="4">
        <f>'4.1 Comptes 2021 natures'!R11/'4.1 Comptes 2021 natures'!R2</f>
        <v>110.51401425178148</v>
      </c>
      <c r="S11" s="4">
        <f>'4.1 Comptes 2021 natures'!S11/'4.1 Comptes 2021 natures'!S2</f>
        <v>57.664306358381502</v>
      </c>
      <c r="T11" s="4">
        <f>'4.1 Comptes 2021 natures'!T11/'4.1 Comptes 2021 natures'!T2</f>
        <v>37.167746478873241</v>
      </c>
      <c r="U11" s="4">
        <f>'4.1 Comptes 2021 natures'!U11/'4.1 Comptes 2021 natures'!U2</f>
        <v>47.936802973977699</v>
      </c>
      <c r="V11" s="4">
        <f>'4.1 Comptes 2021 natures'!V11/'4.1 Comptes 2021 natures'!V2</f>
        <v>113.28250000000001</v>
      </c>
      <c r="W11" s="4">
        <f>'4.1 Comptes 2021 natures'!W11/'4.1 Comptes 2021 natures'!W2</f>
        <v>110.61463301331682</v>
      </c>
      <c r="X11" s="4">
        <f>'4.1 Comptes 2021 natures'!X11/'4.1 Comptes 2021 natures'!X2</f>
        <v>24.068387096774192</v>
      </c>
      <c r="Y11" s="4">
        <f>'4.1 Comptes 2021 natures'!Y11/'4.1 Comptes 2021 natures'!Y2</f>
        <v>148.56629921259844</v>
      </c>
      <c r="Z11" s="4">
        <f>'4.1 Comptes 2021 natures'!Z11/'4.1 Comptes 2021 natures'!Z2</f>
        <v>171.45541168658698</v>
      </c>
      <c r="AA11" s="4">
        <f>'4.1 Comptes 2021 natures'!AA11/'4.1 Comptes 2021 natures'!AA2</f>
        <v>106.1203125</v>
      </c>
      <c r="AB11" s="4">
        <f>'4.1 Comptes 2021 natures'!AB11/'4.1 Comptes 2021 natures'!AB2</f>
        <v>40.356418918918919</v>
      </c>
      <c r="AC11" s="4">
        <f>'4.1 Comptes 2021 natures'!AC11/'4.1 Comptes 2021 natures'!AC2</f>
        <v>108.56978764478765</v>
      </c>
      <c r="AD11" s="4">
        <f>'4.1 Comptes 2021 natures'!AD11/'4.1 Comptes 2021 natures'!AD2</f>
        <v>122.220970042796</v>
      </c>
      <c r="AE11" s="4">
        <f>'4.1 Comptes 2021 natures'!AE11/'4.1 Comptes 2021 natures'!AE2</f>
        <v>86.164450354609926</v>
      </c>
      <c r="AF11" s="4">
        <f>'4.1 Comptes 2021 natures'!AF11/'4.1 Comptes 2021 natures'!AF2</f>
        <v>46.262285714285717</v>
      </c>
      <c r="AG11" s="4">
        <f>'4.1 Comptes 2021 natures'!AG11/'4.1 Comptes 2021 natures'!AG2</f>
        <v>90.980958617077007</v>
      </c>
      <c r="AH11" s="4">
        <f>'4.1 Comptes 2021 natures'!AH11/'4.1 Comptes 2021 natures'!AH2</f>
        <v>103.66356589147287</v>
      </c>
      <c r="AI11" s="4">
        <f>'4.1 Comptes 2021 natures'!AI11/'4.1 Comptes 2021 natures'!AI2</f>
        <v>76.118468468468464</v>
      </c>
      <c r="AJ11" s="4">
        <f>'4.1 Comptes 2021 natures'!AJ11/'4.1 Comptes 2021 natures'!AJ2</f>
        <v>65.046899224806197</v>
      </c>
      <c r="AK11" s="4">
        <f>'4.1 Comptes 2021 natures'!AK11/'4.1 Comptes 2021 natures'!AK2</f>
        <v>55.441089370703338</v>
      </c>
      <c r="AL11" s="4">
        <f>'4.1 Comptes 2021 natures'!AL11/'4.1 Comptes 2021 natures'!AL2</f>
        <v>99.398445825932498</v>
      </c>
      <c r="AM11" s="4">
        <f>'4.1 Comptes 2021 natures'!AM11/'4.1 Comptes 2021 natures'!AM2</f>
        <v>59.962448979591834</v>
      </c>
      <c r="AN11" s="4">
        <f>'4.1 Comptes 2021 natures'!AN11/'4.1 Comptes 2021 natures'!AN2</f>
        <v>98.636752136752136</v>
      </c>
      <c r="AO11" s="4">
        <f>'4.1 Comptes 2021 natures'!AO11/'4.1 Comptes 2021 natures'!AO2</f>
        <v>161.61088607594937</v>
      </c>
      <c r="AP11" s="4">
        <f>'4.1 Comptes 2021 natures'!AP11/'4.1 Comptes 2021 natures'!AP2</f>
        <v>189.15233644859813</v>
      </c>
      <c r="AQ11" s="4">
        <f>'4.1 Comptes 2021 natures'!AQ11/'4.1 Comptes 2021 natures'!AQ2</f>
        <v>49.397156398104265</v>
      </c>
      <c r="AR11" s="4">
        <f>'4.1 Comptes 2021 natures'!AR11/'4.1 Comptes 2021 natures'!AR2</f>
        <v>126.36207165109033</v>
      </c>
      <c r="AS11" s="4">
        <f>'4.1 Comptes 2021 natures'!AS11/'4.1 Comptes 2021 natures'!AS2</f>
        <v>91.901299589603298</v>
      </c>
      <c r="AT11" s="4">
        <f>'4.1 Comptes 2021 natures'!AT11/'4.1 Comptes 2021 natures'!AT2</f>
        <v>63.348671259842519</v>
      </c>
      <c r="AU11" s="4">
        <f>'4.1 Comptes 2021 natures'!AU11/'4.1 Comptes 2021 natures'!AU2</f>
        <v>54.59375</v>
      </c>
      <c r="AV11" s="4">
        <f>'4.1 Comptes 2021 natures'!AV11/'4.1 Comptes 2021 natures'!AV2</f>
        <v>73.124461028192371</v>
      </c>
      <c r="AW11" s="4">
        <f>'4.1 Comptes 2021 natures'!AW11/'4.1 Comptes 2021 natures'!AW2</f>
        <v>88.455714285714279</v>
      </c>
      <c r="AX11" s="4">
        <f>'4.1 Comptes 2021 natures'!AX11/'4.1 Comptes 2021 natures'!AX2</f>
        <v>64.211621621621617</v>
      </c>
      <c r="AY11" s="4">
        <f>'4.1 Comptes 2021 natures'!AY11/'4.1 Comptes 2021 natures'!AY2</f>
        <v>58.603235294117646</v>
      </c>
      <c r="AZ11" s="4">
        <f>'4.1 Comptes 2021 natures'!AZ11/'4.1 Comptes 2021 natures'!AZ2</f>
        <v>85.568120212139078</v>
      </c>
      <c r="BA11" s="4">
        <f>'4.1 Comptes 2021 natures'!BA11/'4.1 Comptes 2021 natures'!BA2</f>
        <v>49.668897435897435</v>
      </c>
      <c r="BB11" s="4">
        <f>'4.1 Comptes 2021 natures'!BB11/'4.1 Comptes 2021 natures'!BB2</f>
        <v>184.18639328984156</v>
      </c>
      <c r="BC11" s="4">
        <f>'4.1 Comptes 2021 natures'!BC11/'4.1 Comptes 2021 natures'!BC2</f>
        <v>56.167282608695658</v>
      </c>
      <c r="BD11" s="4">
        <f>'4.1 Comptes 2021 natures'!BD11/'4.1 Comptes 2021 natures'!BD2</f>
        <v>271.20033405505723</v>
      </c>
      <c r="BE11" s="4">
        <f>'4.1 Comptes 2021 natures'!BE11/'4.1 Comptes 2021 natures'!BE2</f>
        <v>85.959660107334514</v>
      </c>
      <c r="BF11" s="4">
        <f t="shared" si="2"/>
        <v>4975.0594713478577</v>
      </c>
      <c r="BG11" s="4">
        <f t="shared" si="3"/>
        <v>1718.5146282998962</v>
      </c>
      <c r="BH11" s="4">
        <f t="shared" si="4"/>
        <v>1189.5942153731824</v>
      </c>
      <c r="BI11" s="4">
        <f t="shared" si="5"/>
        <v>2066.9506276747788</v>
      </c>
    </row>
    <row r="12" spans="1:61" x14ac:dyDescent="0.25">
      <c r="C12">
        <v>306</v>
      </c>
      <c r="D12" t="s">
        <v>85</v>
      </c>
      <c r="E12" s="4">
        <f>'4.1 Comptes 2021 natures'!E12/'4.1 Comptes 2021 natures'!E2</f>
        <v>0</v>
      </c>
      <c r="F12" s="4">
        <f>'4.1 Comptes 2021 natures'!F12/'4.1 Comptes 2021 natures'!F2</f>
        <v>0</v>
      </c>
      <c r="G12" s="4">
        <f>'4.1 Comptes 2021 natures'!G12/'4.1 Comptes 2021 natures'!G2</f>
        <v>0</v>
      </c>
      <c r="H12" s="4">
        <f>'4.1 Comptes 2021 natures'!H12/'4.1 Comptes 2021 natures'!H2</f>
        <v>0</v>
      </c>
      <c r="I12" s="4">
        <f>'4.1 Comptes 2021 natures'!I12/'4.1 Comptes 2021 natures'!I2</f>
        <v>0.8127011802575107</v>
      </c>
      <c r="J12" s="4">
        <f>'4.1 Comptes 2021 natures'!J12/'4.1 Comptes 2021 natures'!J2</f>
        <v>0</v>
      </c>
      <c r="K12" s="4">
        <f>'4.1 Comptes 2021 natures'!K12/'4.1 Comptes 2021 natures'!K2</f>
        <v>0</v>
      </c>
      <c r="L12" s="4">
        <f>'4.1 Comptes 2021 natures'!L12/'4.1 Comptes 2021 natures'!L2</f>
        <v>4.1382883243849662</v>
      </c>
      <c r="M12" s="4">
        <f>'4.1 Comptes 2021 natures'!M12/'4.1 Comptes 2021 natures'!M2</f>
        <v>0</v>
      </c>
      <c r="N12" s="4">
        <f>'4.1 Comptes 2021 natures'!N12/'4.1 Comptes 2021 natures'!N2</f>
        <v>0</v>
      </c>
      <c r="O12" s="4">
        <f>'4.1 Comptes 2021 natures'!O12/'4.1 Comptes 2021 natures'!O2</f>
        <v>0</v>
      </c>
      <c r="P12" s="4">
        <f>'4.1 Comptes 2021 natures'!P12/'4.1 Comptes 2021 natures'!P2</f>
        <v>0</v>
      </c>
      <c r="Q12" s="4">
        <f>'4.1 Comptes 2021 natures'!Q12/'4.1 Comptes 2021 natures'!Q2</f>
        <v>0</v>
      </c>
      <c r="R12" s="4">
        <f>'4.1 Comptes 2021 natures'!R12/'4.1 Comptes 2021 natures'!R2</f>
        <v>0</v>
      </c>
      <c r="S12" s="4">
        <f>'4.1 Comptes 2021 natures'!S12/'4.1 Comptes 2021 natures'!S2</f>
        <v>0</v>
      </c>
      <c r="T12" s="4">
        <f>'4.1 Comptes 2021 natures'!T12/'4.1 Comptes 2021 natures'!T2</f>
        <v>0</v>
      </c>
      <c r="U12" s="4">
        <f>'4.1 Comptes 2021 natures'!U12/'4.1 Comptes 2021 natures'!U2</f>
        <v>0</v>
      </c>
      <c r="V12" s="4">
        <f>'4.1 Comptes 2021 natures'!V12/'4.1 Comptes 2021 natures'!V2</f>
        <v>0</v>
      </c>
      <c r="W12" s="4">
        <f>'4.1 Comptes 2021 natures'!W12/'4.1 Comptes 2021 natures'!W2</f>
        <v>0</v>
      </c>
      <c r="X12" s="4">
        <f>'4.1 Comptes 2021 natures'!X12/'4.1 Comptes 2021 natures'!X2</f>
        <v>0</v>
      </c>
      <c r="Y12" s="4">
        <f>'4.1 Comptes 2021 natures'!Y12/'4.1 Comptes 2021 natures'!Y2</f>
        <v>0</v>
      </c>
      <c r="Z12" s="4">
        <f>'4.1 Comptes 2021 natures'!Z12/'4.1 Comptes 2021 natures'!Z2</f>
        <v>0.33200531208499334</v>
      </c>
      <c r="AA12" s="4">
        <f>'4.1 Comptes 2021 natures'!AA12/'4.1 Comptes 2021 natures'!AA2</f>
        <v>0</v>
      </c>
      <c r="AB12" s="4">
        <f>'4.1 Comptes 2021 natures'!AB12/'4.1 Comptes 2021 natures'!AB2</f>
        <v>0</v>
      </c>
      <c r="AC12" s="4">
        <f>'4.1 Comptes 2021 natures'!AC12/'4.1 Comptes 2021 natures'!AC2</f>
        <v>0</v>
      </c>
      <c r="AD12" s="4">
        <f>'4.1 Comptes 2021 natures'!AD12/'4.1 Comptes 2021 natures'!AD2</f>
        <v>0</v>
      </c>
      <c r="AE12" s="4">
        <f>'4.1 Comptes 2021 natures'!AE12/'4.1 Comptes 2021 natures'!AE2</f>
        <v>8.1560283687943258</v>
      </c>
      <c r="AF12" s="4">
        <f>'4.1 Comptes 2021 natures'!AF12/'4.1 Comptes 2021 natures'!AF2</f>
        <v>0</v>
      </c>
      <c r="AG12" s="4">
        <f>'4.1 Comptes 2021 natures'!AG12/'4.1 Comptes 2021 natures'!AG2</f>
        <v>0</v>
      </c>
      <c r="AH12" s="4">
        <f>'4.1 Comptes 2021 natures'!AH12/'4.1 Comptes 2021 natures'!AH2</f>
        <v>0</v>
      </c>
      <c r="AI12" s="4">
        <f>'4.1 Comptes 2021 natures'!AI12/'4.1 Comptes 2021 natures'!AI2</f>
        <v>0</v>
      </c>
      <c r="AJ12" s="4">
        <f>'4.1 Comptes 2021 natures'!AJ12/'4.1 Comptes 2021 natures'!AJ2</f>
        <v>0</v>
      </c>
      <c r="AK12" s="4">
        <f>'4.1 Comptes 2021 natures'!AK12/'4.1 Comptes 2021 natures'!AK2</f>
        <v>0</v>
      </c>
      <c r="AL12" s="4">
        <f>'4.1 Comptes 2021 natures'!AL12/'4.1 Comptes 2021 natures'!AL2</f>
        <v>0</v>
      </c>
      <c r="AM12" s="4">
        <f>'4.1 Comptes 2021 natures'!AM12/'4.1 Comptes 2021 natures'!AM2</f>
        <v>1.7469387755102042</v>
      </c>
      <c r="AN12" s="4">
        <f>'4.1 Comptes 2021 natures'!AN12/'4.1 Comptes 2021 natures'!AN2</f>
        <v>0</v>
      </c>
      <c r="AO12" s="4">
        <f>'4.1 Comptes 2021 natures'!AO12/'4.1 Comptes 2021 natures'!AO2</f>
        <v>0</v>
      </c>
      <c r="AP12" s="4">
        <f>'4.1 Comptes 2021 natures'!AP12/'4.1 Comptes 2021 natures'!AP2</f>
        <v>0</v>
      </c>
      <c r="AQ12" s="4">
        <f>'4.1 Comptes 2021 natures'!AQ12/'4.1 Comptes 2021 natures'!AQ2</f>
        <v>0</v>
      </c>
      <c r="AR12" s="4">
        <f>'4.1 Comptes 2021 natures'!AR12/'4.1 Comptes 2021 natures'!AR2</f>
        <v>0</v>
      </c>
      <c r="AS12" s="4">
        <f>'4.1 Comptes 2021 natures'!AS12/'4.1 Comptes 2021 natures'!AS2</f>
        <v>0</v>
      </c>
      <c r="AT12" s="4">
        <f>'4.1 Comptes 2021 natures'!AT12/'4.1 Comptes 2021 natures'!AT2</f>
        <v>0</v>
      </c>
      <c r="AU12" s="4">
        <f>'4.1 Comptes 2021 natures'!AU12/'4.1 Comptes 2021 natures'!AU2</f>
        <v>0</v>
      </c>
      <c r="AV12" s="4">
        <f>'4.1 Comptes 2021 natures'!AV12/'4.1 Comptes 2021 natures'!AV2</f>
        <v>0</v>
      </c>
      <c r="AW12" s="4">
        <f>'4.1 Comptes 2021 natures'!AW12/'4.1 Comptes 2021 natures'!AW2</f>
        <v>0</v>
      </c>
      <c r="AX12" s="4">
        <f>'4.1 Comptes 2021 natures'!AX12/'4.1 Comptes 2021 natures'!AX2</f>
        <v>0</v>
      </c>
      <c r="AY12" s="4">
        <f>'4.1 Comptes 2021 natures'!AY12/'4.1 Comptes 2021 natures'!AY2</f>
        <v>0</v>
      </c>
      <c r="AZ12" s="4">
        <f>'4.1 Comptes 2021 natures'!AZ12/'4.1 Comptes 2021 natures'!AZ2</f>
        <v>0</v>
      </c>
      <c r="BA12" s="4">
        <f>'4.1 Comptes 2021 natures'!BA12/'4.1 Comptes 2021 natures'!BA2</f>
        <v>0</v>
      </c>
      <c r="BB12" s="4">
        <f>'4.1 Comptes 2021 natures'!BB12/'4.1 Comptes 2021 natures'!BB2</f>
        <v>0</v>
      </c>
      <c r="BC12" s="4">
        <f>'4.1 Comptes 2021 natures'!BC12/'4.1 Comptes 2021 natures'!BC2</f>
        <v>0</v>
      </c>
      <c r="BD12" s="4">
        <f>'4.1 Comptes 2021 natures'!BD12/'4.1 Comptes 2021 natures'!BD2</f>
        <v>0</v>
      </c>
      <c r="BE12" s="4">
        <f>'4.1 Comptes 2021 natures'!BE12/'4.1 Comptes 2021 natures'!BE2</f>
        <v>0</v>
      </c>
      <c r="BF12" s="4">
        <f t="shared" si="2"/>
        <v>15.185961961032</v>
      </c>
      <c r="BG12" s="4">
        <f t="shared" si="3"/>
        <v>4.950989504642477</v>
      </c>
      <c r="BH12" s="4">
        <f t="shared" si="4"/>
        <v>8.4880336808793189</v>
      </c>
      <c r="BI12" s="4">
        <f t="shared" si="5"/>
        <v>1.7469387755102042</v>
      </c>
    </row>
    <row r="13" spans="1:61" x14ac:dyDescent="0.25">
      <c r="C13">
        <v>309</v>
      </c>
      <c r="D13" t="s">
        <v>86</v>
      </c>
      <c r="E13" s="4">
        <f>'4.1 Comptes 2021 natures'!E13/'4.1 Comptes 2021 natures'!E2</f>
        <v>0.80464625131995771</v>
      </c>
      <c r="F13" s="4">
        <f>'4.1 Comptes 2021 natures'!F13/'4.1 Comptes 2021 natures'!F2</f>
        <v>0.18150943396226416</v>
      </c>
      <c r="G13" s="4">
        <f>'4.1 Comptes 2021 natures'!G13/'4.1 Comptes 2021 natures'!G2</f>
        <v>0.21748400852878466</v>
      </c>
      <c r="H13" s="4">
        <f>'4.1 Comptes 2021 natures'!H13/'4.1 Comptes 2021 natures'!H2</f>
        <v>0</v>
      </c>
      <c r="I13" s="4">
        <f>'4.1 Comptes 2021 natures'!I13/'4.1 Comptes 2021 natures'!I2</f>
        <v>3.4217945278969961</v>
      </c>
      <c r="J13" s="4">
        <f>'4.1 Comptes 2021 natures'!J13/'4.1 Comptes 2021 natures'!J2</f>
        <v>5.9267234678624812</v>
      </c>
      <c r="K13" s="4">
        <f>'4.1 Comptes 2021 natures'!K13/'4.1 Comptes 2021 natures'!K2</f>
        <v>4.1464555052790342</v>
      </c>
      <c r="L13" s="4">
        <f>'4.1 Comptes 2021 natures'!L13/'4.1 Comptes 2021 natures'!L2</f>
        <v>14.204488340411892</v>
      </c>
      <c r="M13" s="4">
        <f>'4.1 Comptes 2021 natures'!M13/'4.1 Comptes 2021 natures'!M2</f>
        <v>7.6200515084621046</v>
      </c>
      <c r="N13" s="4">
        <f>'4.1 Comptes 2021 natures'!N13/'4.1 Comptes 2021 natures'!N2</f>
        <v>13.162393162393162</v>
      </c>
      <c r="O13" s="4">
        <f>'4.1 Comptes 2021 natures'!O13/'4.1 Comptes 2021 natures'!O2</f>
        <v>4.8742046550061975</v>
      </c>
      <c r="P13" s="4">
        <f>'4.1 Comptes 2021 natures'!P13/'4.1 Comptes 2021 natures'!P2</f>
        <v>6.9360594795539035</v>
      </c>
      <c r="Q13" s="4">
        <f>'4.1 Comptes 2021 natures'!Q13/'4.1 Comptes 2021 natures'!Q2</f>
        <v>15.268918918918919</v>
      </c>
      <c r="R13" s="4">
        <f>'4.1 Comptes 2021 natures'!R13/'4.1 Comptes 2021 natures'!R2</f>
        <v>3.6524940617577197</v>
      </c>
      <c r="S13" s="4">
        <f>'4.1 Comptes 2021 natures'!S13/'4.1 Comptes 2021 natures'!S2</f>
        <v>18.754335260115607</v>
      </c>
      <c r="T13" s="4">
        <f>'4.1 Comptes 2021 natures'!T13/'4.1 Comptes 2021 natures'!T2</f>
        <v>0.19866197183098594</v>
      </c>
      <c r="U13" s="4">
        <f>'4.1 Comptes 2021 natures'!U13/'4.1 Comptes 2021 natures'!U2</f>
        <v>14.12639405204461</v>
      </c>
      <c r="V13" s="4">
        <f>'4.1 Comptes 2021 natures'!V13/'4.1 Comptes 2021 natures'!V2</f>
        <v>2.2944318181818182</v>
      </c>
      <c r="W13" s="4">
        <f>'4.1 Comptes 2021 natures'!W13/'4.1 Comptes 2021 natures'!W2</f>
        <v>5.8540569835862497</v>
      </c>
      <c r="X13" s="4">
        <f>'4.1 Comptes 2021 natures'!X13/'4.1 Comptes 2021 natures'!X2</f>
        <v>3.5483870967741935</v>
      </c>
      <c r="Y13" s="4">
        <f>'4.1 Comptes 2021 natures'!Y13/'4.1 Comptes 2021 natures'!Y2</f>
        <v>5.9489370078740151</v>
      </c>
      <c r="Z13" s="4">
        <f>'4.1 Comptes 2021 natures'!Z13/'4.1 Comptes 2021 natures'!Z2</f>
        <v>8.6335657370517929</v>
      </c>
      <c r="AA13" s="4">
        <f>'4.1 Comptes 2021 natures'!AA13/'4.1 Comptes 2021 natures'!AA2</f>
        <v>0</v>
      </c>
      <c r="AB13" s="4">
        <f>'4.1 Comptes 2021 natures'!AB13/'4.1 Comptes 2021 natures'!AB2</f>
        <v>0</v>
      </c>
      <c r="AC13" s="4">
        <f>'4.1 Comptes 2021 natures'!AC13/'4.1 Comptes 2021 natures'!AC2</f>
        <v>12.348455598455599</v>
      </c>
      <c r="AD13" s="4">
        <f>'4.1 Comptes 2021 natures'!AD13/'4.1 Comptes 2021 natures'!AD2</f>
        <v>19.508987161198288</v>
      </c>
      <c r="AE13" s="4">
        <f>'4.1 Comptes 2021 natures'!AE13/'4.1 Comptes 2021 natures'!AE2</f>
        <v>8.1055851063829785</v>
      </c>
      <c r="AF13" s="4">
        <f>'4.1 Comptes 2021 natures'!AF13/'4.1 Comptes 2021 natures'!AF2</f>
        <v>2.757047619047619</v>
      </c>
      <c r="AG13" s="4">
        <f>'4.1 Comptes 2021 natures'!AG13/'4.1 Comptes 2021 natures'!AG2</f>
        <v>5.8055002619172349</v>
      </c>
      <c r="AH13" s="4">
        <f>'4.1 Comptes 2021 natures'!AH13/'4.1 Comptes 2021 natures'!AH2</f>
        <v>4.6732945736434113</v>
      </c>
      <c r="AI13" s="4">
        <f>'4.1 Comptes 2021 natures'!AI13/'4.1 Comptes 2021 natures'!AI2</f>
        <v>0</v>
      </c>
      <c r="AJ13" s="4">
        <f>'4.1 Comptes 2021 natures'!AJ13/'4.1 Comptes 2021 natures'!AJ2</f>
        <v>0</v>
      </c>
      <c r="AK13" s="4">
        <f>'4.1 Comptes 2021 natures'!AK13/'4.1 Comptes 2021 natures'!AK2</f>
        <v>1.8046377578001058</v>
      </c>
      <c r="AL13" s="4">
        <f>'4.1 Comptes 2021 natures'!AL13/'4.1 Comptes 2021 natures'!AL2</f>
        <v>0.71047957371225579</v>
      </c>
      <c r="AM13" s="4">
        <f>'4.1 Comptes 2021 natures'!AM13/'4.1 Comptes 2021 natures'!AM2</f>
        <v>0.76302040816326533</v>
      </c>
      <c r="AN13" s="4">
        <f>'4.1 Comptes 2021 natures'!AN13/'4.1 Comptes 2021 natures'!AN2</f>
        <v>0.14427350427350427</v>
      </c>
      <c r="AO13" s="4">
        <f>'4.1 Comptes 2021 natures'!AO13/'4.1 Comptes 2021 natures'!AO2</f>
        <v>16.386666666666667</v>
      </c>
      <c r="AP13" s="4">
        <f>'4.1 Comptes 2021 natures'!AP13/'4.1 Comptes 2021 natures'!AP2</f>
        <v>7.4195482866043623</v>
      </c>
      <c r="AQ13" s="4">
        <f>'4.1 Comptes 2021 natures'!AQ13/'4.1 Comptes 2021 natures'!AQ2</f>
        <v>2.4785939968404422</v>
      </c>
      <c r="AR13" s="4">
        <f>'4.1 Comptes 2021 natures'!AR13/'4.1 Comptes 2021 natures'!AR2</f>
        <v>6.3881230529595019</v>
      </c>
      <c r="AS13" s="4">
        <f>'4.1 Comptes 2021 natures'!AS13/'4.1 Comptes 2021 natures'!AS2</f>
        <v>2.2447332421340631</v>
      </c>
      <c r="AT13" s="4">
        <f>'4.1 Comptes 2021 natures'!AT13/'4.1 Comptes 2021 natures'!AT2</f>
        <v>13.34611220472441</v>
      </c>
      <c r="AU13" s="4">
        <f>'4.1 Comptes 2021 natures'!AU13/'4.1 Comptes 2021 natures'!AU2</f>
        <v>9.1751644736842106</v>
      </c>
      <c r="AV13" s="4">
        <f>'4.1 Comptes 2021 natures'!AV13/'4.1 Comptes 2021 natures'!AV2</f>
        <v>4.3364842454394692</v>
      </c>
      <c r="AW13" s="4">
        <f>'4.1 Comptes 2021 natures'!AW13/'4.1 Comptes 2021 natures'!AW2</f>
        <v>24.222176870748299</v>
      </c>
      <c r="AX13" s="4">
        <f>'4.1 Comptes 2021 natures'!AX13/'4.1 Comptes 2021 natures'!AX2</f>
        <v>4.0935135135135132</v>
      </c>
      <c r="AY13" s="4">
        <f>'4.1 Comptes 2021 natures'!AY13/'4.1 Comptes 2021 natures'!AY2</f>
        <v>1.9511764705882353</v>
      </c>
      <c r="AZ13" s="4">
        <f>'4.1 Comptes 2021 natures'!AZ13/'4.1 Comptes 2021 natures'!AZ2</f>
        <v>2.5455509723040661</v>
      </c>
      <c r="BA13" s="4">
        <f>'4.1 Comptes 2021 natures'!BA13/'4.1 Comptes 2021 natures'!BA2</f>
        <v>11.084999999999999</v>
      </c>
      <c r="BB13" s="4">
        <f>'4.1 Comptes 2021 natures'!BB13/'4.1 Comptes 2021 natures'!BB2</f>
        <v>12.423485554520036</v>
      </c>
      <c r="BC13" s="4">
        <f>'4.1 Comptes 2021 natures'!BC13/'4.1 Comptes 2021 natures'!BC2</f>
        <v>4.1885869565217391</v>
      </c>
      <c r="BD13" s="4">
        <f>'4.1 Comptes 2021 natures'!BD13/'4.1 Comptes 2021 natures'!BD2</f>
        <v>12.576096504794307</v>
      </c>
      <c r="BE13" s="4">
        <f>'4.1 Comptes 2021 natures'!BE13/'4.1 Comptes 2021 natures'!BE2</f>
        <v>0.75</v>
      </c>
      <c r="BF13" s="4">
        <f t="shared" si="2"/>
        <v>332.00828782545022</v>
      </c>
      <c r="BG13" s="4">
        <f t="shared" si="3"/>
        <v>121.64510340711267</v>
      </c>
      <c r="BH13" s="4">
        <f t="shared" si="4"/>
        <v>71.329760162345138</v>
      </c>
      <c r="BI13" s="4">
        <f t="shared" si="5"/>
        <v>139.03342425599249</v>
      </c>
    </row>
    <row r="14" spans="1:61" x14ac:dyDescent="0.25">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row>
    <row r="15" spans="1:61" x14ac:dyDescent="0.25">
      <c r="B15" s="76">
        <v>31</v>
      </c>
      <c r="C15" s="76"/>
      <c r="D15" s="76" t="s">
        <v>87</v>
      </c>
      <c r="E15" s="77">
        <f>E16+E17+E18+E19+E20+E21+E22+E23+E24+E25</f>
        <v>580.59492080253438</v>
      </c>
      <c r="F15" s="77">
        <f t="shared" ref="F15:BI15" si="6">F16+F17+F18+F19+F20+F21+F22+F23+F24+F25</f>
        <v>960.44720754716968</v>
      </c>
      <c r="G15" s="77">
        <f t="shared" si="6"/>
        <v>529.67609808102338</v>
      </c>
      <c r="H15" s="77">
        <f t="shared" si="6"/>
        <v>935.93526195899767</v>
      </c>
      <c r="I15" s="77">
        <f t="shared" si="6"/>
        <v>823.22015021459208</v>
      </c>
      <c r="J15" s="77">
        <f t="shared" si="6"/>
        <v>651.68950074738405</v>
      </c>
      <c r="K15" s="77">
        <f t="shared" si="6"/>
        <v>577.03578054298646</v>
      </c>
      <c r="L15" s="77">
        <f t="shared" si="6"/>
        <v>1798.361136308999</v>
      </c>
      <c r="M15" s="77">
        <f t="shared" si="6"/>
        <v>1472.2938999264168</v>
      </c>
      <c r="N15" s="77">
        <f t="shared" si="6"/>
        <v>689.29256410256403</v>
      </c>
      <c r="O15" s="77">
        <f t="shared" si="6"/>
        <v>560.81981132075475</v>
      </c>
      <c r="P15" s="77">
        <f t="shared" si="6"/>
        <v>657.63499999999999</v>
      </c>
      <c r="Q15" s="77">
        <f t="shared" si="6"/>
        <v>878.75882882882877</v>
      </c>
      <c r="R15" s="77">
        <f t="shared" si="6"/>
        <v>536.53007125890736</v>
      </c>
      <c r="S15" s="77">
        <f t="shared" si="6"/>
        <v>747.06424855491343</v>
      </c>
      <c r="T15" s="77">
        <f t="shared" si="6"/>
        <v>934.44278873239443</v>
      </c>
      <c r="U15" s="77">
        <f t="shared" si="6"/>
        <v>830.09609665427502</v>
      </c>
      <c r="V15" s="77">
        <f t="shared" si="6"/>
        <v>1438.8415227272731</v>
      </c>
      <c r="W15" s="77">
        <f t="shared" si="6"/>
        <v>599.95106534530805</v>
      </c>
      <c r="X15" s="77">
        <f t="shared" si="6"/>
        <v>1563.6109032258064</v>
      </c>
      <c r="Y15" s="77">
        <f t="shared" si="6"/>
        <v>882.55037007874023</v>
      </c>
      <c r="Z15" s="77">
        <f t="shared" si="6"/>
        <v>1694.3929282868528</v>
      </c>
      <c r="AA15" s="77">
        <f t="shared" si="6"/>
        <v>1661.1707291666664</v>
      </c>
      <c r="AB15" s="77">
        <f t="shared" si="6"/>
        <v>1375.8593243243245</v>
      </c>
      <c r="AC15" s="77">
        <f t="shared" si="6"/>
        <v>1556.8249034749037</v>
      </c>
      <c r="AD15" s="77">
        <f t="shared" si="6"/>
        <v>1380.9928530670472</v>
      </c>
      <c r="AE15" s="77">
        <f t="shared" si="6"/>
        <v>1686.3415248226952</v>
      </c>
      <c r="AF15" s="77">
        <f t="shared" si="6"/>
        <v>1752.4546285714287</v>
      </c>
      <c r="AG15" s="77">
        <f t="shared" si="6"/>
        <v>1011.7350759559978</v>
      </c>
      <c r="AH15" s="77">
        <f t="shared" si="6"/>
        <v>985.12375581395349</v>
      </c>
      <c r="AI15" s="77">
        <f t="shared" si="6"/>
        <v>1734.3888288288288</v>
      </c>
      <c r="AJ15" s="77">
        <f t="shared" si="6"/>
        <v>1305.7117829457366</v>
      </c>
      <c r="AK15" s="77">
        <f t="shared" si="6"/>
        <v>508.08562136435751</v>
      </c>
      <c r="AL15" s="77">
        <f t="shared" si="6"/>
        <v>1011.6019005328595</v>
      </c>
      <c r="AM15" s="77">
        <f t="shared" si="6"/>
        <v>918.76071020408165</v>
      </c>
      <c r="AN15" s="77">
        <f t="shared" si="6"/>
        <v>1437.8387179487179</v>
      </c>
      <c r="AO15" s="77">
        <f t="shared" si="6"/>
        <v>1611.0059831223627</v>
      </c>
      <c r="AP15" s="77">
        <f t="shared" si="6"/>
        <v>1048.812180685358</v>
      </c>
      <c r="AQ15" s="77">
        <f t="shared" si="6"/>
        <v>647.9730963665088</v>
      </c>
      <c r="AR15" s="77">
        <f t="shared" si="6"/>
        <v>1150.8654906542056</v>
      </c>
      <c r="AS15" s="77">
        <f t="shared" si="6"/>
        <v>754.68233926128607</v>
      </c>
      <c r="AT15" s="77">
        <f t="shared" si="6"/>
        <v>737.5873622047244</v>
      </c>
      <c r="AU15" s="77">
        <f t="shared" si="6"/>
        <v>1080.849375</v>
      </c>
      <c r="AV15" s="77">
        <f t="shared" si="6"/>
        <v>570.29215174129365</v>
      </c>
      <c r="AW15" s="77">
        <f t="shared" si="6"/>
        <v>829.27907482993214</v>
      </c>
      <c r="AX15" s="77">
        <f t="shared" si="6"/>
        <v>596.83086486486491</v>
      </c>
      <c r="AY15" s="77">
        <f t="shared" si="6"/>
        <v>1093.3549411764707</v>
      </c>
      <c r="AZ15" s="77">
        <f t="shared" si="6"/>
        <v>683.78269298762518</v>
      </c>
      <c r="BA15" s="77">
        <f t="shared" si="6"/>
        <v>969.01161538461531</v>
      </c>
      <c r="BB15" s="77">
        <f t="shared" si="6"/>
        <v>1062.2382479030753</v>
      </c>
      <c r="BC15" s="77">
        <f t="shared" si="6"/>
        <v>724.63532608695652</v>
      </c>
      <c r="BD15" s="77">
        <f t="shared" si="6"/>
        <v>1007.7736081039282</v>
      </c>
      <c r="BE15" s="77">
        <f t="shared" si="6"/>
        <v>731.90486583184259</v>
      </c>
      <c r="BF15" s="77">
        <f t="shared" si="6"/>
        <v>53971.009728473364</v>
      </c>
      <c r="BG15" s="77">
        <f t="shared" si="6"/>
        <v>16202.685953655322</v>
      </c>
      <c r="BH15" s="77">
        <f t="shared" si="6"/>
        <v>18591.157608562986</v>
      </c>
      <c r="BI15" s="77">
        <f t="shared" si="6"/>
        <v>19177.166166255061</v>
      </c>
    </row>
    <row r="16" spans="1:61" x14ac:dyDescent="0.25">
      <c r="C16">
        <v>310</v>
      </c>
      <c r="D16" t="s">
        <v>88</v>
      </c>
      <c r="E16" s="4">
        <f>'4.1 Comptes 2021 natures'!E16/'4.1 Comptes 2021 natures'!E2</f>
        <v>87.623600844772966</v>
      </c>
      <c r="F16" s="4">
        <f>'4.1 Comptes 2021 natures'!F16/'4.1 Comptes 2021 natures'!F2</f>
        <v>71.875660377358486</v>
      </c>
      <c r="G16" s="4">
        <f>'4.1 Comptes 2021 natures'!G16/'4.1 Comptes 2021 natures'!G2</f>
        <v>53.443816631130069</v>
      </c>
      <c r="H16" s="4">
        <f>'4.1 Comptes 2021 natures'!H16/'4.1 Comptes 2021 natures'!H2</f>
        <v>81.747107061503428</v>
      </c>
      <c r="I16" s="4">
        <f>'4.1 Comptes 2021 natures'!I16/'4.1 Comptes 2021 natures'!I2</f>
        <v>90.508095493562223</v>
      </c>
      <c r="J16" s="4">
        <f>'4.1 Comptes 2021 natures'!J16/'4.1 Comptes 2021 natures'!J2</f>
        <v>75.983632286995515</v>
      </c>
      <c r="K16" s="4">
        <f>'4.1 Comptes 2021 natures'!K16/'4.1 Comptes 2021 natures'!K2</f>
        <v>66.015799396681743</v>
      </c>
      <c r="L16" s="4">
        <f>'4.1 Comptes 2021 natures'!L16/'4.1 Comptes 2021 natures'!L2</f>
        <v>172.07650052087507</v>
      </c>
      <c r="M16" s="4">
        <f>'4.1 Comptes 2021 natures'!M16/'4.1 Comptes 2021 natures'!M2</f>
        <v>134.16771891096394</v>
      </c>
      <c r="N16" s="4">
        <f>'4.1 Comptes 2021 natures'!N16/'4.1 Comptes 2021 natures'!N2</f>
        <v>62.833333333333336</v>
      </c>
      <c r="O16" s="4">
        <f>'4.1 Comptes 2021 natures'!O16/'4.1 Comptes 2021 natures'!O2</f>
        <v>83.542938989119961</v>
      </c>
      <c r="P16" s="4">
        <f>'4.1 Comptes 2021 natures'!P16/'4.1 Comptes 2021 natures'!P2</f>
        <v>99.998513011152411</v>
      </c>
      <c r="Q16" s="4">
        <f>'4.1 Comptes 2021 natures'!Q16/'4.1 Comptes 2021 natures'!Q2</f>
        <v>67.913513513513507</v>
      </c>
      <c r="R16" s="4">
        <f>'4.1 Comptes 2021 natures'!R16/'4.1 Comptes 2021 natures'!R2</f>
        <v>77.260166270783841</v>
      </c>
      <c r="S16" s="4">
        <f>'4.1 Comptes 2021 natures'!S16/'4.1 Comptes 2021 natures'!S2</f>
        <v>76.554046242774575</v>
      </c>
      <c r="T16" s="4">
        <f>'4.1 Comptes 2021 natures'!T16/'4.1 Comptes 2021 natures'!T2</f>
        <v>76.184788732394367</v>
      </c>
      <c r="U16" s="4">
        <f>'4.1 Comptes 2021 natures'!U16/'4.1 Comptes 2021 natures'!U2</f>
        <v>81.832081784386617</v>
      </c>
      <c r="V16" s="4">
        <f>'4.1 Comptes 2021 natures'!V16/'4.1 Comptes 2021 natures'!V2</f>
        <v>115.66295454545454</v>
      </c>
      <c r="W16" s="4">
        <f>'4.1 Comptes 2021 natures'!W16/'4.1 Comptes 2021 natures'!W2</f>
        <v>77.191817900278721</v>
      </c>
      <c r="X16" s="4">
        <f>'4.1 Comptes 2021 natures'!X16/'4.1 Comptes 2021 natures'!X2</f>
        <v>287.60235483870969</v>
      </c>
      <c r="Y16" s="4">
        <f>'4.1 Comptes 2021 natures'!Y16/'4.1 Comptes 2021 natures'!Y2</f>
        <v>100.59630708661417</v>
      </c>
      <c r="Z16" s="4">
        <f>'4.1 Comptes 2021 natures'!Z16/'4.1 Comptes 2021 natures'!Z2</f>
        <v>182.01492031872507</v>
      </c>
      <c r="AA16" s="4">
        <f>'4.1 Comptes 2021 natures'!AA16/'4.1 Comptes 2021 natures'!AA2</f>
        <v>26.488229166666667</v>
      </c>
      <c r="AB16" s="4">
        <f>'4.1 Comptes 2021 natures'!AB16/'4.1 Comptes 2021 natures'!AB2</f>
        <v>198.00540540540541</v>
      </c>
      <c r="AC16" s="4">
        <f>'4.1 Comptes 2021 natures'!AC16/'4.1 Comptes 2021 natures'!AC2</f>
        <v>161.90870656370657</v>
      </c>
      <c r="AD16" s="4">
        <f>'4.1 Comptes 2021 natures'!AD16/'4.1 Comptes 2021 natures'!AD2</f>
        <v>97.346005706134093</v>
      </c>
      <c r="AE16" s="4">
        <f>'4.1 Comptes 2021 natures'!AE16/'4.1 Comptes 2021 natures'!AE2</f>
        <v>125.68891843971632</v>
      </c>
      <c r="AF16" s="4">
        <f>'4.1 Comptes 2021 natures'!AF16/'4.1 Comptes 2021 natures'!AF2</f>
        <v>210.38683809523809</v>
      </c>
      <c r="AG16" s="4">
        <f>'4.1 Comptes 2021 natures'!AG16/'4.1 Comptes 2021 natures'!AG2</f>
        <v>126.28105814562599</v>
      </c>
      <c r="AH16" s="4">
        <f>'4.1 Comptes 2021 natures'!AH16/'4.1 Comptes 2021 natures'!AH2</f>
        <v>155.9828410852713</v>
      </c>
      <c r="AI16" s="4">
        <f>'4.1 Comptes 2021 natures'!AI16/'4.1 Comptes 2021 natures'!AI2</f>
        <v>41.882882882882882</v>
      </c>
      <c r="AJ16" s="4">
        <f>'4.1 Comptes 2021 natures'!AJ16/'4.1 Comptes 2021 natures'!AJ2</f>
        <v>165.1632558139535</v>
      </c>
      <c r="AK16" s="4">
        <f>'4.1 Comptes 2021 natures'!AK16/'4.1 Comptes 2021 natures'!AK2</f>
        <v>97.917609730301436</v>
      </c>
      <c r="AL16" s="4">
        <f>'4.1 Comptes 2021 natures'!AL16/'4.1 Comptes 2021 natures'!AL2</f>
        <v>65.071234458259326</v>
      </c>
      <c r="AM16" s="4">
        <f>'4.1 Comptes 2021 natures'!AM16/'4.1 Comptes 2021 natures'!AM2</f>
        <v>60.738244897959191</v>
      </c>
      <c r="AN16" s="4">
        <f>'4.1 Comptes 2021 natures'!AN16/'4.1 Comptes 2021 natures'!AN2</f>
        <v>311.97094017094014</v>
      </c>
      <c r="AO16" s="4">
        <f>'4.1 Comptes 2021 natures'!AO16/'4.1 Comptes 2021 natures'!AO2</f>
        <v>182.24491983122363</v>
      </c>
      <c r="AP16" s="4">
        <f>'4.1 Comptes 2021 natures'!AP16/'4.1 Comptes 2021 natures'!AP2</f>
        <v>97.904065420560755</v>
      </c>
      <c r="AQ16" s="4">
        <f>'4.1 Comptes 2021 natures'!AQ16/'4.1 Comptes 2021 natures'!AQ2</f>
        <v>19.924960505529224</v>
      </c>
      <c r="AR16" s="4">
        <f>'4.1 Comptes 2021 natures'!AR16/'4.1 Comptes 2021 natures'!AR2</f>
        <v>83.021300623052966</v>
      </c>
      <c r="AS16" s="4">
        <f>'4.1 Comptes 2021 natures'!AS16/'4.1 Comptes 2021 natures'!AS2</f>
        <v>77.993009575923395</v>
      </c>
      <c r="AT16" s="4">
        <f>'4.1 Comptes 2021 natures'!AT16/'4.1 Comptes 2021 natures'!AT2</f>
        <v>95.628444881889763</v>
      </c>
      <c r="AU16" s="4">
        <f>'4.1 Comptes 2021 natures'!AU16/'4.1 Comptes 2021 natures'!AU2</f>
        <v>117.81029605263159</v>
      </c>
      <c r="AV16" s="4">
        <f>'4.1 Comptes 2021 natures'!AV16/'4.1 Comptes 2021 natures'!AV2</f>
        <v>68.722802653399668</v>
      </c>
      <c r="AW16" s="4">
        <f>'4.1 Comptes 2021 natures'!AW16/'4.1 Comptes 2021 natures'!AW2</f>
        <v>36.945564625850345</v>
      </c>
      <c r="AX16" s="4">
        <f>'4.1 Comptes 2021 natures'!AX16/'4.1 Comptes 2021 natures'!AX2</f>
        <v>67.810108108108111</v>
      </c>
      <c r="AY16" s="4">
        <f>'4.1 Comptes 2021 natures'!AY16/'4.1 Comptes 2021 natures'!AY2</f>
        <v>124.81541176470587</v>
      </c>
      <c r="AZ16" s="4">
        <f>'4.1 Comptes 2021 natures'!AZ16/'4.1 Comptes 2021 natures'!AZ2</f>
        <v>44.592103712433705</v>
      </c>
      <c r="BA16" s="4">
        <f>'4.1 Comptes 2021 natures'!BA16/'4.1 Comptes 2021 natures'!BA2</f>
        <v>56.197333333333333</v>
      </c>
      <c r="BB16" s="4">
        <f>'4.1 Comptes 2021 natures'!BB16/'4.1 Comptes 2021 natures'!BB2</f>
        <v>108.24040074557315</v>
      </c>
      <c r="BC16" s="4">
        <f>'4.1 Comptes 2021 natures'!BC16/'4.1 Comptes 2021 natures'!BC2</f>
        <v>77.045108695652175</v>
      </c>
      <c r="BD16" s="4">
        <f>'4.1 Comptes 2021 natures'!BD16/'4.1 Comptes 2021 natures'!BD2</f>
        <v>112.29431023816889</v>
      </c>
      <c r="BE16" s="4">
        <f>'4.1 Comptes 2021 natures'!BE16/'4.1 Comptes 2021 natures'!BE2</f>
        <v>127.8942754919499</v>
      </c>
      <c r="BF16" s="4">
        <f>SUM(E16:BE16)</f>
        <v>5566.5462549131316</v>
      </c>
      <c r="BG16" s="4">
        <f t="shared" ref="BG16:BG25" si="7">SUM(E16:W16)</f>
        <v>1652.4160858470352</v>
      </c>
      <c r="BH16" s="4">
        <f t="shared" ref="BH16:BH25" si="8">SUM(X16:AJ16)</f>
        <v>1879.3477235486498</v>
      </c>
      <c r="BI16" s="4">
        <f t="shared" ref="BI16:BI25" si="9">SUM(AK16:BE16)</f>
        <v>2034.7824455174466</v>
      </c>
    </row>
    <row r="17" spans="2:61" x14ac:dyDescent="0.25">
      <c r="C17">
        <v>311</v>
      </c>
      <c r="D17" t="s">
        <v>89</v>
      </c>
      <c r="E17" s="4">
        <f>'4.1 Comptes 2021 natures'!E17/'4.1 Comptes 2021 natures'!E2</f>
        <v>32.317212249208026</v>
      </c>
      <c r="F17" s="4">
        <f>'4.1 Comptes 2021 natures'!F17/'4.1 Comptes 2021 natures'!F2</f>
        <v>23.39622641509434</v>
      </c>
      <c r="G17" s="4">
        <f>'4.1 Comptes 2021 natures'!G17/'4.1 Comptes 2021 natures'!G2</f>
        <v>24.550682302771857</v>
      </c>
      <c r="H17" s="4">
        <f>'4.1 Comptes 2021 natures'!H17/'4.1 Comptes 2021 natures'!H2</f>
        <v>57.994874715261957</v>
      </c>
      <c r="I17" s="4">
        <f>'4.1 Comptes 2021 natures'!I17/'4.1 Comptes 2021 natures'!I2</f>
        <v>26.805230686695278</v>
      </c>
      <c r="J17" s="4">
        <f>'4.1 Comptes 2021 natures'!J17/'4.1 Comptes 2021 natures'!J2</f>
        <v>12.792170403587443</v>
      </c>
      <c r="K17" s="4">
        <f>'4.1 Comptes 2021 natures'!K17/'4.1 Comptes 2021 natures'!K2</f>
        <v>14.34343891402715</v>
      </c>
      <c r="L17" s="4">
        <f>'4.1 Comptes 2021 natures'!L17/'4.1 Comptes 2021 natures'!L2</f>
        <v>54.369255549322858</v>
      </c>
      <c r="M17" s="4">
        <f>'4.1 Comptes 2021 natures'!M17/'4.1 Comptes 2021 natures'!M2</f>
        <v>60.112987490802062</v>
      </c>
      <c r="N17" s="4">
        <f>'4.1 Comptes 2021 natures'!N17/'4.1 Comptes 2021 natures'!N2</f>
        <v>66.410256410256409</v>
      </c>
      <c r="O17" s="4">
        <f>'4.1 Comptes 2021 natures'!O17/'4.1 Comptes 2021 natures'!O2</f>
        <v>17.139938025065419</v>
      </c>
      <c r="P17" s="4">
        <f>'4.1 Comptes 2021 natures'!P17/'4.1 Comptes 2021 natures'!P2</f>
        <v>29.583178438661712</v>
      </c>
      <c r="Q17" s="4">
        <f>'4.1 Comptes 2021 natures'!Q17/'4.1 Comptes 2021 natures'!Q2</f>
        <v>31.32927927927928</v>
      </c>
      <c r="R17" s="4">
        <f>'4.1 Comptes 2021 natures'!R17/'4.1 Comptes 2021 natures'!R2</f>
        <v>7.7001187648456053</v>
      </c>
      <c r="S17" s="4">
        <f>'4.1 Comptes 2021 natures'!S17/'4.1 Comptes 2021 natures'!S2</f>
        <v>0</v>
      </c>
      <c r="T17" s="4">
        <f>'4.1 Comptes 2021 natures'!T17/'4.1 Comptes 2021 natures'!T2</f>
        <v>43.685915492957747</v>
      </c>
      <c r="U17" s="4">
        <f>'4.1 Comptes 2021 natures'!U17/'4.1 Comptes 2021 natures'!U2</f>
        <v>7.3438661710037172</v>
      </c>
      <c r="V17" s="4">
        <f>'4.1 Comptes 2021 natures'!V17/'4.1 Comptes 2021 natures'!V2</f>
        <v>44.187386363636364</v>
      </c>
      <c r="W17" s="4">
        <f>'4.1 Comptes 2021 natures'!W17/'4.1 Comptes 2021 natures'!W2</f>
        <v>27.887537937441934</v>
      </c>
      <c r="X17" s="4">
        <f>'4.1 Comptes 2021 natures'!X17/'4.1 Comptes 2021 natures'!X2</f>
        <v>14.718225806451612</v>
      </c>
      <c r="Y17" s="4">
        <f>'4.1 Comptes 2021 natures'!Y17/'4.1 Comptes 2021 natures'!Y2</f>
        <v>16.459480314960629</v>
      </c>
      <c r="Z17" s="4">
        <f>'4.1 Comptes 2021 natures'!Z17/'4.1 Comptes 2021 natures'!Z2</f>
        <v>19.629103585657372</v>
      </c>
      <c r="AA17" s="4">
        <f>'4.1 Comptes 2021 natures'!AA17/'4.1 Comptes 2021 natures'!AA2</f>
        <v>0</v>
      </c>
      <c r="AB17" s="4">
        <f>'4.1 Comptes 2021 natures'!AB17/'4.1 Comptes 2021 natures'!AB2</f>
        <v>1.3783783783783783</v>
      </c>
      <c r="AC17" s="4">
        <f>'4.1 Comptes 2021 natures'!AC17/'4.1 Comptes 2021 natures'!AC2</f>
        <v>8.6581081081081077</v>
      </c>
      <c r="AD17" s="4">
        <f>'4.1 Comptes 2021 natures'!AD17/'4.1 Comptes 2021 natures'!AD2</f>
        <v>98.505278174037088</v>
      </c>
      <c r="AE17" s="4">
        <f>'4.1 Comptes 2021 natures'!AE17/'4.1 Comptes 2021 natures'!AE2</f>
        <v>45.876152482269504</v>
      </c>
      <c r="AF17" s="4">
        <f>'4.1 Comptes 2021 natures'!AF17/'4.1 Comptes 2021 natures'!AF2</f>
        <v>73.224571428571437</v>
      </c>
      <c r="AG17" s="4">
        <f>'4.1 Comptes 2021 natures'!AG17/'4.1 Comptes 2021 natures'!AG2</f>
        <v>44.215741225772661</v>
      </c>
      <c r="AH17" s="4">
        <f>'4.1 Comptes 2021 natures'!AH17/'4.1 Comptes 2021 natures'!AH2</f>
        <v>14.961031007751938</v>
      </c>
      <c r="AI17" s="4">
        <f>'4.1 Comptes 2021 natures'!AI17/'4.1 Comptes 2021 natures'!AI2</f>
        <v>5.2259009009009016</v>
      </c>
      <c r="AJ17" s="4">
        <f>'4.1 Comptes 2021 natures'!AJ17/'4.1 Comptes 2021 natures'!AJ2</f>
        <v>9.3023255813953494</v>
      </c>
      <c r="AK17" s="4">
        <f>'4.1 Comptes 2021 natures'!AK17/'4.1 Comptes 2021 natures'!AK2</f>
        <v>60.720274986779479</v>
      </c>
      <c r="AL17" s="4">
        <f>'4.1 Comptes 2021 natures'!AL17/'4.1 Comptes 2021 natures'!AL2</f>
        <v>5.4140763765541742</v>
      </c>
      <c r="AM17" s="4">
        <f>'4.1 Comptes 2021 natures'!AM17/'4.1 Comptes 2021 natures'!AM2</f>
        <v>49.796938775510206</v>
      </c>
      <c r="AN17" s="4">
        <f>'4.1 Comptes 2021 natures'!AN17/'4.1 Comptes 2021 natures'!AN2</f>
        <v>79.763247863247855</v>
      </c>
      <c r="AO17" s="4">
        <f>'4.1 Comptes 2021 natures'!AO17/'4.1 Comptes 2021 natures'!AO2</f>
        <v>28.050109704641347</v>
      </c>
      <c r="AP17" s="4">
        <f>'4.1 Comptes 2021 natures'!AP17/'4.1 Comptes 2021 natures'!AP2</f>
        <v>42.34799065420561</v>
      </c>
      <c r="AQ17" s="4">
        <f>'4.1 Comptes 2021 natures'!AQ17/'4.1 Comptes 2021 natures'!AQ2</f>
        <v>7.6137440758293842</v>
      </c>
      <c r="AR17" s="4">
        <f>'4.1 Comptes 2021 natures'!AR17/'4.1 Comptes 2021 natures'!AR2</f>
        <v>51.050895638629285</v>
      </c>
      <c r="AS17" s="4">
        <f>'4.1 Comptes 2021 natures'!AS17/'4.1 Comptes 2021 natures'!AS2</f>
        <v>35.964774281805745</v>
      </c>
      <c r="AT17" s="4">
        <f>'4.1 Comptes 2021 natures'!AT17/'4.1 Comptes 2021 natures'!AT2</f>
        <v>58.740797244094487</v>
      </c>
      <c r="AU17" s="4">
        <f>'4.1 Comptes 2021 natures'!AU17/'4.1 Comptes 2021 natures'!AU2</f>
        <v>36.063322368421055</v>
      </c>
      <c r="AV17" s="4">
        <f>'4.1 Comptes 2021 natures'!AV17/'4.1 Comptes 2021 natures'!AV2</f>
        <v>59.974979270315089</v>
      </c>
      <c r="AW17" s="4">
        <f>'4.1 Comptes 2021 natures'!AW17/'4.1 Comptes 2021 natures'!AW2</f>
        <v>41.24285714285714</v>
      </c>
      <c r="AX17" s="4">
        <f>'4.1 Comptes 2021 natures'!AX17/'4.1 Comptes 2021 natures'!AX2</f>
        <v>17.464864864864865</v>
      </c>
      <c r="AY17" s="4">
        <f>'4.1 Comptes 2021 natures'!AY17/'4.1 Comptes 2021 natures'!AY2</f>
        <v>25.95544117647059</v>
      </c>
      <c r="AZ17" s="4">
        <f>'4.1 Comptes 2021 natures'!AZ17/'4.1 Comptes 2021 natures'!AZ2</f>
        <v>47.555274012964055</v>
      </c>
      <c r="BA17" s="4">
        <f>'4.1 Comptes 2021 natures'!BA17/'4.1 Comptes 2021 natures'!BA2</f>
        <v>29.789358974358976</v>
      </c>
      <c r="BB17" s="4">
        <f>'4.1 Comptes 2021 natures'!BB17/'4.1 Comptes 2021 natures'!BB2</f>
        <v>57.87041006523765</v>
      </c>
      <c r="BC17" s="4">
        <f>'4.1 Comptes 2021 natures'!BC17/'4.1 Comptes 2021 natures'!BC2</f>
        <v>30.736141304347825</v>
      </c>
      <c r="BD17" s="4">
        <f>'4.1 Comptes 2021 natures'!BD17/'4.1 Comptes 2021 natures'!BD2</f>
        <v>36.200689761831114</v>
      </c>
      <c r="BE17" s="4">
        <f>'4.1 Comptes 2021 natures'!BE17/'4.1 Comptes 2021 natures'!BE2</f>
        <v>28.427728085867621</v>
      </c>
      <c r="BF17" s="4">
        <f t="shared" ref="BF17:BF25" si="10">SUM(E17:BE17)</f>
        <v>1764.8477692330082</v>
      </c>
      <c r="BG17" s="4">
        <f t="shared" si="7"/>
        <v>581.94955560991923</v>
      </c>
      <c r="BH17" s="4">
        <f t="shared" si="8"/>
        <v>352.15429699425499</v>
      </c>
      <c r="BI17" s="4">
        <f t="shared" si="9"/>
        <v>830.74391662883352</v>
      </c>
    </row>
    <row r="18" spans="2:61" x14ac:dyDescent="0.25">
      <c r="C18">
        <v>312</v>
      </c>
      <c r="D18" t="s">
        <v>90</v>
      </c>
      <c r="E18" s="4">
        <f>'4.1 Comptes 2021 natures'!E18/'4.1 Comptes 2021 natures'!E2</f>
        <v>88.475923970432945</v>
      </c>
      <c r="F18" s="4">
        <f>'4.1 Comptes 2021 natures'!F18/'4.1 Comptes 2021 natures'!F2</f>
        <v>176.83603773584906</v>
      </c>
      <c r="G18" s="4">
        <f>'4.1 Comptes 2021 natures'!G18/'4.1 Comptes 2021 natures'!G2</f>
        <v>58.354690831556503</v>
      </c>
      <c r="H18" s="4">
        <f>'4.1 Comptes 2021 natures'!H18/'4.1 Comptes 2021 natures'!H2</f>
        <v>218.876423690205</v>
      </c>
      <c r="I18" s="4">
        <f>'4.1 Comptes 2021 natures'!I18/'4.1 Comptes 2021 natures'!I2</f>
        <v>259.38056866952792</v>
      </c>
      <c r="J18" s="4">
        <f>'4.1 Comptes 2021 natures'!J18/'4.1 Comptes 2021 natures'!J2</f>
        <v>233.4447683109118</v>
      </c>
      <c r="K18" s="4">
        <f>'4.1 Comptes 2021 natures'!K18/'4.1 Comptes 2021 natures'!K2</f>
        <v>135.70733408748114</v>
      </c>
      <c r="L18" s="4">
        <f>'4.1 Comptes 2021 natures'!L18/'4.1 Comptes 2021 natures'!L2</f>
        <v>1016.8350300504848</v>
      </c>
      <c r="M18" s="4">
        <f>'4.1 Comptes 2021 natures'!M18/'4.1 Comptes 2021 natures'!M2</f>
        <v>742.83292862398821</v>
      </c>
      <c r="N18" s="4">
        <f>'4.1 Comptes 2021 natures'!N18/'4.1 Comptes 2021 natures'!N2</f>
        <v>102.15811965811966</v>
      </c>
      <c r="O18" s="4">
        <f>'4.1 Comptes 2021 natures'!O18/'4.1 Comptes 2021 natures'!O2</f>
        <v>69.973298443740532</v>
      </c>
      <c r="P18" s="4">
        <f>'4.1 Comptes 2021 natures'!P18/'4.1 Comptes 2021 natures'!P2</f>
        <v>87.001765799256503</v>
      </c>
      <c r="Q18" s="4">
        <f>'4.1 Comptes 2021 natures'!Q18/'4.1 Comptes 2021 natures'!Q2</f>
        <v>83.162162162162161</v>
      </c>
      <c r="R18" s="4">
        <f>'4.1 Comptes 2021 natures'!R18/'4.1 Comptes 2021 natures'!R2</f>
        <v>91.673277909738715</v>
      </c>
      <c r="S18" s="4">
        <f>'4.1 Comptes 2021 natures'!S18/'4.1 Comptes 2021 natures'!S2</f>
        <v>126.99364161849712</v>
      </c>
      <c r="T18" s="4">
        <f>'4.1 Comptes 2021 natures'!T18/'4.1 Comptes 2021 natures'!T2</f>
        <v>215.01154929577467</v>
      </c>
      <c r="U18" s="4">
        <f>'4.1 Comptes 2021 natures'!U18/'4.1 Comptes 2021 natures'!U2</f>
        <v>236.79256505576208</v>
      </c>
      <c r="V18" s="4">
        <f>'4.1 Comptes 2021 natures'!V18/'4.1 Comptes 2021 natures'!V2</f>
        <v>124.08329545454546</v>
      </c>
      <c r="W18" s="4">
        <f>'4.1 Comptes 2021 natures'!W18/'4.1 Comptes 2021 natures'!W2</f>
        <v>80.647757819758439</v>
      </c>
      <c r="X18" s="4">
        <f>'4.1 Comptes 2021 natures'!X18/'4.1 Comptes 2021 natures'!X2</f>
        <v>420.92532258064517</v>
      </c>
      <c r="Y18" s="4">
        <f>'4.1 Comptes 2021 natures'!Y18/'4.1 Comptes 2021 natures'!Y2</f>
        <v>183.71956692913386</v>
      </c>
      <c r="Z18" s="4">
        <f>'4.1 Comptes 2021 natures'!Z18/'4.1 Comptes 2021 natures'!Z2</f>
        <v>270.38492695883133</v>
      </c>
      <c r="AA18" s="4">
        <f>'4.1 Comptes 2021 natures'!AA18/'4.1 Comptes 2021 natures'!AA2</f>
        <v>724.50468749999993</v>
      </c>
      <c r="AB18" s="4">
        <f>'4.1 Comptes 2021 natures'!AB18/'4.1 Comptes 2021 natures'!AB2</f>
        <v>258.90472972972975</v>
      </c>
      <c r="AC18" s="4">
        <f>'4.1 Comptes 2021 natures'!AC18/'4.1 Comptes 2021 natures'!AC2</f>
        <v>234.55386100386099</v>
      </c>
      <c r="AD18" s="4">
        <f>'4.1 Comptes 2021 natures'!AD18/'4.1 Comptes 2021 natures'!AD2</f>
        <v>197.97992867332383</v>
      </c>
      <c r="AE18" s="4">
        <f>'4.1 Comptes 2021 natures'!AE18/'4.1 Comptes 2021 natures'!AE2</f>
        <v>338.03315602836881</v>
      </c>
      <c r="AF18" s="4">
        <f>'4.1 Comptes 2021 natures'!AF18/'4.1 Comptes 2021 natures'!AF2</f>
        <v>252.08257142857144</v>
      </c>
      <c r="AG18" s="4">
        <f>'4.1 Comptes 2021 natures'!AG18/'4.1 Comptes 2021 natures'!AG2</f>
        <v>157.49806181246726</v>
      </c>
      <c r="AH18" s="4">
        <f>'4.1 Comptes 2021 natures'!AH18/'4.1 Comptes 2021 natures'!AH2</f>
        <v>197.53094961240311</v>
      </c>
      <c r="AI18" s="4">
        <f>'4.1 Comptes 2021 natures'!AI18/'4.1 Comptes 2021 natures'!AI2</f>
        <v>469.19396396396394</v>
      </c>
      <c r="AJ18" s="4">
        <f>'4.1 Comptes 2021 natures'!AJ18/'4.1 Comptes 2021 natures'!AJ2</f>
        <v>224.61434108527132</v>
      </c>
      <c r="AK18" s="4">
        <f>'4.1 Comptes 2021 natures'!AK18/'4.1 Comptes 2021 natures'!AK2</f>
        <v>69.835087255420405</v>
      </c>
      <c r="AL18" s="4">
        <f>'4.1 Comptes 2021 natures'!AL18/'4.1 Comptes 2021 natures'!AL2</f>
        <v>81.090097690941377</v>
      </c>
      <c r="AM18" s="4">
        <f>'4.1 Comptes 2021 natures'!AM18/'4.1 Comptes 2021 natures'!AM2</f>
        <v>162.84689795918368</v>
      </c>
      <c r="AN18" s="4">
        <f>'4.1 Comptes 2021 natures'!AN18/'4.1 Comptes 2021 natures'!AN2</f>
        <v>215.54999999999998</v>
      </c>
      <c r="AO18" s="4">
        <f>'4.1 Comptes 2021 natures'!AO18/'4.1 Comptes 2021 natures'!AO2</f>
        <v>290.83474261603374</v>
      </c>
      <c r="AP18" s="4">
        <f>'4.1 Comptes 2021 natures'!AP18/'4.1 Comptes 2021 natures'!AP2</f>
        <v>403.00280373831777</v>
      </c>
      <c r="AQ18" s="4">
        <f>'4.1 Comptes 2021 natures'!AQ18/'4.1 Comptes 2021 natures'!AQ2</f>
        <v>150.80300157977882</v>
      </c>
      <c r="AR18" s="4">
        <f>'4.1 Comptes 2021 natures'!AR18/'4.1 Comptes 2021 natures'!AR2</f>
        <v>146.19127725856697</v>
      </c>
      <c r="AS18" s="4">
        <f>'4.1 Comptes 2021 natures'!AS18/'4.1 Comptes 2021 natures'!AS2</f>
        <v>196.07735978112174</v>
      </c>
      <c r="AT18" s="4">
        <f>'4.1 Comptes 2021 natures'!AT18/'4.1 Comptes 2021 natures'!AT2</f>
        <v>162.48804133858269</v>
      </c>
      <c r="AU18" s="4">
        <f>'4.1 Comptes 2021 natures'!AU18/'4.1 Comptes 2021 natures'!AU2</f>
        <v>190.68213815789474</v>
      </c>
      <c r="AV18" s="4">
        <f>'4.1 Comptes 2021 natures'!AV18/'4.1 Comptes 2021 natures'!AV2</f>
        <v>79.970874792703157</v>
      </c>
      <c r="AW18" s="4">
        <f>'4.1 Comptes 2021 natures'!AW18/'4.1 Comptes 2021 natures'!AW2</f>
        <v>73.078231292517003</v>
      </c>
      <c r="AX18" s="4">
        <f>'4.1 Comptes 2021 natures'!AX18/'4.1 Comptes 2021 natures'!AX2</f>
        <v>210.70918918918917</v>
      </c>
      <c r="AY18" s="4">
        <f>'4.1 Comptes 2021 natures'!AY18/'4.1 Comptes 2021 natures'!AY2</f>
        <v>204.96838235294118</v>
      </c>
      <c r="AZ18" s="4">
        <f>'4.1 Comptes 2021 natures'!AZ18/'4.1 Comptes 2021 natures'!AZ2</f>
        <v>158.9756334708309</v>
      </c>
      <c r="BA18" s="4">
        <f>'4.1 Comptes 2021 natures'!BA18/'4.1 Comptes 2021 natures'!BA2</f>
        <v>154.09141025641026</v>
      </c>
      <c r="BB18" s="4">
        <f>'4.1 Comptes 2021 natures'!BB18/'4.1 Comptes 2021 natures'!BB2</f>
        <v>229.01525629077352</v>
      </c>
      <c r="BC18" s="4">
        <f>'4.1 Comptes 2021 natures'!BC18/'4.1 Comptes 2021 natures'!BC2</f>
        <v>187.34483695652173</v>
      </c>
      <c r="BD18" s="4">
        <f>'4.1 Comptes 2021 natures'!BD18/'4.1 Comptes 2021 natures'!BD2</f>
        <v>89.542762140426845</v>
      </c>
      <c r="BE18" s="4">
        <f>'4.1 Comptes 2021 natures'!BE18/'4.1 Comptes 2021 natures'!BE2</f>
        <v>49.245259391771015</v>
      </c>
      <c r="BF18" s="4">
        <f t="shared" si="10"/>
        <v>11584.51049000429</v>
      </c>
      <c r="BG18" s="4">
        <f t="shared" si="7"/>
        <v>4148.2411391877922</v>
      </c>
      <c r="BH18" s="4">
        <f t="shared" si="8"/>
        <v>3929.9260673065714</v>
      </c>
      <c r="BI18" s="4">
        <f t="shared" si="9"/>
        <v>3506.3432835099261</v>
      </c>
    </row>
    <row r="19" spans="2:61" x14ac:dyDescent="0.25">
      <c r="C19">
        <v>313</v>
      </c>
      <c r="D19" t="s">
        <v>91</v>
      </c>
      <c r="E19" s="4">
        <f>'4.1 Comptes 2021 natures'!E19/'4.1 Comptes 2021 natures'!E2</f>
        <v>145.36868004223865</v>
      </c>
      <c r="F19" s="4">
        <f>'4.1 Comptes 2021 natures'!F19/'4.1 Comptes 2021 natures'!F2</f>
        <v>351.38411320754716</v>
      </c>
      <c r="G19" s="4">
        <f>'4.1 Comptes 2021 natures'!G19/'4.1 Comptes 2021 natures'!G2</f>
        <v>173.00650319829424</v>
      </c>
      <c r="H19" s="4">
        <f>'4.1 Comptes 2021 natures'!H19/'4.1 Comptes 2021 natures'!H2</f>
        <v>170.22503416856492</v>
      </c>
      <c r="I19" s="4">
        <f>'4.1 Comptes 2021 natures'!I19/'4.1 Comptes 2021 natures'!I2</f>
        <v>206.925705472103</v>
      </c>
      <c r="J19" s="4">
        <f>'4.1 Comptes 2021 natures'!J19/'4.1 Comptes 2021 natures'!J2</f>
        <v>188.61658295964125</v>
      </c>
      <c r="K19" s="4">
        <f>'4.1 Comptes 2021 natures'!K19/'4.1 Comptes 2021 natures'!K2</f>
        <v>165.85148567119157</v>
      </c>
      <c r="L19" s="4">
        <f>'4.1 Comptes 2021 natures'!L19/'4.1 Comptes 2021 natures'!L2</f>
        <v>266.29384886609506</v>
      </c>
      <c r="M19" s="4">
        <f>'4.1 Comptes 2021 natures'!M19/'4.1 Comptes 2021 natures'!M2</f>
        <v>200.76448859455482</v>
      </c>
      <c r="N19" s="4">
        <f>'4.1 Comptes 2021 natures'!N19/'4.1 Comptes 2021 natures'!N2</f>
        <v>204.82350427350426</v>
      </c>
      <c r="O19" s="4">
        <f>'4.1 Comptes 2021 natures'!O19/'4.1 Comptes 2021 natures'!O2</f>
        <v>190.66822476242942</v>
      </c>
      <c r="P19" s="4">
        <f>'4.1 Comptes 2021 natures'!P19/'4.1 Comptes 2021 natures'!P2</f>
        <v>218.96420074349444</v>
      </c>
      <c r="Q19" s="4">
        <f>'4.1 Comptes 2021 natures'!Q19/'4.1 Comptes 2021 natures'!Q2</f>
        <v>586.20405405405404</v>
      </c>
      <c r="R19" s="4">
        <f>'4.1 Comptes 2021 natures'!R19/'4.1 Comptes 2021 natures'!R2</f>
        <v>182.98534441805225</v>
      </c>
      <c r="S19" s="4">
        <f>'4.1 Comptes 2021 natures'!S19/'4.1 Comptes 2021 natures'!S2</f>
        <v>354.79445086705203</v>
      </c>
      <c r="T19" s="4">
        <f>'4.1 Comptes 2021 natures'!T19/'4.1 Comptes 2021 natures'!T2</f>
        <v>296.00621126760564</v>
      </c>
      <c r="U19" s="4">
        <f>'4.1 Comptes 2021 natures'!U19/'4.1 Comptes 2021 natures'!U2</f>
        <v>210.69535315985132</v>
      </c>
      <c r="V19" s="4">
        <f>'4.1 Comptes 2021 natures'!V19/'4.1 Comptes 2021 natures'!V2</f>
        <v>546.55331818181821</v>
      </c>
      <c r="W19" s="4">
        <f>'4.1 Comptes 2021 natures'!W19/'4.1 Comptes 2021 natures'!W2</f>
        <v>186.99956333230102</v>
      </c>
      <c r="X19" s="4">
        <f>'4.1 Comptes 2021 natures'!X19/'4.1 Comptes 2021 natures'!X2</f>
        <v>506.6398709677419</v>
      </c>
      <c r="Y19" s="4">
        <f>'4.1 Comptes 2021 natures'!Y19/'4.1 Comptes 2021 natures'!Y2</f>
        <v>297.62378740157482</v>
      </c>
      <c r="Z19" s="4">
        <f>'4.1 Comptes 2021 natures'!Z19/'4.1 Comptes 2021 natures'!Z2</f>
        <v>664.94658698539183</v>
      </c>
      <c r="AA19" s="4">
        <f>'4.1 Comptes 2021 natures'!AA19/'4.1 Comptes 2021 natures'!AA2</f>
        <v>389.59427083333338</v>
      </c>
      <c r="AB19" s="4">
        <f>'4.1 Comptes 2021 natures'!AB19/'4.1 Comptes 2021 natures'!AB2</f>
        <v>562.54898648648646</v>
      </c>
      <c r="AC19" s="4">
        <f>'4.1 Comptes 2021 natures'!AC19/'4.1 Comptes 2021 natures'!AC2</f>
        <v>543.88519305019315</v>
      </c>
      <c r="AD19" s="4">
        <f>'4.1 Comptes 2021 natures'!AD19/'4.1 Comptes 2021 natures'!AD2</f>
        <v>476.48332382310986</v>
      </c>
      <c r="AE19" s="4">
        <f>'4.1 Comptes 2021 natures'!AE19/'4.1 Comptes 2021 natures'!AE2</f>
        <v>664.3646453900709</v>
      </c>
      <c r="AF19" s="4">
        <f>'4.1 Comptes 2021 natures'!AF19/'4.1 Comptes 2021 natures'!AF2</f>
        <v>747.4144</v>
      </c>
      <c r="AG19" s="4">
        <f>'4.1 Comptes 2021 natures'!AG19/'4.1 Comptes 2021 natures'!AG2</f>
        <v>320.16903090623367</v>
      </c>
      <c r="AH19" s="4">
        <f>'4.1 Comptes 2021 natures'!AH19/'4.1 Comptes 2021 natures'!AH2</f>
        <v>287.77790310077518</v>
      </c>
      <c r="AI19" s="4">
        <f>'4.1 Comptes 2021 natures'!AI19/'4.1 Comptes 2021 natures'!AI2</f>
        <v>789.72238738738736</v>
      </c>
      <c r="AJ19" s="4">
        <f>'4.1 Comptes 2021 natures'!AJ19/'4.1 Comptes 2021 natures'!AJ2</f>
        <v>551.48604651162793</v>
      </c>
      <c r="AK19" s="4">
        <f>'4.1 Comptes 2021 natures'!AK19/'4.1 Comptes 2021 natures'!AK2</f>
        <v>146.44363828662082</v>
      </c>
      <c r="AL19" s="4">
        <f>'4.1 Comptes 2021 natures'!AL19/'4.1 Comptes 2021 natures'!AL2</f>
        <v>453.40206927175842</v>
      </c>
      <c r="AM19" s="4">
        <f>'4.1 Comptes 2021 natures'!AM19/'4.1 Comptes 2021 natures'!AM2</f>
        <v>347.32640000000004</v>
      </c>
      <c r="AN19" s="4">
        <f>'4.1 Comptes 2021 natures'!AN19/'4.1 Comptes 2021 natures'!AN2</f>
        <v>465.16487179487183</v>
      </c>
      <c r="AO19" s="4">
        <f>'4.1 Comptes 2021 natures'!AO19/'4.1 Comptes 2021 natures'!AO2</f>
        <v>407.55035443037974</v>
      </c>
      <c r="AP19" s="4">
        <f>'4.1 Comptes 2021 natures'!AP19/'4.1 Comptes 2021 natures'!AP2</f>
        <v>155.63370716510903</v>
      </c>
      <c r="AQ19" s="4">
        <f>'4.1 Comptes 2021 natures'!AQ19/'4.1 Comptes 2021 natures'!AQ2</f>
        <v>198.18249605055294</v>
      </c>
      <c r="AR19" s="4">
        <f>'4.1 Comptes 2021 natures'!AR19/'4.1 Comptes 2021 natures'!AR2</f>
        <v>451.32063862928345</v>
      </c>
      <c r="AS19" s="4">
        <f>'4.1 Comptes 2021 natures'!AS19/'4.1 Comptes 2021 natures'!AS2</f>
        <v>215.11061559507522</v>
      </c>
      <c r="AT19" s="4">
        <f>'4.1 Comptes 2021 natures'!AT19/'4.1 Comptes 2021 natures'!AT2</f>
        <v>219.19970472440943</v>
      </c>
      <c r="AU19" s="4">
        <f>'4.1 Comptes 2021 natures'!AU19/'4.1 Comptes 2021 natures'!AU2</f>
        <v>429.40394736842109</v>
      </c>
      <c r="AV19" s="4">
        <f>'4.1 Comptes 2021 natures'!AV19/'4.1 Comptes 2021 natures'!AV2</f>
        <v>186.51405472636816</v>
      </c>
      <c r="AW19" s="4">
        <f>'4.1 Comptes 2021 natures'!AW19/'4.1 Comptes 2021 natures'!AW2</f>
        <v>341.97680272108846</v>
      </c>
      <c r="AX19" s="4">
        <f>'4.1 Comptes 2021 natures'!AX19/'4.1 Comptes 2021 natures'!AX2</f>
        <v>142.89859459459461</v>
      </c>
      <c r="AY19" s="4">
        <f>'4.1 Comptes 2021 natures'!AY19/'4.1 Comptes 2021 natures'!AY2</f>
        <v>193.39961764705882</v>
      </c>
      <c r="AZ19" s="4">
        <f>'4.1 Comptes 2021 natures'!AZ19/'4.1 Comptes 2021 natures'!AZ2</f>
        <v>207.84313494401886</v>
      </c>
      <c r="BA19" s="4">
        <f>'4.1 Comptes 2021 natures'!BA19/'4.1 Comptes 2021 natures'!BA2</f>
        <v>378.23617948717947</v>
      </c>
      <c r="BB19" s="4">
        <f>'4.1 Comptes 2021 natures'!BB19/'4.1 Comptes 2021 natures'!BB2</f>
        <v>323.35792171481825</v>
      </c>
      <c r="BC19" s="4">
        <f>'4.1 Comptes 2021 natures'!BC19/'4.1 Comptes 2021 natures'!BC2</f>
        <v>126.7049456521739</v>
      </c>
      <c r="BD19" s="4">
        <f>'4.1 Comptes 2021 natures'!BD19/'4.1 Comptes 2021 natures'!BD2</f>
        <v>361.29804051964118</v>
      </c>
      <c r="BE19" s="4">
        <f>'4.1 Comptes 2021 natures'!BE19/'4.1 Comptes 2021 natures'!BE2</f>
        <v>265.16134168157424</v>
      </c>
      <c r="BF19" s="4">
        <f t="shared" si="10"/>
        <v>17665.916177089315</v>
      </c>
      <c r="BG19" s="4">
        <f t="shared" si="7"/>
        <v>4847.1306672403934</v>
      </c>
      <c r="BH19" s="4">
        <f t="shared" si="8"/>
        <v>6802.6564328439254</v>
      </c>
      <c r="BI19" s="4">
        <f t="shared" si="9"/>
        <v>6016.1290770049982</v>
      </c>
    </row>
    <row r="20" spans="2:61" x14ac:dyDescent="0.25">
      <c r="C20">
        <v>314</v>
      </c>
      <c r="D20" t="s">
        <v>92</v>
      </c>
      <c r="E20" s="4">
        <f>'4.1 Comptes 2021 natures'!E20/'4.1 Comptes 2021 natures'!E2</f>
        <v>193.57655755015838</v>
      </c>
      <c r="F20" s="4">
        <f>'4.1 Comptes 2021 natures'!F20/'4.1 Comptes 2021 natures'!F2</f>
        <v>210.88886792452831</v>
      </c>
      <c r="G20" s="4">
        <f>'4.1 Comptes 2021 natures'!G20/'4.1 Comptes 2021 natures'!G2</f>
        <v>156.56729211087421</v>
      </c>
      <c r="H20" s="4">
        <f>'4.1 Comptes 2021 natures'!H20/'4.1 Comptes 2021 natures'!H2</f>
        <v>165.88485193621867</v>
      </c>
      <c r="I20" s="4">
        <f>'4.1 Comptes 2021 natures'!I20/'4.1 Comptes 2021 natures'!I2</f>
        <v>101.14720225321889</v>
      </c>
      <c r="J20" s="4">
        <f>'4.1 Comptes 2021 natures'!J20/'4.1 Comptes 2021 natures'!J2</f>
        <v>68.117010463378179</v>
      </c>
      <c r="K20" s="4">
        <f>'4.1 Comptes 2021 natures'!K20/'4.1 Comptes 2021 natures'!K2</f>
        <v>119.49956636500754</v>
      </c>
      <c r="L20" s="4">
        <f>'4.1 Comptes 2021 natures'!L20/'4.1 Comptes 2021 natures'!L2</f>
        <v>102.10482811122685</v>
      </c>
      <c r="M20" s="4">
        <f>'4.1 Comptes 2021 natures'!M20/'4.1 Comptes 2021 natures'!M2</f>
        <v>184.87240618101546</v>
      </c>
      <c r="N20" s="4">
        <f>'4.1 Comptes 2021 natures'!N20/'4.1 Comptes 2021 natures'!N2</f>
        <v>147.7051282051282</v>
      </c>
      <c r="O20" s="4">
        <f>'4.1 Comptes 2021 natures'!O20/'4.1 Comptes 2021 natures'!O2</f>
        <v>103.34066244318964</v>
      </c>
      <c r="P20" s="4">
        <f>'4.1 Comptes 2021 natures'!P20/'4.1 Comptes 2021 natures'!P2</f>
        <v>159.28011152416357</v>
      </c>
      <c r="Q20" s="4">
        <f>'4.1 Comptes 2021 natures'!Q20/'4.1 Comptes 2021 natures'!Q2</f>
        <v>43.002702702702706</v>
      </c>
      <c r="R20" s="4">
        <f>'4.1 Comptes 2021 natures'!R20/'4.1 Comptes 2021 natures'!R2</f>
        <v>113.24477434679335</v>
      </c>
      <c r="S20" s="4">
        <f>'4.1 Comptes 2021 natures'!S20/'4.1 Comptes 2021 natures'!S2</f>
        <v>147.11372832369941</v>
      </c>
      <c r="T20" s="4">
        <f>'4.1 Comptes 2021 natures'!T20/'4.1 Comptes 2021 natures'!T2</f>
        <v>143.31004225352115</v>
      </c>
      <c r="U20" s="4">
        <f>'4.1 Comptes 2021 natures'!U20/'4.1 Comptes 2021 natures'!U2</f>
        <v>201.93687732342005</v>
      </c>
      <c r="V20" s="4">
        <f>'4.1 Comptes 2021 natures'!V20/'4.1 Comptes 2021 natures'!V2</f>
        <v>308.36113636363638</v>
      </c>
      <c r="W20" s="4">
        <f>'4.1 Comptes 2021 natures'!W20/'4.1 Comptes 2021 natures'!W2</f>
        <v>89.171034375967793</v>
      </c>
      <c r="X20" s="4">
        <f>'4.1 Comptes 2021 natures'!X20/'4.1 Comptes 2021 natures'!X2</f>
        <v>230.05887096774194</v>
      </c>
      <c r="Y20" s="4">
        <f>'4.1 Comptes 2021 natures'!Y20/'4.1 Comptes 2021 natures'!Y2</f>
        <v>145.11185039370079</v>
      </c>
      <c r="Z20" s="4">
        <f>'4.1 Comptes 2021 natures'!Z20/'4.1 Comptes 2021 natures'!Z2</f>
        <v>385.46567729083671</v>
      </c>
      <c r="AA20" s="4">
        <f>'4.1 Comptes 2021 natures'!AA20/'4.1 Comptes 2021 natures'!AA2</f>
        <v>376.0625</v>
      </c>
      <c r="AB20" s="4">
        <f>'4.1 Comptes 2021 natures'!AB20/'4.1 Comptes 2021 natures'!AB2</f>
        <v>209.58479729729729</v>
      </c>
      <c r="AC20" s="4">
        <f>'4.1 Comptes 2021 natures'!AC20/'4.1 Comptes 2021 natures'!AC2</f>
        <v>393.67515444015447</v>
      </c>
      <c r="AD20" s="4">
        <f>'4.1 Comptes 2021 natures'!AD20/'4.1 Comptes 2021 natures'!AD2</f>
        <v>242.24572039942939</v>
      </c>
      <c r="AE20" s="4">
        <f>'4.1 Comptes 2021 natures'!AE20/'4.1 Comptes 2021 natures'!AE2</f>
        <v>350.45656028368796</v>
      </c>
      <c r="AF20" s="4">
        <f>'4.1 Comptes 2021 natures'!AF20/'4.1 Comptes 2021 natures'!AF2</f>
        <v>456.76363809523809</v>
      </c>
      <c r="AG20" s="4">
        <f>'4.1 Comptes 2021 natures'!AG20/'4.1 Comptes 2021 natures'!AG2</f>
        <v>256.75402304871659</v>
      </c>
      <c r="AH20" s="4">
        <f>'4.1 Comptes 2021 natures'!AH20/'4.1 Comptes 2021 natures'!AH2</f>
        <v>218.27241085271316</v>
      </c>
      <c r="AI20" s="4">
        <f>'4.1 Comptes 2021 natures'!AI20/'4.1 Comptes 2021 natures'!AI2</f>
        <v>344.79909909909907</v>
      </c>
      <c r="AJ20" s="4">
        <f>'4.1 Comptes 2021 natures'!AJ20/'4.1 Comptes 2021 natures'!AJ2</f>
        <v>280.8073643410853</v>
      </c>
      <c r="AK20" s="4">
        <f>'4.1 Comptes 2021 natures'!AK20/'4.1 Comptes 2021 natures'!AK2</f>
        <v>103.80946589106294</v>
      </c>
      <c r="AL20" s="4">
        <f>'4.1 Comptes 2021 natures'!AL20/'4.1 Comptes 2021 natures'!AL2</f>
        <v>203.89156305506216</v>
      </c>
      <c r="AM20" s="4">
        <f>'4.1 Comptes 2021 natures'!AM20/'4.1 Comptes 2021 natures'!AM2</f>
        <v>157.27224489795918</v>
      </c>
      <c r="AN20" s="4">
        <f>'4.1 Comptes 2021 natures'!AN20/'4.1 Comptes 2021 natures'!AN2</f>
        <v>123.1542735042735</v>
      </c>
      <c r="AO20" s="4">
        <f>'4.1 Comptes 2021 natures'!AO20/'4.1 Comptes 2021 natures'!AO2</f>
        <v>489.86838818565406</v>
      </c>
      <c r="AP20" s="4">
        <f>'4.1 Comptes 2021 natures'!AP20/'4.1 Comptes 2021 natures'!AP2</f>
        <v>175.02894080996884</v>
      </c>
      <c r="AQ20" s="4">
        <f>'4.1 Comptes 2021 natures'!AQ20/'4.1 Comptes 2021 natures'!AQ2</f>
        <v>154.14178515007899</v>
      </c>
      <c r="AR20" s="4">
        <f>'4.1 Comptes 2021 natures'!AR20/'4.1 Comptes 2021 natures'!AR2</f>
        <v>244.39653426791278</v>
      </c>
      <c r="AS20" s="4">
        <f>'4.1 Comptes 2021 natures'!AS20/'4.1 Comptes 2021 natures'!AS2</f>
        <v>136.76210670314637</v>
      </c>
      <c r="AT20" s="4">
        <f>'4.1 Comptes 2021 natures'!AT20/'4.1 Comptes 2021 natures'!AT2</f>
        <v>99.476328740157484</v>
      </c>
      <c r="AU20" s="4">
        <f>'4.1 Comptes 2021 natures'!AU20/'4.1 Comptes 2021 natures'!AU2</f>
        <v>226.6050986842105</v>
      </c>
      <c r="AV20" s="4">
        <f>'4.1 Comptes 2021 natures'!AV20/'4.1 Comptes 2021 natures'!AV2</f>
        <v>101.53969734660033</v>
      </c>
      <c r="AW20" s="4">
        <f>'4.1 Comptes 2021 natures'!AW20/'4.1 Comptes 2021 natures'!AW2</f>
        <v>179.6487755102041</v>
      </c>
      <c r="AX20" s="4">
        <f>'4.1 Comptes 2021 natures'!AX20/'4.1 Comptes 2021 natures'!AX2</f>
        <v>54.117837837837833</v>
      </c>
      <c r="AY20" s="4">
        <f>'4.1 Comptes 2021 natures'!AY20/'4.1 Comptes 2021 natures'!AY2</f>
        <v>328.33611764705881</v>
      </c>
      <c r="AZ20" s="4">
        <f>'4.1 Comptes 2021 natures'!AZ20/'4.1 Comptes 2021 natures'!AZ2</f>
        <v>112.3673541543901</v>
      </c>
      <c r="BA20" s="4">
        <f>'4.1 Comptes 2021 natures'!BA20/'4.1 Comptes 2021 natures'!BA2</f>
        <v>156.44484615384616</v>
      </c>
      <c r="BB20" s="4">
        <f>'4.1 Comptes 2021 natures'!BB20/'4.1 Comptes 2021 natures'!BB2</f>
        <v>213.37950605778192</v>
      </c>
      <c r="BC20" s="4">
        <f>'4.1 Comptes 2021 natures'!BC20/'4.1 Comptes 2021 natures'!BC2</f>
        <v>188.91059782608698</v>
      </c>
      <c r="BD20" s="4">
        <f>'4.1 Comptes 2021 natures'!BD20/'4.1 Comptes 2021 natures'!BD2</f>
        <v>140.74236158366841</v>
      </c>
      <c r="BE20" s="4">
        <f>'4.1 Comptes 2021 natures'!BE20/'4.1 Comptes 2021 natures'!BE2</f>
        <v>102.22960644007155</v>
      </c>
      <c r="BF20" s="4">
        <f t="shared" si="10"/>
        <v>10341.305877714582</v>
      </c>
      <c r="BG20" s="4">
        <f t="shared" si="7"/>
        <v>2759.1247807578488</v>
      </c>
      <c r="BH20" s="4">
        <f t="shared" si="8"/>
        <v>3890.0576665097005</v>
      </c>
      <c r="BI20" s="4">
        <f t="shared" si="9"/>
        <v>3692.1234304470322</v>
      </c>
    </row>
    <row r="21" spans="2:61" x14ac:dyDescent="0.25">
      <c r="C21">
        <v>315</v>
      </c>
      <c r="D21" t="s">
        <v>93</v>
      </c>
      <c r="E21" s="4">
        <f>'4.1 Comptes 2021 natures'!E21/'4.1 Comptes 2021 natures'!E2</f>
        <v>52.730253431890183</v>
      </c>
      <c r="F21" s="4">
        <f>'4.1 Comptes 2021 natures'!F21/'4.1 Comptes 2021 natures'!F2</f>
        <v>53.427358490566036</v>
      </c>
      <c r="G21" s="4">
        <f>'4.1 Comptes 2021 natures'!G21/'4.1 Comptes 2021 natures'!G2</f>
        <v>15.776332622601281</v>
      </c>
      <c r="H21" s="4">
        <f>'4.1 Comptes 2021 natures'!H21/'4.1 Comptes 2021 natures'!H2</f>
        <v>47.556150341685651</v>
      </c>
      <c r="I21" s="4">
        <f>'4.1 Comptes 2021 natures'!I21/'4.1 Comptes 2021 natures'!I2</f>
        <v>36.709385729613736</v>
      </c>
      <c r="J21" s="4">
        <f>'4.1 Comptes 2021 natures'!J21/'4.1 Comptes 2021 natures'!J2</f>
        <v>4.9648579970104638</v>
      </c>
      <c r="K21" s="4">
        <f>'4.1 Comptes 2021 natures'!K21/'4.1 Comptes 2021 natures'!K2</f>
        <v>36.527763951734542</v>
      </c>
      <c r="L21" s="4">
        <f>'4.1 Comptes 2021 natures'!L21/'4.1 Comptes 2021 natures'!L2</f>
        <v>73.81537623206988</v>
      </c>
      <c r="M21" s="4">
        <f>'4.1 Comptes 2021 natures'!M21/'4.1 Comptes 2021 natures'!M2</f>
        <v>56.796651949963206</v>
      </c>
      <c r="N21" s="4">
        <f>'4.1 Comptes 2021 natures'!N21/'4.1 Comptes 2021 natures'!N2</f>
        <v>0</v>
      </c>
      <c r="O21" s="4">
        <f>'4.1 Comptes 2021 natures'!O21/'4.1 Comptes 2021 natures'!O2</f>
        <v>36.575168709544137</v>
      </c>
      <c r="P21" s="4">
        <f>'4.1 Comptes 2021 natures'!P21/'4.1 Comptes 2021 natures'!P2</f>
        <v>24.134572490706319</v>
      </c>
      <c r="Q21" s="4">
        <f>'4.1 Comptes 2021 natures'!Q21/'4.1 Comptes 2021 natures'!Q2</f>
        <v>14.955855855855855</v>
      </c>
      <c r="R21" s="4">
        <f>'4.1 Comptes 2021 natures'!R21/'4.1 Comptes 2021 natures'!R2</f>
        <v>60.666864608076011</v>
      </c>
      <c r="S21" s="4">
        <f>'4.1 Comptes 2021 natures'!S21/'4.1 Comptes 2021 natures'!S2</f>
        <v>29.215606936416187</v>
      </c>
      <c r="T21" s="4">
        <f>'4.1 Comptes 2021 natures'!T21/'4.1 Comptes 2021 natures'!T2</f>
        <v>19.084084507042256</v>
      </c>
      <c r="U21" s="4">
        <f>'4.1 Comptes 2021 natures'!U21/'4.1 Comptes 2021 natures'!U2</f>
        <v>44.978624535315987</v>
      </c>
      <c r="V21" s="4">
        <f>'4.1 Comptes 2021 natures'!V21/'4.1 Comptes 2021 natures'!V2</f>
        <v>96.138068181818184</v>
      </c>
      <c r="W21" s="4">
        <f>'4.1 Comptes 2021 natures'!W21/'4.1 Comptes 2021 natures'!W2</f>
        <v>35.141436977392381</v>
      </c>
      <c r="X21" s="4">
        <f>'4.1 Comptes 2021 natures'!X21/'4.1 Comptes 2021 natures'!X2</f>
        <v>0</v>
      </c>
      <c r="Y21" s="4">
        <f>'4.1 Comptes 2021 natures'!Y21/'4.1 Comptes 2021 natures'!Y2</f>
        <v>73.245102362204719</v>
      </c>
      <c r="Z21" s="4">
        <f>'4.1 Comptes 2021 natures'!Z21/'4.1 Comptes 2021 natures'!Z2</f>
        <v>59.49332669322709</v>
      </c>
      <c r="AA21" s="4">
        <f>'4.1 Comptes 2021 natures'!AA21/'4.1 Comptes 2021 natures'!AA2</f>
        <v>63.862500000000004</v>
      </c>
      <c r="AB21" s="4">
        <f>'4.1 Comptes 2021 natures'!AB21/'4.1 Comptes 2021 natures'!AB2</f>
        <v>74.509459459459464</v>
      </c>
      <c r="AC21" s="4">
        <f>'4.1 Comptes 2021 natures'!AC21/'4.1 Comptes 2021 natures'!AC2</f>
        <v>57.532335907335906</v>
      </c>
      <c r="AD21" s="4">
        <f>'4.1 Comptes 2021 natures'!AD21/'4.1 Comptes 2021 natures'!AD2</f>
        <v>95.678744650499297</v>
      </c>
      <c r="AE21" s="4">
        <f>'4.1 Comptes 2021 natures'!AE21/'4.1 Comptes 2021 natures'!AE2</f>
        <v>113.08147163120567</v>
      </c>
      <c r="AF21" s="4">
        <f>'4.1 Comptes 2021 natures'!AF21/'4.1 Comptes 2021 natures'!AF2</f>
        <v>12.454342857142857</v>
      </c>
      <c r="AG21" s="4">
        <f>'4.1 Comptes 2021 natures'!AG21/'4.1 Comptes 2021 natures'!AG2</f>
        <v>59.697071765322164</v>
      </c>
      <c r="AH21" s="4">
        <f>'4.1 Comptes 2021 natures'!AH21/'4.1 Comptes 2021 natures'!AH2</f>
        <v>15.743740310077518</v>
      </c>
      <c r="AI21" s="4">
        <f>'4.1 Comptes 2021 natures'!AI21/'4.1 Comptes 2021 natures'!AI2</f>
        <v>48.760585585585588</v>
      </c>
      <c r="AJ21" s="4">
        <f>'4.1 Comptes 2021 natures'!AJ21/'4.1 Comptes 2021 natures'!AJ2</f>
        <v>122.08953488372093</v>
      </c>
      <c r="AK21" s="4">
        <f>'4.1 Comptes 2021 natures'!AK21/'4.1 Comptes 2021 natures'!AK2</f>
        <v>15.196959280803808</v>
      </c>
      <c r="AL21" s="4">
        <f>'4.1 Comptes 2021 natures'!AL21/'4.1 Comptes 2021 natures'!AL2</f>
        <v>110.59648312611013</v>
      </c>
      <c r="AM21" s="4">
        <f>'4.1 Comptes 2021 natures'!AM21/'4.1 Comptes 2021 natures'!AM2</f>
        <v>49.02477551020408</v>
      </c>
      <c r="AN21" s="4">
        <f>'4.1 Comptes 2021 natures'!AN21/'4.1 Comptes 2021 natures'!AN2</f>
        <v>8.1141025641025646</v>
      </c>
      <c r="AO21" s="4">
        <f>'4.1 Comptes 2021 natures'!AO21/'4.1 Comptes 2021 natures'!AO2</f>
        <v>106.7631223628692</v>
      </c>
      <c r="AP21" s="4">
        <f>'4.1 Comptes 2021 natures'!AP21/'4.1 Comptes 2021 natures'!AP2</f>
        <v>51.773987538940816</v>
      </c>
      <c r="AQ21" s="4">
        <f>'4.1 Comptes 2021 natures'!AQ21/'4.1 Comptes 2021 natures'!AQ2</f>
        <v>57.078593996840439</v>
      </c>
      <c r="AR21" s="4">
        <f>'4.1 Comptes 2021 natures'!AR21/'4.1 Comptes 2021 natures'!AR2</f>
        <v>72.439641744548283</v>
      </c>
      <c r="AS21" s="4">
        <f>'4.1 Comptes 2021 natures'!AS21/'4.1 Comptes 2021 natures'!AS2</f>
        <v>34.455608755129958</v>
      </c>
      <c r="AT21" s="4">
        <f>'4.1 Comptes 2021 natures'!AT21/'4.1 Comptes 2021 natures'!AT2</f>
        <v>22.922293307086612</v>
      </c>
      <c r="AU21" s="4">
        <f>'4.1 Comptes 2021 natures'!AU21/'4.1 Comptes 2021 natures'!AU2</f>
        <v>29.376809210526314</v>
      </c>
      <c r="AV21" s="4">
        <f>'4.1 Comptes 2021 natures'!AV21/'4.1 Comptes 2021 natures'!AV2</f>
        <v>20.528337479270313</v>
      </c>
      <c r="AW21" s="4">
        <f>'4.1 Comptes 2021 natures'!AW21/'4.1 Comptes 2021 natures'!AW2</f>
        <v>52.372380952380951</v>
      </c>
      <c r="AX21" s="4">
        <f>'4.1 Comptes 2021 natures'!AX21/'4.1 Comptes 2021 natures'!AX2</f>
        <v>30.743783783783787</v>
      </c>
      <c r="AY21" s="4">
        <f>'4.1 Comptes 2021 natures'!AY21/'4.1 Comptes 2021 natures'!AY2</f>
        <v>68.634558823529417</v>
      </c>
      <c r="AZ21" s="4">
        <f>'4.1 Comptes 2021 natures'!AZ21/'4.1 Comptes 2021 natures'!AZ2</f>
        <v>17.407248084855627</v>
      </c>
      <c r="BA21" s="4">
        <f>'4.1 Comptes 2021 natures'!BA21/'4.1 Comptes 2021 natures'!BA2</f>
        <v>32.617179487179492</v>
      </c>
      <c r="BB21" s="4">
        <f>'4.1 Comptes 2021 natures'!BB21/'4.1 Comptes 2021 natures'!BB2</f>
        <v>81.11696178937558</v>
      </c>
      <c r="BC21" s="4">
        <f>'4.1 Comptes 2021 natures'!BC21/'4.1 Comptes 2021 natures'!BC2</f>
        <v>30.086141304347827</v>
      </c>
      <c r="BD21" s="4">
        <f>'4.1 Comptes 2021 natures'!BD21/'4.1 Comptes 2021 natures'!BD2</f>
        <v>70.058595731518707</v>
      </c>
      <c r="BE21" s="4">
        <f>'4.1 Comptes 2021 natures'!BE21/'4.1 Comptes 2021 natures'!BE2</f>
        <v>74.614490161001783</v>
      </c>
      <c r="BF21" s="4">
        <f t="shared" si="10"/>
        <v>2571.2646846494895</v>
      </c>
      <c r="BG21" s="4">
        <f t="shared" si="7"/>
        <v>739.19441354930234</v>
      </c>
      <c r="BH21" s="4">
        <f t="shared" si="8"/>
        <v>796.14821610578122</v>
      </c>
      <c r="BI21" s="4">
        <f t="shared" si="9"/>
        <v>1035.9220549944057</v>
      </c>
    </row>
    <row r="22" spans="2:61" x14ac:dyDescent="0.25">
      <c r="C22">
        <v>316</v>
      </c>
      <c r="D22" t="s">
        <v>94</v>
      </c>
      <c r="E22" s="4">
        <f>'4.1 Comptes 2021 natures'!E22/'4.1 Comptes 2021 natures'!E2</f>
        <v>4.0941921858500523</v>
      </c>
      <c r="F22" s="4">
        <f>'4.1 Comptes 2021 natures'!F22/'4.1 Comptes 2021 natures'!F2</f>
        <v>11.250566037735849</v>
      </c>
      <c r="G22" s="4">
        <f>'4.1 Comptes 2021 natures'!G22/'4.1 Comptes 2021 natures'!G2</f>
        <v>1.5153518123667378</v>
      </c>
      <c r="H22" s="4">
        <f>'4.1 Comptes 2021 natures'!H22/'4.1 Comptes 2021 natures'!H2</f>
        <v>162.62539863325742</v>
      </c>
      <c r="I22" s="4">
        <f>'4.1 Comptes 2021 natures'!I22/'4.1 Comptes 2021 natures'!I2</f>
        <v>20.759683476394851</v>
      </c>
      <c r="J22" s="4">
        <f>'4.1 Comptes 2021 natures'!J22/'4.1 Comptes 2021 natures'!J2</f>
        <v>10.584603886397609</v>
      </c>
      <c r="K22" s="4">
        <f>'4.1 Comptes 2021 natures'!K22/'4.1 Comptes 2021 natures'!K2</f>
        <v>12.472812971342384</v>
      </c>
      <c r="L22" s="4">
        <f>'4.1 Comptes 2021 natures'!L22/'4.1 Comptes 2021 natures'!L2</f>
        <v>67.662120362208512</v>
      </c>
      <c r="M22" s="4">
        <f>'4.1 Comptes 2021 natures'!M22/'4.1 Comptes 2021 natures'!M2</f>
        <v>20.899558498896248</v>
      </c>
      <c r="N22" s="4">
        <f>'4.1 Comptes 2021 natures'!N22/'4.1 Comptes 2021 natures'!N2</f>
        <v>10.256410256410257</v>
      </c>
      <c r="O22" s="4">
        <f>'4.1 Comptes 2021 natures'!O22/'4.1 Comptes 2021 natures'!O2</f>
        <v>16.115424872607079</v>
      </c>
      <c r="P22" s="4">
        <f>'4.1 Comptes 2021 natures'!P22/'4.1 Comptes 2021 natures'!P2</f>
        <v>0</v>
      </c>
      <c r="Q22" s="4">
        <f>'4.1 Comptes 2021 natures'!Q22/'4.1 Comptes 2021 natures'!Q2</f>
        <v>7.6576576576576576</v>
      </c>
      <c r="R22" s="4">
        <f>'4.1 Comptes 2021 natures'!R22/'4.1 Comptes 2021 natures'!R2</f>
        <v>0</v>
      </c>
      <c r="S22" s="4">
        <f>'4.1 Comptes 2021 natures'!S22/'4.1 Comptes 2021 natures'!S2</f>
        <v>0</v>
      </c>
      <c r="T22" s="4">
        <f>'4.1 Comptes 2021 natures'!T22/'4.1 Comptes 2021 natures'!T2</f>
        <v>1.1105633802816901</v>
      </c>
      <c r="U22" s="4">
        <f>'4.1 Comptes 2021 natures'!U22/'4.1 Comptes 2021 natures'!U2</f>
        <v>0</v>
      </c>
      <c r="V22" s="4">
        <f>'4.1 Comptes 2021 natures'!V22/'4.1 Comptes 2021 natures'!V2</f>
        <v>10.909090909090908</v>
      </c>
      <c r="W22" s="4">
        <f>'4.1 Comptes 2021 natures'!W22/'4.1 Comptes 2021 natures'!W2</f>
        <v>36.466196965004649</v>
      </c>
      <c r="X22" s="4">
        <f>'4.1 Comptes 2021 natures'!X22/'4.1 Comptes 2021 natures'!X2</f>
        <v>71.269677419354835</v>
      </c>
      <c r="Y22" s="4">
        <f>'4.1 Comptes 2021 natures'!Y22/'4.1 Comptes 2021 natures'!Y2</f>
        <v>24.385826771653544</v>
      </c>
      <c r="Z22" s="4">
        <f>'4.1 Comptes 2021 natures'!Z22/'4.1 Comptes 2021 natures'!Z2</f>
        <v>48.335524568393097</v>
      </c>
      <c r="AA22" s="4">
        <f>'4.1 Comptes 2021 natures'!AA22/'4.1 Comptes 2021 natures'!AA2</f>
        <v>0</v>
      </c>
      <c r="AB22" s="4">
        <f>'4.1 Comptes 2021 natures'!AB22/'4.1 Comptes 2021 natures'!AB2</f>
        <v>5.4054054054054053</v>
      </c>
      <c r="AC22" s="4">
        <f>'4.1 Comptes 2021 natures'!AC22/'4.1 Comptes 2021 natures'!AC2</f>
        <v>6.1543436293436287</v>
      </c>
      <c r="AD22" s="4">
        <f>'4.1 Comptes 2021 natures'!AD22/'4.1 Comptes 2021 natures'!AD2</f>
        <v>58.659914407988587</v>
      </c>
      <c r="AE22" s="4">
        <f>'4.1 Comptes 2021 natures'!AE22/'4.1 Comptes 2021 natures'!AE2</f>
        <v>9.6519503546099283</v>
      </c>
      <c r="AF22" s="4">
        <f>'4.1 Comptes 2021 natures'!AF22/'4.1 Comptes 2021 natures'!AF2</f>
        <v>0</v>
      </c>
      <c r="AG22" s="4">
        <f>'4.1 Comptes 2021 natures'!AG22/'4.1 Comptes 2021 natures'!AG2</f>
        <v>1.1636982713462545</v>
      </c>
      <c r="AH22" s="4">
        <f>'4.1 Comptes 2021 natures'!AH22/'4.1 Comptes 2021 natures'!AH2</f>
        <v>51.96137596899225</v>
      </c>
      <c r="AI22" s="4">
        <f>'4.1 Comptes 2021 natures'!AI22/'4.1 Comptes 2021 natures'!AI2</f>
        <v>9.4594594594594597</v>
      </c>
      <c r="AJ22" s="4">
        <f>'4.1 Comptes 2021 natures'!AJ22/'4.1 Comptes 2021 natures'!AJ2</f>
        <v>0</v>
      </c>
      <c r="AK22" s="4">
        <f>'4.1 Comptes 2021 natures'!AK22/'4.1 Comptes 2021 natures'!AK2</f>
        <v>0</v>
      </c>
      <c r="AL22" s="4">
        <f>'4.1 Comptes 2021 natures'!AL22/'4.1 Comptes 2021 natures'!AL2</f>
        <v>11.410213143872113</v>
      </c>
      <c r="AM22" s="4">
        <f>'4.1 Comptes 2021 natures'!AM22/'4.1 Comptes 2021 natures'!AM2</f>
        <v>11.126122448979592</v>
      </c>
      <c r="AN22" s="4">
        <f>'4.1 Comptes 2021 natures'!AN22/'4.1 Comptes 2021 natures'!AN2</f>
        <v>5.1282051282051286</v>
      </c>
      <c r="AO22" s="4">
        <f>'4.1 Comptes 2021 natures'!AO22/'4.1 Comptes 2021 natures'!AO2</f>
        <v>33.502109704641349</v>
      </c>
      <c r="AP22" s="4">
        <f>'4.1 Comptes 2021 natures'!AP22/'4.1 Comptes 2021 natures'!AP2</f>
        <v>58.91495327102804</v>
      </c>
      <c r="AQ22" s="4">
        <f>'4.1 Comptes 2021 natures'!AQ22/'4.1 Comptes 2021 natures'!AQ2</f>
        <v>0</v>
      </c>
      <c r="AR22" s="4">
        <f>'4.1 Comptes 2021 natures'!AR22/'4.1 Comptes 2021 natures'!AR2</f>
        <v>32.057087227414335</v>
      </c>
      <c r="AS22" s="4">
        <f>'4.1 Comptes 2021 natures'!AS22/'4.1 Comptes 2021 natures'!AS2</f>
        <v>33.475854993160056</v>
      </c>
      <c r="AT22" s="4">
        <f>'4.1 Comptes 2021 natures'!AT22/'4.1 Comptes 2021 natures'!AT2</f>
        <v>0</v>
      </c>
      <c r="AU22" s="4">
        <f>'4.1 Comptes 2021 natures'!AU22/'4.1 Comptes 2021 natures'!AU2</f>
        <v>0</v>
      </c>
      <c r="AV22" s="4">
        <f>'4.1 Comptes 2021 natures'!AV22/'4.1 Comptes 2021 natures'!AV2</f>
        <v>3.8142620232172471</v>
      </c>
      <c r="AW22" s="4">
        <f>'4.1 Comptes 2021 natures'!AW22/'4.1 Comptes 2021 natures'!AW2</f>
        <v>29.395510204081635</v>
      </c>
      <c r="AX22" s="4">
        <f>'4.1 Comptes 2021 natures'!AX22/'4.1 Comptes 2021 natures'!AX2</f>
        <v>0</v>
      </c>
      <c r="AY22" s="4">
        <f>'4.1 Comptes 2021 natures'!AY22/'4.1 Comptes 2021 natures'!AY2</f>
        <v>10.510147058823529</v>
      </c>
      <c r="AZ22" s="4">
        <f>'4.1 Comptes 2021 natures'!AZ22/'4.1 Comptes 2021 natures'!AZ2</f>
        <v>19.813995285798466</v>
      </c>
      <c r="BA22" s="4">
        <f>'4.1 Comptes 2021 natures'!BA22/'4.1 Comptes 2021 natures'!BA2</f>
        <v>0</v>
      </c>
      <c r="BB22" s="4">
        <f>'4.1 Comptes 2021 natures'!BB22/'4.1 Comptes 2021 natures'!BB2</f>
        <v>3.4337371854613234</v>
      </c>
      <c r="BC22" s="4">
        <f>'4.1 Comptes 2021 natures'!BC22/'4.1 Comptes 2021 natures'!BC2</f>
        <v>0</v>
      </c>
      <c r="BD22" s="4">
        <f>'4.1 Comptes 2021 natures'!BD22/'4.1 Comptes 2021 natures'!BD2</f>
        <v>115.8818744200433</v>
      </c>
      <c r="BE22" s="4">
        <f>'4.1 Comptes 2021 natures'!BE22/'4.1 Comptes 2021 natures'!BE2</f>
        <v>1.0733452593917709</v>
      </c>
      <c r="BF22" s="4">
        <f t="shared" si="10"/>
        <v>1050.3642255161667</v>
      </c>
      <c r="BG22" s="4">
        <f t="shared" si="7"/>
        <v>394.37963190550192</v>
      </c>
      <c r="BH22" s="4">
        <f t="shared" si="8"/>
        <v>286.44717625654704</v>
      </c>
      <c r="BI22" s="4">
        <f t="shared" si="9"/>
        <v>369.53741735411785</v>
      </c>
    </row>
    <row r="23" spans="2:61" x14ac:dyDescent="0.25">
      <c r="C23">
        <v>317</v>
      </c>
      <c r="D23" t="s">
        <v>95</v>
      </c>
      <c r="E23" s="4">
        <f>'4.1 Comptes 2021 natures'!E23/'4.1 Comptes 2021 natures'!E2</f>
        <v>24.927824709609293</v>
      </c>
      <c r="F23" s="4">
        <f>'4.1 Comptes 2021 natures'!F23/'4.1 Comptes 2021 natures'!F2</f>
        <v>8.2173584905660366</v>
      </c>
      <c r="G23" s="4">
        <f>'4.1 Comptes 2021 natures'!G23/'4.1 Comptes 2021 natures'!G2</f>
        <v>2.908315565031983</v>
      </c>
      <c r="H23" s="4">
        <f>'4.1 Comptes 2021 natures'!H23/'4.1 Comptes 2021 natures'!H2</f>
        <v>5.8779043280182233</v>
      </c>
      <c r="I23" s="4">
        <f>'4.1 Comptes 2021 natures'!I23/'4.1 Comptes 2021 natures'!I2</f>
        <v>10.735474785407725</v>
      </c>
      <c r="J23" s="4">
        <f>'4.1 Comptes 2021 natures'!J23/'4.1 Comptes 2021 natures'!J2</f>
        <v>11.119267563527652</v>
      </c>
      <c r="K23" s="4">
        <f>'4.1 Comptes 2021 natures'!K23/'4.1 Comptes 2021 natures'!K2</f>
        <v>8.7017533936651574</v>
      </c>
      <c r="L23" s="4">
        <f>'4.1 Comptes 2021 natures'!L23/'4.1 Comptes 2021 natures'!L2</f>
        <v>6.1286361086625529</v>
      </c>
      <c r="M23" s="4">
        <f>'4.1 Comptes 2021 natures'!M23/'4.1 Comptes 2021 natures'!M2</f>
        <v>12.264532744665194</v>
      </c>
      <c r="N23" s="4">
        <f>'4.1 Comptes 2021 natures'!N23/'4.1 Comptes 2021 natures'!N2</f>
        <v>0.14358974358974361</v>
      </c>
      <c r="O23" s="4">
        <f>'4.1 Comptes 2021 natures'!O23/'4.1 Comptes 2021 natures'!O2</f>
        <v>8.3187852912821914</v>
      </c>
      <c r="P23" s="4">
        <f>'4.1 Comptes 2021 natures'!P23/'4.1 Comptes 2021 natures'!P2</f>
        <v>6.5765799256505577</v>
      </c>
      <c r="Q23" s="4">
        <f>'4.1 Comptes 2021 natures'!Q23/'4.1 Comptes 2021 natures'!Q2</f>
        <v>5.6644144144144146</v>
      </c>
      <c r="R23" s="4">
        <f>'4.1 Comptes 2021 natures'!R23/'4.1 Comptes 2021 natures'!R2</f>
        <v>2.9995249406175772</v>
      </c>
      <c r="S23" s="4">
        <f>'4.1 Comptes 2021 natures'!S23/'4.1 Comptes 2021 natures'!S2</f>
        <v>21.399855491329483</v>
      </c>
      <c r="T23" s="4">
        <f>'4.1 Comptes 2021 natures'!T23/'4.1 Comptes 2021 natures'!T2</f>
        <v>73.173873239436617</v>
      </c>
      <c r="U23" s="4">
        <f>'4.1 Comptes 2021 natures'!U23/'4.1 Comptes 2021 natures'!U2</f>
        <v>2.6241635687732341</v>
      </c>
      <c r="V23" s="4">
        <f>'4.1 Comptes 2021 natures'!V23/'4.1 Comptes 2021 natures'!V2</f>
        <v>5.7537500000000001</v>
      </c>
      <c r="W23" s="4">
        <f>'4.1 Comptes 2021 natures'!W23/'4.1 Comptes 2021 natures'!W2</f>
        <v>7.9374264478166614</v>
      </c>
      <c r="X23" s="4">
        <f>'4.1 Comptes 2021 natures'!X23/'4.1 Comptes 2021 natures'!X2</f>
        <v>64.926612903225802</v>
      </c>
      <c r="Y23" s="4">
        <f>'4.1 Comptes 2021 natures'!Y23/'4.1 Comptes 2021 natures'!Y2</f>
        <v>6.4690551181102371</v>
      </c>
      <c r="Z23" s="4">
        <f>'4.1 Comptes 2021 natures'!Z23/'4.1 Comptes 2021 natures'!Z2</f>
        <v>23.156507304116865</v>
      </c>
      <c r="AA23" s="4">
        <f>'4.1 Comptes 2021 natures'!AA23/'4.1 Comptes 2021 natures'!AA2</f>
        <v>5.3401041666666664</v>
      </c>
      <c r="AB23" s="4">
        <f>'4.1 Comptes 2021 natures'!AB23/'4.1 Comptes 2021 natures'!AB2</f>
        <v>5.2898648648648647</v>
      </c>
      <c r="AC23" s="4">
        <f>'4.1 Comptes 2021 natures'!AC23/'4.1 Comptes 2021 natures'!AC2</f>
        <v>9.2428571428571438</v>
      </c>
      <c r="AD23" s="4">
        <f>'4.1 Comptes 2021 natures'!AD23/'4.1 Comptes 2021 natures'!AD2</f>
        <v>15.88987161198288</v>
      </c>
      <c r="AE23" s="4">
        <f>'4.1 Comptes 2021 natures'!AE23/'4.1 Comptes 2021 natures'!AE2</f>
        <v>10.459131205673758</v>
      </c>
      <c r="AF23" s="4">
        <f>'4.1 Comptes 2021 natures'!AF23/'4.1 Comptes 2021 natures'!AF2</f>
        <v>0.16638095238095238</v>
      </c>
      <c r="AG23" s="4">
        <f>'4.1 Comptes 2021 natures'!AG23/'4.1 Comptes 2021 natures'!AG2</f>
        <v>13.419617600838135</v>
      </c>
      <c r="AH23" s="4">
        <f>'4.1 Comptes 2021 natures'!AH23/'4.1 Comptes 2021 natures'!AH2</f>
        <v>11.210348837209303</v>
      </c>
      <c r="AI23" s="4">
        <f>'4.1 Comptes 2021 natures'!AI23/'4.1 Comptes 2021 natures'!AI2</f>
        <v>4.3328828828828829</v>
      </c>
      <c r="AJ23" s="4">
        <f>'4.1 Comptes 2021 natures'!AJ23/'4.1 Comptes 2021 natures'!AJ2</f>
        <v>3.9449612403100773</v>
      </c>
      <c r="AK23" s="4">
        <f>'4.1 Comptes 2021 natures'!AK23/'4.1 Comptes 2021 natures'!AK2</f>
        <v>12.197778952934955</v>
      </c>
      <c r="AL23" s="4">
        <f>'4.1 Comptes 2021 natures'!AL23/'4.1 Comptes 2021 natures'!AL2</f>
        <v>10.159902309058614</v>
      </c>
      <c r="AM23" s="4">
        <f>'4.1 Comptes 2021 natures'!AM23/'4.1 Comptes 2021 natures'!AM2</f>
        <v>8.0926122448979605</v>
      </c>
      <c r="AN23" s="4">
        <f>'4.1 Comptes 2021 natures'!AN23/'4.1 Comptes 2021 natures'!AN2</f>
        <v>3.7333333333333334</v>
      </c>
      <c r="AO23" s="4">
        <f>'4.1 Comptes 2021 natures'!AO23/'4.1 Comptes 2021 natures'!AO2</f>
        <v>13.08548523206751</v>
      </c>
      <c r="AP23" s="4">
        <f>'4.1 Comptes 2021 natures'!AP23/'4.1 Comptes 2021 natures'!AP2</f>
        <v>5.5049844236760119</v>
      </c>
      <c r="AQ23" s="4">
        <f>'4.1 Comptes 2021 natures'!AQ23/'4.1 Comptes 2021 natures'!AQ2</f>
        <v>0.82045813586097949</v>
      </c>
      <c r="AR23" s="4">
        <f>'4.1 Comptes 2021 natures'!AR23/'4.1 Comptes 2021 natures'!AR2</f>
        <v>16.5220015576324</v>
      </c>
      <c r="AS23" s="4">
        <f>'4.1 Comptes 2021 natures'!AS23/'4.1 Comptes 2021 natures'!AS2</f>
        <v>12.991313269493844</v>
      </c>
      <c r="AT23" s="4">
        <f>'4.1 Comptes 2021 natures'!AT23/'4.1 Comptes 2021 natures'!AT2</f>
        <v>10.148622047244094</v>
      </c>
      <c r="AU23" s="4">
        <f>'4.1 Comptes 2021 natures'!AU23/'4.1 Comptes 2021 natures'!AU2</f>
        <v>1.3319078947368421</v>
      </c>
      <c r="AV23" s="4">
        <f>'4.1 Comptes 2021 natures'!AV23/'4.1 Comptes 2021 natures'!AV2</f>
        <v>9.701305970149253</v>
      </c>
      <c r="AW23" s="4">
        <f>'4.1 Comptes 2021 natures'!AW23/'4.1 Comptes 2021 natures'!AW2</f>
        <v>4.8561904761904762</v>
      </c>
      <c r="AX23" s="4">
        <f>'4.1 Comptes 2021 natures'!AX23/'4.1 Comptes 2021 natures'!AX2</f>
        <v>2.6335135135135133</v>
      </c>
      <c r="AY23" s="4">
        <f>'4.1 Comptes 2021 natures'!AY23/'4.1 Comptes 2021 natures'!AY2</f>
        <v>8.4607352941176472</v>
      </c>
      <c r="AZ23" s="4">
        <f>'4.1 Comptes 2021 natures'!AZ23/'4.1 Comptes 2021 natures'!AZ2</f>
        <v>11.840807307012374</v>
      </c>
      <c r="BA23" s="4">
        <f>'4.1 Comptes 2021 natures'!BA23/'4.1 Comptes 2021 natures'!BA2</f>
        <v>3.8007692307692307</v>
      </c>
      <c r="BB23" s="4">
        <f>'4.1 Comptes 2021 natures'!BB23/'4.1 Comptes 2021 natures'!BB2</f>
        <v>16.714538676607642</v>
      </c>
      <c r="BC23" s="4">
        <f>'4.1 Comptes 2021 natures'!BC23/'4.1 Comptes 2021 natures'!BC2</f>
        <v>0.98913043478260865</v>
      </c>
      <c r="BD23" s="4">
        <f>'4.1 Comptes 2021 natures'!BD23/'4.1 Comptes 2021 natures'!BD2</f>
        <v>4.35417568821528</v>
      </c>
      <c r="BE23" s="4">
        <f>'4.1 Comptes 2021 natures'!BE23/'4.1 Comptes 2021 natures'!BE2</f>
        <v>6.3449016100178897</v>
      </c>
      <c r="BF23" s="4">
        <f t="shared" si="10"/>
        <v>563.6056941854963</v>
      </c>
      <c r="BG23" s="4">
        <f t="shared" si="7"/>
        <v>225.47303075206426</v>
      </c>
      <c r="BH23" s="4">
        <f t="shared" si="8"/>
        <v>173.84819583111957</v>
      </c>
      <c r="BI23" s="4">
        <f t="shared" si="9"/>
        <v>164.28446760231245</v>
      </c>
    </row>
    <row r="24" spans="2:61" x14ac:dyDescent="0.25">
      <c r="C24">
        <v>318</v>
      </c>
      <c r="D24" t="s">
        <v>96</v>
      </c>
      <c r="E24" s="4">
        <f>'4.1 Comptes 2021 natures'!E24/'4.1 Comptes 2021 natures'!E2</f>
        <v>-49.48711721224921</v>
      </c>
      <c r="F24" s="4">
        <f>'4.1 Comptes 2021 natures'!F24/'4.1 Comptes 2021 natures'!F2</f>
        <v>47.882716981132077</v>
      </c>
      <c r="G24" s="4">
        <f>'4.1 Comptes 2021 natures'!G24/'4.1 Comptes 2021 natures'!G2</f>
        <v>30.629232409381665</v>
      </c>
      <c r="H24" s="4">
        <f>'4.1 Comptes 2021 natures'!H24/'4.1 Comptes 2021 natures'!H2</f>
        <v>13.386013667425969</v>
      </c>
      <c r="I24" s="4">
        <f>'4.1 Comptes 2021 natures'!I24/'4.1 Comptes 2021 natures'!I2</f>
        <v>55.784179184549359</v>
      </c>
      <c r="J24" s="4">
        <f>'4.1 Comptes 2021 natures'!J24/'4.1 Comptes 2021 natures'!J2</f>
        <v>38.789147982062779</v>
      </c>
      <c r="K24" s="4">
        <f>'4.1 Comptes 2021 natures'!K24/'4.1 Comptes 2021 natures'!K2</f>
        <v>12.21607088989442</v>
      </c>
      <c r="L24" s="4">
        <f>'4.1 Comptes 2021 natures'!L24/'4.1 Comptes 2021 natures'!L2</f>
        <v>25.856656783396105</v>
      </c>
      <c r="M24" s="4">
        <f>'4.1 Comptes 2021 natures'!M24/'4.1 Comptes 2021 natures'!M2</f>
        <v>20.771736571008095</v>
      </c>
      <c r="N24" s="4">
        <f>'4.1 Comptes 2021 natures'!N24/'4.1 Comptes 2021 natures'!N2</f>
        <v>86.654529914529917</v>
      </c>
      <c r="O24" s="4">
        <f>'4.1 Comptes 2021 natures'!O24/'4.1 Comptes 2021 natures'!O2</f>
        <v>31.717735849056606</v>
      </c>
      <c r="P24" s="4">
        <f>'4.1 Comptes 2021 natures'!P24/'4.1 Comptes 2021 natures'!P2</f>
        <v>29.025446096654274</v>
      </c>
      <c r="Q24" s="4">
        <f>'4.1 Comptes 2021 natures'!Q24/'4.1 Comptes 2021 natures'!Q2</f>
        <v>3.8513513513513513</v>
      </c>
      <c r="R24" s="4">
        <f>'4.1 Comptes 2021 natures'!R24/'4.1 Comptes 2021 natures'!R2</f>
        <v>0</v>
      </c>
      <c r="S24" s="4">
        <f>'4.1 Comptes 2021 natures'!S24/'4.1 Comptes 2021 natures'!S2</f>
        <v>-11.704624277456649</v>
      </c>
      <c r="T24" s="4">
        <f>'4.1 Comptes 2021 natures'!T24/'4.1 Comptes 2021 natures'!T2</f>
        <v>55.330690140845071</v>
      </c>
      <c r="U24" s="4">
        <f>'4.1 Comptes 2021 natures'!U24/'4.1 Comptes 2021 natures'!U2</f>
        <v>38.278252788104091</v>
      </c>
      <c r="V24" s="4">
        <f>'4.1 Comptes 2021 natures'!V24/'4.1 Comptes 2021 natures'!V2</f>
        <v>182.6436590909091</v>
      </c>
      <c r="W24" s="4">
        <f>'4.1 Comptes 2021 natures'!W24/'4.1 Comptes 2021 natures'!W2</f>
        <v>57.381288324558682</v>
      </c>
      <c r="X24" s="4">
        <f>'4.1 Comptes 2021 natures'!X24/'4.1 Comptes 2021 natures'!X2</f>
        <v>-36.323419354838713</v>
      </c>
      <c r="Y24" s="4">
        <f>'4.1 Comptes 2021 natures'!Y24/'4.1 Comptes 2021 natures'!Y2</f>
        <v>23.281322834645668</v>
      </c>
      <c r="Z24" s="4">
        <f>'4.1 Comptes 2021 natures'!Z24/'4.1 Comptes 2021 natures'!Z2</f>
        <v>31.247695883134128</v>
      </c>
      <c r="AA24" s="4">
        <f>'4.1 Comptes 2021 natures'!AA24/'4.1 Comptes 2021 natures'!AA2</f>
        <v>67.016354166666659</v>
      </c>
      <c r="AB24" s="4">
        <f>'4.1 Comptes 2021 natures'!AB24/'4.1 Comptes 2021 natures'!AB2</f>
        <v>55.921824324324326</v>
      </c>
      <c r="AC24" s="4">
        <f>'4.1 Comptes 2021 natures'!AC24/'4.1 Comptes 2021 natures'!AC2</f>
        <v>134.64050193050193</v>
      </c>
      <c r="AD24" s="4">
        <f>'4.1 Comptes 2021 natures'!AD24/'4.1 Comptes 2021 natures'!AD2</f>
        <v>83.214122681883026</v>
      </c>
      <c r="AE24" s="4">
        <f>'4.1 Comptes 2021 natures'!AE24/'4.1 Comptes 2021 natures'!AE2</f>
        <v>26.603120567375885</v>
      </c>
      <c r="AF24" s="4">
        <f>'4.1 Comptes 2021 natures'!AF24/'4.1 Comptes 2021 natures'!AF2</f>
        <v>-1.8001142857142856</v>
      </c>
      <c r="AG24" s="4">
        <f>'4.1 Comptes 2021 natures'!AG24/'4.1 Comptes 2021 natures'!AG2</f>
        <v>21.277815610267155</v>
      </c>
      <c r="AH24" s="4">
        <f>'4.1 Comptes 2021 natures'!AH24/'4.1 Comptes 2021 natures'!AH2</f>
        <v>25.647457364341086</v>
      </c>
      <c r="AI24" s="4">
        <f>'4.1 Comptes 2021 natures'!AI24/'4.1 Comptes 2021 natures'!AI2</f>
        <v>16.469774774774773</v>
      </c>
      <c r="AJ24" s="4">
        <f>'4.1 Comptes 2021 natures'!AJ24/'4.1 Comptes 2021 natures'!AJ2</f>
        <v>-62.456124031007754</v>
      </c>
      <c r="AK24" s="4">
        <f>'4.1 Comptes 2021 natures'!AK24/'4.1 Comptes 2021 natures'!AK2</f>
        <v>1.964806980433633</v>
      </c>
      <c r="AL24" s="4">
        <f>'4.1 Comptes 2021 natures'!AL24/'4.1 Comptes 2021 natures'!AL2</f>
        <v>53.673179396092365</v>
      </c>
      <c r="AM24" s="4">
        <f>'4.1 Comptes 2021 natures'!AM24/'4.1 Comptes 2021 natures'!AM2</f>
        <v>71.973575510204086</v>
      </c>
      <c r="AN24" s="4">
        <f>'4.1 Comptes 2021 natures'!AN24/'4.1 Comptes 2021 natures'!AN2</f>
        <v>225.25974358974358</v>
      </c>
      <c r="AO24" s="4">
        <f>'4.1 Comptes 2021 natures'!AO24/'4.1 Comptes 2021 natures'!AO2</f>
        <v>38.183924050632911</v>
      </c>
      <c r="AP24" s="4">
        <f>'4.1 Comptes 2021 natures'!AP24/'4.1 Comptes 2021 natures'!AP2</f>
        <v>56.578862928348904</v>
      </c>
      <c r="AQ24" s="4">
        <f>'4.1 Comptes 2021 natures'!AQ24/'4.1 Comptes 2021 natures'!AQ2</f>
        <v>58.212717219589258</v>
      </c>
      <c r="AR24" s="4">
        <f>'4.1 Comptes 2021 natures'!AR24/'4.1 Comptes 2021 natures'!AR2</f>
        <v>39.996331775700938</v>
      </c>
      <c r="AS24" s="4">
        <f>'4.1 Comptes 2021 natures'!AS24/'4.1 Comptes 2021 natures'!AS2</f>
        <v>9.5262517099863189</v>
      </c>
      <c r="AT24" s="4">
        <f>'4.1 Comptes 2021 natures'!AT24/'4.1 Comptes 2021 natures'!AT2</f>
        <v>58.350649606299214</v>
      </c>
      <c r="AU24" s="4">
        <f>'4.1 Comptes 2021 natures'!AU24/'4.1 Comptes 2021 natures'!AU2</f>
        <v>44.394111842105261</v>
      </c>
      <c r="AV24" s="4">
        <f>'4.1 Comptes 2021 natures'!AV24/'4.1 Comptes 2021 natures'!AV2</f>
        <v>30.819369817578774</v>
      </c>
      <c r="AW24" s="4">
        <f>'4.1 Comptes 2021 natures'!AW24/'4.1 Comptes 2021 natures'!AW2</f>
        <v>58.878408163265306</v>
      </c>
      <c r="AX24" s="4">
        <f>'4.1 Comptes 2021 natures'!AX24/'4.1 Comptes 2021 natures'!AX2</f>
        <v>65.710810810810813</v>
      </c>
      <c r="AY24" s="4">
        <f>'4.1 Comptes 2021 natures'!AY24/'4.1 Comptes 2021 natures'!AY2</f>
        <v>128.27452941176469</v>
      </c>
      <c r="AZ24" s="4">
        <f>'4.1 Comptes 2021 natures'!AZ24/'4.1 Comptes 2021 natures'!AZ2</f>
        <v>58.685374189746611</v>
      </c>
      <c r="BA24" s="4">
        <f>'4.1 Comptes 2021 natures'!BA24/'4.1 Comptes 2021 natures'!BA2</f>
        <v>157.83453846153847</v>
      </c>
      <c r="BB24" s="4">
        <f>'4.1 Comptes 2021 natures'!BB24/'4.1 Comptes 2021 natures'!BB2</f>
        <v>21.955219012115563</v>
      </c>
      <c r="BC24" s="4">
        <f>'4.1 Comptes 2021 natures'!BC24/'4.1 Comptes 2021 natures'!BC2</f>
        <v>76.002663043478265</v>
      </c>
      <c r="BD24" s="4">
        <f>'4.1 Comptes 2021 natures'!BD24/'4.1 Comptes 2021 natures'!BD2</f>
        <v>55.197534797401794</v>
      </c>
      <c r="BE24" s="4">
        <f>'4.1 Comptes 2021 natures'!BE24/'4.1 Comptes 2021 natures'!BE2</f>
        <v>70.148264758497305</v>
      </c>
      <c r="BF24" s="4">
        <f t="shared" si="10"/>
        <v>2435.3681660768416</v>
      </c>
      <c r="BG24" s="4">
        <f t="shared" si="7"/>
        <v>669.00696653515377</v>
      </c>
      <c r="BH24" s="4">
        <f t="shared" si="8"/>
        <v>384.74033246635395</v>
      </c>
      <c r="BI24" s="4">
        <f t="shared" si="9"/>
        <v>1381.620867075334</v>
      </c>
    </row>
    <row r="25" spans="2:61" x14ac:dyDescent="0.25">
      <c r="C25">
        <v>319</v>
      </c>
      <c r="D25" t="s">
        <v>97</v>
      </c>
      <c r="E25" s="4">
        <f>'4.1 Comptes 2021 natures'!E25/'4.1 Comptes 2021 natures'!E2</f>
        <v>0.96779303062302002</v>
      </c>
      <c r="F25" s="4">
        <f>'4.1 Comptes 2021 natures'!F25/'4.1 Comptes 2021 natures'!F2</f>
        <v>5.2883018867924534</v>
      </c>
      <c r="G25" s="4">
        <f>'4.1 Comptes 2021 natures'!G25/'4.1 Comptes 2021 natures'!G2</f>
        <v>12.923880597014925</v>
      </c>
      <c r="H25" s="4">
        <f>'4.1 Comptes 2021 natures'!H25/'4.1 Comptes 2021 natures'!H2</f>
        <v>11.761503416856492</v>
      </c>
      <c r="I25" s="4">
        <f>'4.1 Comptes 2021 natures'!I25/'4.1 Comptes 2021 natures'!I2</f>
        <v>14.464624463519314</v>
      </c>
      <c r="J25" s="4">
        <f>'4.1 Comptes 2021 natures'!J25/'4.1 Comptes 2021 natures'!J2</f>
        <v>7.2774588938714491</v>
      </c>
      <c r="K25" s="4">
        <f>'4.1 Comptes 2021 natures'!K25/'4.1 Comptes 2021 natures'!K2</f>
        <v>5.6997549019607847</v>
      </c>
      <c r="L25" s="4">
        <f>'4.1 Comptes 2021 natures'!L25/'4.1 Comptes 2021 natures'!L2</f>
        <v>13.218883724657426</v>
      </c>
      <c r="M25" s="4">
        <f>'4.1 Comptes 2021 natures'!M25/'4.1 Comptes 2021 natures'!M2</f>
        <v>38.810890360559235</v>
      </c>
      <c r="N25" s="4">
        <f>'4.1 Comptes 2021 natures'!N25/'4.1 Comptes 2021 natures'!N2</f>
        <v>8.3076923076923084</v>
      </c>
      <c r="O25" s="4">
        <f>'4.1 Comptes 2021 natures'!O25/'4.1 Comptes 2021 natures'!O2</f>
        <v>3.4276339347197355</v>
      </c>
      <c r="P25" s="4">
        <f>'4.1 Comptes 2021 natures'!P25/'4.1 Comptes 2021 natures'!P2</f>
        <v>3.0706319702602229</v>
      </c>
      <c r="Q25" s="4">
        <f>'4.1 Comptes 2021 natures'!Q25/'4.1 Comptes 2021 natures'!Q2</f>
        <v>35.017837837837838</v>
      </c>
      <c r="R25" s="4">
        <f>'4.1 Comptes 2021 natures'!R25/'4.1 Comptes 2021 natures'!R2</f>
        <v>0</v>
      </c>
      <c r="S25" s="4">
        <f>'4.1 Comptes 2021 natures'!S25/'4.1 Comptes 2021 natures'!S2</f>
        <v>2.6975433526011563</v>
      </c>
      <c r="T25" s="4">
        <f>'4.1 Comptes 2021 natures'!T25/'4.1 Comptes 2021 natures'!T2</f>
        <v>11.545070422535211</v>
      </c>
      <c r="U25" s="4">
        <f>'4.1 Comptes 2021 natures'!U25/'4.1 Comptes 2021 natures'!U2</f>
        <v>5.6143122676579926</v>
      </c>
      <c r="V25" s="4">
        <f>'4.1 Comptes 2021 natures'!V25/'4.1 Comptes 2021 natures'!V2</f>
        <v>4.5488636363636363</v>
      </c>
      <c r="W25" s="4">
        <f>'4.1 Comptes 2021 natures'!W25/'4.1 Comptes 2021 natures'!W2</f>
        <v>1.1270052647878599</v>
      </c>
      <c r="X25" s="4">
        <f>'4.1 Comptes 2021 natures'!X25/'4.1 Comptes 2021 natures'!X2</f>
        <v>3.7933870967741936</v>
      </c>
      <c r="Y25" s="4">
        <f>'4.1 Comptes 2021 natures'!Y25/'4.1 Comptes 2021 natures'!Y2</f>
        <v>11.658070866141733</v>
      </c>
      <c r="Z25" s="4">
        <f>'4.1 Comptes 2021 natures'!Z25/'4.1 Comptes 2021 natures'!Z2</f>
        <v>9.7186586985391763</v>
      </c>
      <c r="AA25" s="4">
        <f>'4.1 Comptes 2021 natures'!AA25/'4.1 Comptes 2021 natures'!AA2</f>
        <v>8.3020833333333339</v>
      </c>
      <c r="AB25" s="4">
        <f>'4.1 Comptes 2021 natures'!AB25/'4.1 Comptes 2021 natures'!AB2</f>
        <v>4.3104729729729732</v>
      </c>
      <c r="AC25" s="4">
        <f>'4.1 Comptes 2021 natures'!AC25/'4.1 Comptes 2021 natures'!AC2</f>
        <v>6.573841698841699</v>
      </c>
      <c r="AD25" s="4">
        <f>'4.1 Comptes 2021 natures'!AD25/'4.1 Comptes 2021 natures'!AD2</f>
        <v>14.989942938659059</v>
      </c>
      <c r="AE25" s="4">
        <f>'4.1 Comptes 2021 natures'!AE25/'4.1 Comptes 2021 natures'!AE2</f>
        <v>2.1264184397163119</v>
      </c>
      <c r="AF25" s="4">
        <f>'4.1 Comptes 2021 natures'!AF25/'4.1 Comptes 2021 natures'!AF2</f>
        <v>1.762</v>
      </c>
      <c r="AG25" s="4">
        <f>'4.1 Comptes 2021 natures'!AG25/'4.1 Comptes 2021 natures'!AG2</f>
        <v>11.258957569408066</v>
      </c>
      <c r="AH25" s="4">
        <f>'4.1 Comptes 2021 natures'!AH25/'4.1 Comptes 2021 natures'!AH2</f>
        <v>6.0356976744186044</v>
      </c>
      <c r="AI25" s="4">
        <f>'4.1 Comptes 2021 natures'!AI25/'4.1 Comptes 2021 natures'!AI2</f>
        <v>4.5418918918918916</v>
      </c>
      <c r="AJ25" s="4">
        <f>'4.1 Comptes 2021 natures'!AJ25/'4.1 Comptes 2021 natures'!AJ2</f>
        <v>10.760077519379845</v>
      </c>
      <c r="AK25" s="4">
        <f>'4.1 Comptes 2021 natures'!AK25/'4.1 Comptes 2021 natures'!AK2</f>
        <v>0</v>
      </c>
      <c r="AL25" s="4">
        <f>'4.1 Comptes 2021 natures'!AL25/'4.1 Comptes 2021 natures'!AL2</f>
        <v>16.893081705150976</v>
      </c>
      <c r="AM25" s="4">
        <f>'4.1 Comptes 2021 natures'!AM25/'4.1 Comptes 2021 natures'!AM2</f>
        <v>0.56289795918367347</v>
      </c>
      <c r="AN25" s="4">
        <f>'4.1 Comptes 2021 natures'!AN25/'4.1 Comptes 2021 natures'!AN2</f>
        <v>0</v>
      </c>
      <c r="AO25" s="4">
        <f>'4.1 Comptes 2021 natures'!AO25/'4.1 Comptes 2021 natures'!AO2</f>
        <v>20.92282700421941</v>
      </c>
      <c r="AP25" s="4">
        <f>'4.1 Comptes 2021 natures'!AP25/'4.1 Comptes 2021 natures'!AP2</f>
        <v>2.1218847352024923</v>
      </c>
      <c r="AQ25" s="4">
        <f>'4.1 Comptes 2021 natures'!AQ25/'4.1 Comptes 2021 natures'!AQ2</f>
        <v>1.1953396524486573</v>
      </c>
      <c r="AR25" s="4">
        <f>'4.1 Comptes 2021 natures'!AR25/'4.1 Comptes 2021 natures'!AR2</f>
        <v>13.869781931464173</v>
      </c>
      <c r="AS25" s="4">
        <f>'4.1 Comptes 2021 natures'!AS25/'4.1 Comptes 2021 natures'!AS2</f>
        <v>2.3254445964432287</v>
      </c>
      <c r="AT25" s="4">
        <f>'4.1 Comptes 2021 natures'!AT25/'4.1 Comptes 2021 natures'!AT2</f>
        <v>10.632480314960631</v>
      </c>
      <c r="AU25" s="4">
        <f>'4.1 Comptes 2021 natures'!AU25/'4.1 Comptes 2021 natures'!AU2</f>
        <v>5.1817434210526319</v>
      </c>
      <c r="AV25" s="4">
        <f>'4.1 Comptes 2021 natures'!AV25/'4.1 Comptes 2021 natures'!AV2</f>
        <v>8.7064676616915424</v>
      </c>
      <c r="AW25" s="4">
        <f>'4.1 Comptes 2021 natures'!AW25/'4.1 Comptes 2021 natures'!AW2</f>
        <v>10.884353741496598</v>
      </c>
      <c r="AX25" s="4">
        <f>'4.1 Comptes 2021 natures'!AX25/'4.1 Comptes 2021 natures'!AX2</f>
        <v>4.7421621621621624</v>
      </c>
      <c r="AY25" s="4">
        <f>'4.1 Comptes 2021 natures'!AY25/'4.1 Comptes 2021 natures'!AY2</f>
        <v>0</v>
      </c>
      <c r="AZ25" s="4">
        <f>'4.1 Comptes 2021 natures'!AZ25/'4.1 Comptes 2021 natures'!AZ2</f>
        <v>4.7017678255745432</v>
      </c>
      <c r="BA25" s="4">
        <f>'4.1 Comptes 2021 natures'!BA25/'4.1 Comptes 2021 natures'!BA2</f>
        <v>0</v>
      </c>
      <c r="BB25" s="4">
        <f>'4.1 Comptes 2021 natures'!BB25/'4.1 Comptes 2021 natures'!BB2</f>
        <v>7.1542963653308487</v>
      </c>
      <c r="BC25" s="4">
        <f>'4.1 Comptes 2021 natures'!BC25/'4.1 Comptes 2021 natures'!BC2</f>
        <v>6.8157608695652172</v>
      </c>
      <c r="BD25" s="4">
        <f>'4.1 Comptes 2021 natures'!BD25/'4.1 Comptes 2021 natures'!BD2</f>
        <v>22.20326322301268</v>
      </c>
      <c r="BE25" s="4">
        <f>'4.1 Comptes 2021 natures'!BE25/'4.1 Comptes 2021 natures'!BE2</f>
        <v>6.7656529516994635</v>
      </c>
      <c r="BF25" s="4">
        <f t="shared" si="10"/>
        <v>427.28038909104686</v>
      </c>
      <c r="BG25" s="4">
        <f t="shared" si="7"/>
        <v>185.76968227031108</v>
      </c>
      <c r="BH25" s="4">
        <f t="shared" si="8"/>
        <v>95.831500700076887</v>
      </c>
      <c r="BI25" s="4">
        <f t="shared" si="9"/>
        <v>145.6792061206589</v>
      </c>
    </row>
    <row r="26" spans="2:61" x14ac:dyDescent="0.25">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row>
    <row r="27" spans="2:61" x14ac:dyDescent="0.25">
      <c r="B27" s="76">
        <v>33</v>
      </c>
      <c r="C27" s="76"/>
      <c r="D27" s="76" t="s">
        <v>98</v>
      </c>
      <c r="E27" s="77">
        <f>E28+E29</f>
        <v>297.92052798310453</v>
      </c>
      <c r="F27" s="77">
        <f t="shared" ref="F27:BI27" si="11">F28+F29</f>
        <v>311.0716981132075</v>
      </c>
      <c r="G27" s="77">
        <f t="shared" si="11"/>
        <v>161.76631130063964</v>
      </c>
      <c r="H27" s="77">
        <f t="shared" si="11"/>
        <v>222.57403189066059</v>
      </c>
      <c r="I27" s="77">
        <f t="shared" si="11"/>
        <v>259.4634629828326</v>
      </c>
      <c r="J27" s="77">
        <f t="shared" si="11"/>
        <v>308.33730642750373</v>
      </c>
      <c r="K27" s="77">
        <f t="shared" si="11"/>
        <v>191.47758295625943</v>
      </c>
      <c r="L27" s="77">
        <f t="shared" si="11"/>
        <v>450.91149130539304</v>
      </c>
      <c r="M27" s="77">
        <f t="shared" si="11"/>
        <v>173.7159676232524</v>
      </c>
      <c r="N27" s="77">
        <f t="shared" si="11"/>
        <v>434.16811965811962</v>
      </c>
      <c r="O27" s="77">
        <f t="shared" si="11"/>
        <v>167.39403663407242</v>
      </c>
      <c r="P27" s="77">
        <f t="shared" si="11"/>
        <v>217.6635687732342</v>
      </c>
      <c r="Q27" s="77">
        <f t="shared" si="11"/>
        <v>113.16216216216216</v>
      </c>
      <c r="R27" s="77">
        <f t="shared" si="11"/>
        <v>225.41567695961996</v>
      </c>
      <c r="S27" s="77">
        <f t="shared" si="11"/>
        <v>309.85838150289015</v>
      </c>
      <c r="T27" s="77">
        <f t="shared" si="11"/>
        <v>164.4181690140845</v>
      </c>
      <c r="U27" s="77">
        <f t="shared" si="11"/>
        <v>123.01003717472118</v>
      </c>
      <c r="V27" s="77">
        <f t="shared" si="11"/>
        <v>353.82920454545456</v>
      </c>
      <c r="W27" s="77">
        <f t="shared" si="11"/>
        <v>291.12696500464534</v>
      </c>
      <c r="X27" s="77">
        <f t="shared" si="11"/>
        <v>130.69435483870967</v>
      </c>
      <c r="Y27" s="77">
        <f t="shared" si="11"/>
        <v>212.39157480314961</v>
      </c>
      <c r="Z27" s="77">
        <f t="shared" si="11"/>
        <v>235.29770252324039</v>
      </c>
      <c r="AA27" s="77">
        <f t="shared" si="11"/>
        <v>506.25</v>
      </c>
      <c r="AB27" s="77">
        <f t="shared" si="11"/>
        <v>4.7297297297297298</v>
      </c>
      <c r="AC27" s="77">
        <f t="shared" si="11"/>
        <v>171.20260617760619</v>
      </c>
      <c r="AD27" s="77">
        <f t="shared" si="11"/>
        <v>270.68868758915835</v>
      </c>
      <c r="AE27" s="77">
        <f t="shared" si="11"/>
        <v>258.93464539007095</v>
      </c>
      <c r="AF27" s="77">
        <f t="shared" si="11"/>
        <v>165.40504761904762</v>
      </c>
      <c r="AG27" s="77">
        <f t="shared" si="11"/>
        <v>322.7958617077004</v>
      </c>
      <c r="AH27" s="77">
        <f t="shared" si="11"/>
        <v>297.95813953488368</v>
      </c>
      <c r="AI27" s="77">
        <f t="shared" si="11"/>
        <v>241.11261261261262</v>
      </c>
      <c r="AJ27" s="77">
        <f t="shared" si="11"/>
        <v>423.80465116279072</v>
      </c>
      <c r="AK27" s="77">
        <f t="shared" si="11"/>
        <v>371.48810153358011</v>
      </c>
      <c r="AL27" s="77">
        <f t="shared" si="11"/>
        <v>363.23223801065717</v>
      </c>
      <c r="AM27" s="77">
        <f t="shared" si="11"/>
        <v>214.20408163265307</v>
      </c>
      <c r="AN27" s="77">
        <f t="shared" si="11"/>
        <v>291.14529914529913</v>
      </c>
      <c r="AO27" s="77">
        <f t="shared" si="11"/>
        <v>505.74279324894508</v>
      </c>
      <c r="AP27" s="77">
        <f t="shared" si="11"/>
        <v>132.63239875389408</v>
      </c>
      <c r="AQ27" s="77">
        <f t="shared" si="11"/>
        <v>349.08777251184836</v>
      </c>
      <c r="AR27" s="77">
        <f t="shared" si="11"/>
        <v>140.6619937694704</v>
      </c>
      <c r="AS27" s="77">
        <f t="shared" si="11"/>
        <v>243.61388508891929</v>
      </c>
      <c r="AT27" s="77">
        <f t="shared" si="11"/>
        <v>244.27854330708664</v>
      </c>
      <c r="AU27" s="77">
        <f t="shared" si="11"/>
        <v>252.59243421052633</v>
      </c>
      <c r="AV27" s="77">
        <f t="shared" si="11"/>
        <v>193.16439883913762</v>
      </c>
      <c r="AW27" s="77">
        <f t="shared" si="11"/>
        <v>180.06261224489793</v>
      </c>
      <c r="AX27" s="77">
        <f t="shared" si="11"/>
        <v>180.59459459459458</v>
      </c>
      <c r="AY27" s="77">
        <f t="shared" si="11"/>
        <v>545.48529411764707</v>
      </c>
      <c r="AZ27" s="77">
        <f t="shared" si="11"/>
        <v>343.63111373011196</v>
      </c>
      <c r="BA27" s="77">
        <f t="shared" si="11"/>
        <v>81.764564102564108</v>
      </c>
      <c r="BB27" s="77">
        <f t="shared" si="11"/>
        <v>355.56925442684064</v>
      </c>
      <c r="BC27" s="77">
        <f t="shared" si="11"/>
        <v>75.875</v>
      </c>
      <c r="BD27" s="77">
        <f t="shared" si="11"/>
        <v>462.16611660995983</v>
      </c>
      <c r="BE27" s="77">
        <f t="shared" si="11"/>
        <v>180.89266547406083</v>
      </c>
      <c r="BF27" s="77">
        <f t="shared" si="11"/>
        <v>13726.435471053253</v>
      </c>
      <c r="BG27" s="77">
        <f t="shared" si="11"/>
        <v>4777.2847020118579</v>
      </c>
      <c r="BH27" s="77">
        <f t="shared" si="11"/>
        <v>3241.2656136887003</v>
      </c>
      <c r="BI27" s="77">
        <f t="shared" si="11"/>
        <v>5707.8851553526938</v>
      </c>
    </row>
    <row r="28" spans="2:61" x14ac:dyDescent="0.25">
      <c r="C28">
        <v>330</v>
      </c>
      <c r="D28" t="s">
        <v>100</v>
      </c>
      <c r="E28" s="4">
        <f>'4.1 Comptes 2021 natures'!E28/'4.1 Comptes 2021 natures'!E2</f>
        <v>297.92052798310453</v>
      </c>
      <c r="F28" s="4">
        <f>'4.1 Comptes 2021 natures'!F28/'4.1 Comptes 2021 natures'!F2</f>
        <v>266.99622641509433</v>
      </c>
      <c r="G28" s="4">
        <f>'4.1 Comptes 2021 natures'!G28/'4.1 Comptes 2021 natures'!G2</f>
        <v>158.04243070362472</v>
      </c>
      <c r="H28" s="4">
        <f>'4.1 Comptes 2021 natures'!H28/'4.1 Comptes 2021 natures'!H2</f>
        <v>222.57403189066059</v>
      </c>
      <c r="I28" s="4">
        <f>'4.1 Comptes 2021 natures'!I28/'4.1 Comptes 2021 natures'!I2</f>
        <v>254.57505096566524</v>
      </c>
      <c r="J28" s="4">
        <f>'4.1 Comptes 2021 natures'!J28/'4.1 Comptes 2021 natures'!J2</f>
        <v>304.30409566517187</v>
      </c>
      <c r="K28" s="4">
        <f>'4.1 Comptes 2021 natures'!K28/'4.1 Comptes 2021 natures'!K2</f>
        <v>190.72807315233786</v>
      </c>
      <c r="L28" s="4">
        <f>'4.1 Comptes 2021 natures'!L28/'4.1 Comptes 2021 natures'!L2</f>
        <v>443.37048401314206</v>
      </c>
      <c r="M28" s="4">
        <f>'4.1 Comptes 2021 natures'!M28/'4.1 Comptes 2021 natures'!M2</f>
        <v>168.76379690949227</v>
      </c>
      <c r="N28" s="4">
        <f>'4.1 Comptes 2021 natures'!N28/'4.1 Comptes 2021 natures'!N2</f>
        <v>434.16811965811962</v>
      </c>
      <c r="O28" s="4">
        <f>'4.1 Comptes 2021 natures'!O28/'4.1 Comptes 2021 natures'!O2</f>
        <v>164.02171877151906</v>
      </c>
      <c r="P28" s="4">
        <f>'4.1 Comptes 2021 natures'!P28/'4.1 Comptes 2021 natures'!P2</f>
        <v>217.6635687732342</v>
      </c>
      <c r="Q28" s="4">
        <f>'4.1 Comptes 2021 natures'!Q28/'4.1 Comptes 2021 natures'!Q2</f>
        <v>113.16216216216216</v>
      </c>
      <c r="R28" s="4">
        <f>'4.1 Comptes 2021 natures'!R28/'4.1 Comptes 2021 natures'!R2</f>
        <v>225.41567695961996</v>
      </c>
      <c r="S28" s="4">
        <f>'4.1 Comptes 2021 natures'!S28/'4.1 Comptes 2021 natures'!S2</f>
        <v>309.85838150289015</v>
      </c>
      <c r="T28" s="4">
        <f>'4.1 Comptes 2021 natures'!T28/'4.1 Comptes 2021 natures'!T2</f>
        <v>164.4181690140845</v>
      </c>
      <c r="U28" s="4">
        <f>'4.1 Comptes 2021 natures'!U28/'4.1 Comptes 2021 natures'!U2</f>
        <v>123.01003717472118</v>
      </c>
      <c r="V28" s="4">
        <f>'4.1 Comptes 2021 natures'!V28/'4.1 Comptes 2021 natures'!V2</f>
        <v>313.14738636363637</v>
      </c>
      <c r="W28" s="4">
        <f>'4.1 Comptes 2021 natures'!W28/'4.1 Comptes 2021 natures'!W2</f>
        <v>279.20376277485286</v>
      </c>
      <c r="X28" s="4">
        <f>'4.1 Comptes 2021 natures'!X28/'4.1 Comptes 2021 natures'!X2</f>
        <v>130.69435483870967</v>
      </c>
      <c r="Y28" s="4">
        <f>'4.1 Comptes 2021 natures'!Y28/'4.1 Comptes 2021 natures'!Y2</f>
        <v>212.39157480314961</v>
      </c>
      <c r="Z28" s="4">
        <f>'4.1 Comptes 2021 natures'!Z28/'4.1 Comptes 2021 natures'!Z2</f>
        <v>235.29770252324039</v>
      </c>
      <c r="AA28" s="4">
        <f>'4.1 Comptes 2021 natures'!AA28/'4.1 Comptes 2021 natures'!AA2</f>
        <v>506.25</v>
      </c>
      <c r="AB28" s="4">
        <f>'4.1 Comptes 2021 natures'!AB28/'4.1 Comptes 2021 natures'!AB2</f>
        <v>4.7297297297297298</v>
      </c>
      <c r="AC28" s="4">
        <f>'4.1 Comptes 2021 natures'!AC28/'4.1 Comptes 2021 natures'!AC2</f>
        <v>171.20260617760619</v>
      </c>
      <c r="AD28" s="4">
        <f>'4.1 Comptes 2021 natures'!AD28/'4.1 Comptes 2021 natures'!AD2</f>
        <v>270.68868758915835</v>
      </c>
      <c r="AE28" s="4">
        <f>'4.1 Comptes 2021 natures'!AE28/'4.1 Comptes 2021 natures'!AE2</f>
        <v>258.93464539007095</v>
      </c>
      <c r="AF28" s="4">
        <f>'4.1 Comptes 2021 natures'!AF28/'4.1 Comptes 2021 natures'!AF2</f>
        <v>165.40504761904762</v>
      </c>
      <c r="AG28" s="4">
        <f>'4.1 Comptes 2021 natures'!AG28/'4.1 Comptes 2021 natures'!AG2</f>
        <v>322.7958617077004</v>
      </c>
      <c r="AH28" s="4">
        <f>'4.1 Comptes 2021 natures'!AH28/'4.1 Comptes 2021 natures'!AH2</f>
        <v>280.0990891472868</v>
      </c>
      <c r="AI28" s="4">
        <f>'4.1 Comptes 2021 natures'!AI28/'4.1 Comptes 2021 natures'!AI2</f>
        <v>241.11261261261262</v>
      </c>
      <c r="AJ28" s="4">
        <f>'4.1 Comptes 2021 natures'!AJ28/'4.1 Comptes 2021 natures'!AJ2</f>
        <v>423.80465116279072</v>
      </c>
      <c r="AK28" s="4">
        <f>'4.1 Comptes 2021 natures'!AK28/'4.1 Comptes 2021 natures'!AK2</f>
        <v>371.48810153358011</v>
      </c>
      <c r="AL28" s="4">
        <f>'4.1 Comptes 2021 natures'!AL28/'4.1 Comptes 2021 natures'!AL2</f>
        <v>363.23223801065717</v>
      </c>
      <c r="AM28" s="4">
        <f>'4.1 Comptes 2021 natures'!AM28/'4.1 Comptes 2021 natures'!AM2</f>
        <v>198.08163265306123</v>
      </c>
      <c r="AN28" s="4">
        <f>'4.1 Comptes 2021 natures'!AN28/'4.1 Comptes 2021 natures'!AN2</f>
        <v>291.14529914529913</v>
      </c>
      <c r="AO28" s="4">
        <f>'4.1 Comptes 2021 natures'!AO28/'4.1 Comptes 2021 natures'!AO2</f>
        <v>496.96642194092823</v>
      </c>
      <c r="AP28" s="4">
        <f>'4.1 Comptes 2021 natures'!AP28/'4.1 Comptes 2021 natures'!AP2</f>
        <v>132.63239875389408</v>
      </c>
      <c r="AQ28" s="4">
        <f>'4.1 Comptes 2021 natures'!AQ28/'4.1 Comptes 2021 natures'!AQ2</f>
        <v>349.08777251184836</v>
      </c>
      <c r="AR28" s="4">
        <f>'4.1 Comptes 2021 natures'!AR28/'4.1 Comptes 2021 natures'!AR2</f>
        <v>113.63707165109034</v>
      </c>
      <c r="AS28" s="4">
        <f>'4.1 Comptes 2021 natures'!AS28/'4.1 Comptes 2021 natures'!AS2</f>
        <v>0</v>
      </c>
      <c r="AT28" s="4">
        <f>'4.1 Comptes 2021 natures'!AT28/'4.1 Comptes 2021 natures'!AT2</f>
        <v>243.33366141732284</v>
      </c>
      <c r="AU28" s="4">
        <f>'4.1 Comptes 2021 natures'!AU28/'4.1 Comptes 2021 natures'!AU2</f>
        <v>252.59243421052633</v>
      </c>
      <c r="AV28" s="4">
        <f>'4.1 Comptes 2021 natures'!AV28/'4.1 Comptes 2021 natures'!AV2</f>
        <v>186.5157462686567</v>
      </c>
      <c r="AW28" s="4">
        <f>'4.1 Comptes 2021 natures'!AW28/'4.1 Comptes 2021 natures'!AW2</f>
        <v>180.06261224489793</v>
      </c>
      <c r="AX28" s="4">
        <f>'4.1 Comptes 2021 natures'!AX28/'4.1 Comptes 2021 natures'!AX2</f>
        <v>180.59459459459458</v>
      </c>
      <c r="AY28" s="4">
        <f>'4.1 Comptes 2021 natures'!AY28/'4.1 Comptes 2021 natures'!AY2</f>
        <v>532.25</v>
      </c>
      <c r="AZ28" s="4">
        <f>'4.1 Comptes 2021 natures'!AZ28/'4.1 Comptes 2021 natures'!AZ2</f>
        <v>311.73659398939304</v>
      </c>
      <c r="BA28" s="4">
        <f>'4.1 Comptes 2021 natures'!BA28/'4.1 Comptes 2021 natures'!BA2</f>
        <v>80.842256410256411</v>
      </c>
      <c r="BB28" s="4">
        <f>'4.1 Comptes 2021 natures'!BB28/'4.1 Comptes 2021 natures'!BB2</f>
        <v>355.56925442684064</v>
      </c>
      <c r="BC28" s="4">
        <f>'4.1 Comptes 2021 natures'!BC28/'4.1 Comptes 2021 natures'!BC2</f>
        <v>75.875</v>
      </c>
      <c r="BD28" s="4">
        <f>'4.1 Comptes 2021 natures'!BD28/'4.1 Comptes 2021 natures'!BD2</f>
        <v>439.51398236931647</v>
      </c>
      <c r="BE28" s="4">
        <f>'4.1 Comptes 2021 natures'!BE28/'4.1 Comptes 2021 natures'!BE2</f>
        <v>180.89266547406083</v>
      </c>
      <c r="BF28" s="4">
        <f t="shared" ref="BF28:BF29" si="12">SUM(E28:BE28)</f>
        <v>13210.800001760463</v>
      </c>
      <c r="BG28" s="4">
        <f t="shared" ref="BG28:BG29" si="13">SUM(E28:W28)</f>
        <v>4651.3437008531337</v>
      </c>
      <c r="BH28" s="4">
        <f t="shared" ref="BH28:BH29" si="14">SUM(X28:AJ28)</f>
        <v>3223.4065633011032</v>
      </c>
      <c r="BI28" s="4">
        <f t="shared" ref="BI28:BI29" si="15">SUM(AK28:BE28)</f>
        <v>5336.049737606224</v>
      </c>
    </row>
    <row r="29" spans="2:61" x14ac:dyDescent="0.25">
      <c r="C29">
        <v>332</v>
      </c>
      <c r="D29" t="s">
        <v>99</v>
      </c>
      <c r="E29" s="4">
        <f>'4.1 Comptes 2021 natures'!E29/'4.1 Comptes 2021 natures'!E2</f>
        <v>0</v>
      </c>
      <c r="F29" s="4">
        <f>'4.1 Comptes 2021 natures'!F29/'4.1 Comptes 2021 natures'!F2</f>
        <v>44.075471698113205</v>
      </c>
      <c r="G29" s="4">
        <f>'4.1 Comptes 2021 natures'!G29/'4.1 Comptes 2021 natures'!G2</f>
        <v>3.7238805970149254</v>
      </c>
      <c r="H29" s="4">
        <f>'4.1 Comptes 2021 natures'!H29/'4.1 Comptes 2021 natures'!H2</f>
        <v>0</v>
      </c>
      <c r="I29" s="4">
        <f>'4.1 Comptes 2021 natures'!I29/'4.1 Comptes 2021 natures'!I2</f>
        <v>4.8884120171673819</v>
      </c>
      <c r="J29" s="4">
        <f>'4.1 Comptes 2021 natures'!J29/'4.1 Comptes 2021 natures'!J2</f>
        <v>4.0332107623318389</v>
      </c>
      <c r="K29" s="4">
        <f>'4.1 Comptes 2021 natures'!K29/'4.1 Comptes 2021 natures'!K2</f>
        <v>0.74950980392156863</v>
      </c>
      <c r="L29" s="4">
        <f>'4.1 Comptes 2021 natures'!L29/'4.1 Comptes 2021 natures'!L2</f>
        <v>7.5410072922509812</v>
      </c>
      <c r="M29" s="4">
        <f>'4.1 Comptes 2021 natures'!M29/'4.1 Comptes 2021 natures'!M2</f>
        <v>4.9521707137601174</v>
      </c>
      <c r="N29" s="4">
        <f>'4.1 Comptes 2021 natures'!N29/'4.1 Comptes 2021 natures'!N2</f>
        <v>0</v>
      </c>
      <c r="O29" s="4">
        <f>'4.1 Comptes 2021 natures'!O29/'4.1 Comptes 2021 natures'!O2</f>
        <v>3.3723178625533676</v>
      </c>
      <c r="P29" s="4">
        <f>'4.1 Comptes 2021 natures'!P29/'4.1 Comptes 2021 natures'!P2</f>
        <v>0</v>
      </c>
      <c r="Q29" s="4">
        <f>'4.1 Comptes 2021 natures'!Q29/'4.1 Comptes 2021 natures'!Q2</f>
        <v>0</v>
      </c>
      <c r="R29" s="4">
        <f>'4.1 Comptes 2021 natures'!R29/'4.1 Comptes 2021 natures'!R2</f>
        <v>0</v>
      </c>
      <c r="S29" s="4">
        <f>'4.1 Comptes 2021 natures'!S29/'4.1 Comptes 2021 natures'!S2</f>
        <v>0</v>
      </c>
      <c r="T29" s="4">
        <f>'4.1 Comptes 2021 natures'!T29/'4.1 Comptes 2021 natures'!T2</f>
        <v>0</v>
      </c>
      <c r="U29" s="4">
        <f>'4.1 Comptes 2021 natures'!U29/'4.1 Comptes 2021 natures'!U2</f>
        <v>0</v>
      </c>
      <c r="V29" s="4">
        <f>'4.1 Comptes 2021 natures'!V29/'4.1 Comptes 2021 natures'!V2</f>
        <v>40.68181818181818</v>
      </c>
      <c r="W29" s="4">
        <f>'4.1 Comptes 2021 natures'!W29/'4.1 Comptes 2021 natures'!W2</f>
        <v>11.923202229792505</v>
      </c>
      <c r="X29" s="4">
        <f>'4.1 Comptes 2021 natures'!X29/'4.1 Comptes 2021 natures'!X2</f>
        <v>0</v>
      </c>
      <c r="Y29" s="4">
        <f>'4.1 Comptes 2021 natures'!Y29/'4.1 Comptes 2021 natures'!Y2</f>
        <v>0</v>
      </c>
      <c r="Z29" s="4">
        <f>'4.1 Comptes 2021 natures'!Z29/'4.1 Comptes 2021 natures'!Z2</f>
        <v>0</v>
      </c>
      <c r="AA29" s="4">
        <f>'4.1 Comptes 2021 natures'!AA29/'4.1 Comptes 2021 natures'!AA2</f>
        <v>0</v>
      </c>
      <c r="AB29" s="4">
        <f>'4.1 Comptes 2021 natures'!AB29/'4.1 Comptes 2021 natures'!AB2</f>
        <v>0</v>
      </c>
      <c r="AC29" s="4">
        <f>'4.1 Comptes 2021 natures'!AC29/'4.1 Comptes 2021 natures'!AC2</f>
        <v>0</v>
      </c>
      <c r="AD29" s="4">
        <f>'4.1 Comptes 2021 natures'!AD29/'4.1 Comptes 2021 natures'!AD2</f>
        <v>0</v>
      </c>
      <c r="AE29" s="4">
        <f>'4.1 Comptes 2021 natures'!AE29/'4.1 Comptes 2021 natures'!AE2</f>
        <v>0</v>
      </c>
      <c r="AF29" s="4">
        <f>'4.1 Comptes 2021 natures'!AF29/'4.1 Comptes 2021 natures'!AF2</f>
        <v>0</v>
      </c>
      <c r="AG29" s="4">
        <f>'4.1 Comptes 2021 natures'!AG29/'4.1 Comptes 2021 natures'!AG2</f>
        <v>0</v>
      </c>
      <c r="AH29" s="4">
        <f>'4.1 Comptes 2021 natures'!AH29/'4.1 Comptes 2021 natures'!AH2</f>
        <v>17.859050387596898</v>
      </c>
      <c r="AI29" s="4">
        <f>'4.1 Comptes 2021 natures'!AI29/'4.1 Comptes 2021 natures'!AI2</f>
        <v>0</v>
      </c>
      <c r="AJ29" s="4">
        <f>'4.1 Comptes 2021 natures'!AJ29/'4.1 Comptes 2021 natures'!AJ2</f>
        <v>0</v>
      </c>
      <c r="AK29" s="4">
        <f>'4.1 Comptes 2021 natures'!AK29/'4.1 Comptes 2021 natures'!AK2</f>
        <v>0</v>
      </c>
      <c r="AL29" s="4">
        <f>'4.1 Comptes 2021 natures'!AL29/'4.1 Comptes 2021 natures'!AL2</f>
        <v>0</v>
      </c>
      <c r="AM29" s="4">
        <f>'4.1 Comptes 2021 natures'!AM29/'4.1 Comptes 2021 natures'!AM2</f>
        <v>16.122448979591837</v>
      </c>
      <c r="AN29" s="4">
        <f>'4.1 Comptes 2021 natures'!AN29/'4.1 Comptes 2021 natures'!AN2</f>
        <v>0</v>
      </c>
      <c r="AO29" s="4">
        <f>'4.1 Comptes 2021 natures'!AO29/'4.1 Comptes 2021 natures'!AO2</f>
        <v>8.776371308016877</v>
      </c>
      <c r="AP29" s="4">
        <f>'4.1 Comptes 2021 natures'!AP29/'4.1 Comptes 2021 natures'!AP2</f>
        <v>0</v>
      </c>
      <c r="AQ29" s="4">
        <f>'4.1 Comptes 2021 natures'!AQ29/'4.1 Comptes 2021 natures'!AQ2</f>
        <v>0</v>
      </c>
      <c r="AR29" s="4">
        <f>'4.1 Comptes 2021 natures'!AR29/'4.1 Comptes 2021 natures'!AR2</f>
        <v>27.024922118380061</v>
      </c>
      <c r="AS29" s="4">
        <f>'4.1 Comptes 2021 natures'!AS29/'4.1 Comptes 2021 natures'!AS2</f>
        <v>243.61388508891929</v>
      </c>
      <c r="AT29" s="4">
        <f>'4.1 Comptes 2021 natures'!AT29/'4.1 Comptes 2021 natures'!AT2</f>
        <v>0.94488188976377951</v>
      </c>
      <c r="AU29" s="4">
        <f>'4.1 Comptes 2021 natures'!AU29/'4.1 Comptes 2021 natures'!AU2</f>
        <v>0</v>
      </c>
      <c r="AV29" s="4">
        <f>'4.1 Comptes 2021 natures'!AV29/'4.1 Comptes 2021 natures'!AV2</f>
        <v>6.6486525704809285</v>
      </c>
      <c r="AW29" s="4">
        <f>'4.1 Comptes 2021 natures'!AW29/'4.1 Comptes 2021 natures'!AW2</f>
        <v>0</v>
      </c>
      <c r="AX29" s="4">
        <f>'4.1 Comptes 2021 natures'!AX29/'4.1 Comptes 2021 natures'!AX2</f>
        <v>0</v>
      </c>
      <c r="AY29" s="4">
        <f>'4.1 Comptes 2021 natures'!AY29/'4.1 Comptes 2021 natures'!AY2</f>
        <v>13.235294117647058</v>
      </c>
      <c r="AZ29" s="4">
        <f>'4.1 Comptes 2021 natures'!AZ29/'4.1 Comptes 2021 natures'!AZ2</f>
        <v>31.894519740718916</v>
      </c>
      <c r="BA29" s="4">
        <f>'4.1 Comptes 2021 natures'!BA29/'4.1 Comptes 2021 natures'!BA2</f>
        <v>0.92230769230769227</v>
      </c>
      <c r="BB29" s="4">
        <f>'4.1 Comptes 2021 natures'!BB29/'4.1 Comptes 2021 natures'!BB2</f>
        <v>0</v>
      </c>
      <c r="BC29" s="4">
        <f>'4.1 Comptes 2021 natures'!BC29/'4.1 Comptes 2021 natures'!BC2</f>
        <v>0</v>
      </c>
      <c r="BD29" s="4">
        <f>'4.1 Comptes 2021 natures'!BD29/'4.1 Comptes 2021 natures'!BD2</f>
        <v>22.652134240643367</v>
      </c>
      <c r="BE29" s="4">
        <f>'4.1 Comptes 2021 natures'!BE29/'4.1 Comptes 2021 natures'!BE2</f>
        <v>0</v>
      </c>
      <c r="BF29" s="4">
        <f t="shared" si="12"/>
        <v>515.63546929279084</v>
      </c>
      <c r="BG29" s="4">
        <f t="shared" si="13"/>
        <v>125.94100115872408</v>
      </c>
      <c r="BH29" s="4">
        <f t="shared" si="14"/>
        <v>17.859050387596898</v>
      </c>
      <c r="BI29" s="4">
        <f t="shared" si="15"/>
        <v>371.83541774646983</v>
      </c>
    </row>
    <row r="30" spans="2:61" x14ac:dyDescent="0.25">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row>
    <row r="31" spans="2:61" x14ac:dyDescent="0.25">
      <c r="B31" s="76">
        <v>34</v>
      </c>
      <c r="C31" s="76"/>
      <c r="D31" s="76" t="s">
        <v>101</v>
      </c>
      <c r="E31" s="77">
        <f>E32+E33+E34+E35+E36+E37</f>
        <v>41.113674762407605</v>
      </c>
      <c r="F31" s="77">
        <f t="shared" ref="F31:BI31" si="16">F32+F33+F34+F35+F36+F37</f>
        <v>178.12690566037736</v>
      </c>
      <c r="G31" s="77">
        <f t="shared" si="16"/>
        <v>213.34503198294243</v>
      </c>
      <c r="H31" s="77">
        <f t="shared" si="16"/>
        <v>166.1022095671982</v>
      </c>
      <c r="I31" s="77">
        <f t="shared" si="16"/>
        <v>154.48384120171673</v>
      </c>
      <c r="J31" s="77">
        <f t="shared" si="16"/>
        <v>93.164158445440961</v>
      </c>
      <c r="K31" s="77">
        <f t="shared" si="16"/>
        <v>80.1873491704374</v>
      </c>
      <c r="L31" s="77">
        <f t="shared" si="16"/>
        <v>141.2134057216123</v>
      </c>
      <c r="M31" s="77">
        <f t="shared" si="16"/>
        <v>49.791810154525386</v>
      </c>
      <c r="N31" s="77">
        <f t="shared" si="16"/>
        <v>69.418034188034184</v>
      </c>
      <c r="O31" s="77">
        <f t="shared" si="16"/>
        <v>50.125114997934176</v>
      </c>
      <c r="P31" s="77">
        <f t="shared" si="16"/>
        <v>88.368568773234202</v>
      </c>
      <c r="Q31" s="77">
        <f t="shared" si="16"/>
        <v>80.598918918918926</v>
      </c>
      <c r="R31" s="77">
        <f t="shared" si="16"/>
        <v>126.96869358669835</v>
      </c>
      <c r="S31" s="77">
        <f t="shared" si="16"/>
        <v>200.53306358381502</v>
      </c>
      <c r="T31" s="77">
        <f t="shared" si="16"/>
        <v>93.416507042253514</v>
      </c>
      <c r="U31" s="77">
        <f t="shared" si="16"/>
        <v>53.946765799256511</v>
      </c>
      <c r="V31" s="77">
        <f t="shared" si="16"/>
        <v>118.47270454545453</v>
      </c>
      <c r="W31" s="77">
        <f t="shared" si="16"/>
        <v>62.729646949519974</v>
      </c>
      <c r="X31" s="77">
        <f t="shared" si="16"/>
        <v>45.406612903225806</v>
      </c>
      <c r="Y31" s="77">
        <f t="shared" si="16"/>
        <v>124.92841732283465</v>
      </c>
      <c r="Z31" s="77">
        <f t="shared" si="16"/>
        <v>12.369561752988048</v>
      </c>
      <c r="AA31" s="77">
        <f t="shared" si="16"/>
        <v>37.085104166666667</v>
      </c>
      <c r="AB31" s="77">
        <f t="shared" si="16"/>
        <v>108.82878378378379</v>
      </c>
      <c r="AC31" s="77">
        <f t="shared" si="16"/>
        <v>147.7583976833977</v>
      </c>
      <c r="AD31" s="77">
        <f t="shared" si="16"/>
        <v>166.30346647646221</v>
      </c>
      <c r="AE31" s="77">
        <f t="shared" si="16"/>
        <v>67.84423758865249</v>
      </c>
      <c r="AF31" s="77">
        <f t="shared" si="16"/>
        <v>145.33228571428572</v>
      </c>
      <c r="AG31" s="77">
        <f t="shared" si="16"/>
        <v>55.705840754321628</v>
      </c>
      <c r="AH31" s="77">
        <f t="shared" si="16"/>
        <v>74.587507751937991</v>
      </c>
      <c r="AI31" s="77">
        <f t="shared" si="16"/>
        <v>78.782477477477471</v>
      </c>
      <c r="AJ31" s="77">
        <f t="shared" si="16"/>
        <v>200.61046511627907</v>
      </c>
      <c r="AK31" s="77">
        <f t="shared" si="16"/>
        <v>124.08121099947118</v>
      </c>
      <c r="AL31" s="77">
        <f t="shared" si="16"/>
        <v>177.29635879218472</v>
      </c>
      <c r="AM31" s="77">
        <f t="shared" si="16"/>
        <v>140.63530612244898</v>
      </c>
      <c r="AN31" s="77">
        <f t="shared" si="16"/>
        <v>177.72487179487177</v>
      </c>
      <c r="AO31" s="77">
        <f t="shared" si="16"/>
        <v>255.35189873417724</v>
      </c>
      <c r="AP31" s="77">
        <f t="shared" si="16"/>
        <v>113.24579439252335</v>
      </c>
      <c r="AQ31" s="77">
        <f t="shared" si="16"/>
        <v>98.452669826224323</v>
      </c>
      <c r="AR31" s="77">
        <f t="shared" si="16"/>
        <v>190.69021806853584</v>
      </c>
      <c r="AS31" s="77">
        <f t="shared" si="16"/>
        <v>117.58411764705882</v>
      </c>
      <c r="AT31" s="77">
        <f t="shared" si="16"/>
        <v>153.39195866141733</v>
      </c>
      <c r="AU31" s="77">
        <f t="shared" si="16"/>
        <v>74.58792763157895</v>
      </c>
      <c r="AV31" s="77">
        <f t="shared" si="16"/>
        <v>125.18136815920397</v>
      </c>
      <c r="AW31" s="77">
        <f t="shared" si="16"/>
        <v>100.75474829931971</v>
      </c>
      <c r="AX31" s="77">
        <f t="shared" si="16"/>
        <v>43.536000000000001</v>
      </c>
      <c r="AY31" s="77">
        <f t="shared" si="16"/>
        <v>46.321529411764708</v>
      </c>
      <c r="AZ31" s="77">
        <f t="shared" si="16"/>
        <v>191.08151443724219</v>
      </c>
      <c r="BA31" s="77">
        <f t="shared" si="16"/>
        <v>67.184769230769234</v>
      </c>
      <c r="BB31" s="77">
        <f t="shared" si="16"/>
        <v>120.73915191053122</v>
      </c>
      <c r="BC31" s="77">
        <f t="shared" si="16"/>
        <v>2.0168478260869565</v>
      </c>
      <c r="BD31" s="77">
        <f t="shared" si="16"/>
        <v>135.2469733993195</v>
      </c>
      <c r="BE31" s="77">
        <f t="shared" si="16"/>
        <v>102.33273703041144</v>
      </c>
      <c r="BF31" s="77">
        <f t="shared" si="16"/>
        <v>5885.0875359192314</v>
      </c>
      <c r="BG31" s="77">
        <f t="shared" si="16"/>
        <v>2062.1064050517775</v>
      </c>
      <c r="BH31" s="77">
        <f t="shared" si="16"/>
        <v>1265.5431584923131</v>
      </c>
      <c r="BI31" s="77">
        <f t="shared" si="16"/>
        <v>2557.4379723751422</v>
      </c>
    </row>
    <row r="32" spans="2:61" x14ac:dyDescent="0.25">
      <c r="C32">
        <v>340</v>
      </c>
      <c r="D32" t="s">
        <v>102</v>
      </c>
      <c r="E32" s="4">
        <f>'4.1 Comptes 2021 natures'!E32/'4.1 Comptes 2021 natures'!E2</f>
        <v>41.113674762407605</v>
      </c>
      <c r="F32" s="4">
        <f>'4.1 Comptes 2021 natures'!F32/'4.1 Comptes 2021 natures'!F2</f>
        <v>142.33332075471699</v>
      </c>
      <c r="G32" s="4">
        <f>'4.1 Comptes 2021 natures'!G32/'4.1 Comptes 2021 natures'!G2</f>
        <v>135.82744136460553</v>
      </c>
      <c r="H32" s="4">
        <f>'4.1 Comptes 2021 natures'!H32/'4.1 Comptes 2021 natures'!H2</f>
        <v>115.48056947608201</v>
      </c>
      <c r="I32" s="4">
        <f>'4.1 Comptes 2021 natures'!I32/'4.1 Comptes 2021 natures'!I2</f>
        <v>118.45129291845493</v>
      </c>
      <c r="J32" s="4">
        <f>'4.1 Comptes 2021 natures'!J32/'4.1 Comptes 2021 natures'!J2</f>
        <v>76.795787742899847</v>
      </c>
      <c r="K32" s="4">
        <f>'4.1 Comptes 2021 natures'!K32/'4.1 Comptes 2021 natures'!K2</f>
        <v>51.069807692307691</v>
      </c>
      <c r="L32" s="4">
        <f>'4.1 Comptes 2021 natures'!L32/'4.1 Comptes 2021 natures'!L2</f>
        <v>128.68265806555013</v>
      </c>
      <c r="M32" s="4">
        <f>'4.1 Comptes 2021 natures'!M32/'4.1 Comptes 2021 natures'!M2</f>
        <v>32.851869021339219</v>
      </c>
      <c r="N32" s="4">
        <f>'4.1 Comptes 2021 natures'!N32/'4.1 Comptes 2021 natures'!N2</f>
        <v>69.418034188034184</v>
      </c>
      <c r="O32" s="4">
        <f>'4.1 Comptes 2021 natures'!O32/'4.1 Comptes 2021 natures'!O2</f>
        <v>38.189396777303408</v>
      </c>
      <c r="P32" s="4">
        <f>'4.1 Comptes 2021 natures'!P32/'4.1 Comptes 2021 natures'!P2</f>
        <v>70.461970260223055</v>
      </c>
      <c r="Q32" s="4">
        <f>'4.1 Comptes 2021 natures'!Q32/'4.1 Comptes 2021 natures'!Q2</f>
        <v>75.576846846846848</v>
      </c>
      <c r="R32" s="4">
        <f>'4.1 Comptes 2021 natures'!R32/'4.1 Comptes 2021 natures'!R2</f>
        <v>107.12676959619954</v>
      </c>
      <c r="S32" s="4">
        <f>'4.1 Comptes 2021 natures'!S32/'4.1 Comptes 2021 natures'!S2</f>
        <v>187.83234104046241</v>
      </c>
      <c r="T32" s="4">
        <f>'4.1 Comptes 2021 natures'!T32/'4.1 Comptes 2021 natures'!T2</f>
        <v>67.771859154929572</v>
      </c>
      <c r="U32" s="4">
        <f>'4.1 Comptes 2021 natures'!U32/'4.1 Comptes 2021 natures'!U2</f>
        <v>32.815724907063199</v>
      </c>
      <c r="V32" s="4">
        <f>'4.1 Comptes 2021 natures'!V32/'4.1 Comptes 2021 natures'!V2</f>
        <v>96.546227272727265</v>
      </c>
      <c r="W32" s="4">
        <f>'4.1 Comptes 2021 natures'!W32/'4.1 Comptes 2021 natures'!W2</f>
        <v>57.397736141220193</v>
      </c>
      <c r="X32" s="4">
        <f>'4.1 Comptes 2021 natures'!X32/'4.1 Comptes 2021 natures'!X2</f>
        <v>22.512290322580647</v>
      </c>
      <c r="Y32" s="4">
        <f>'4.1 Comptes 2021 natures'!Y32/'4.1 Comptes 2021 natures'!Y2</f>
        <v>124.92841732283465</v>
      </c>
      <c r="Z32" s="4">
        <f>'4.1 Comptes 2021 natures'!Z32/'4.1 Comptes 2021 natures'!Z2</f>
        <v>6.6641500664010618</v>
      </c>
      <c r="AA32" s="4">
        <f>'4.1 Comptes 2021 natures'!AA32/'4.1 Comptes 2021 natures'!AA2</f>
        <v>35.997604166666669</v>
      </c>
      <c r="AB32" s="4">
        <f>'4.1 Comptes 2021 natures'!AB32/'4.1 Comptes 2021 natures'!AB2</f>
        <v>26.870405405405407</v>
      </c>
      <c r="AC32" s="4">
        <f>'4.1 Comptes 2021 natures'!AC32/'4.1 Comptes 2021 natures'!AC2</f>
        <v>99.916312741312751</v>
      </c>
      <c r="AD32" s="4">
        <f>'4.1 Comptes 2021 natures'!AD32/'4.1 Comptes 2021 natures'!AD2</f>
        <v>113.08820256776035</v>
      </c>
      <c r="AE32" s="4">
        <f>'4.1 Comptes 2021 natures'!AE32/'4.1 Comptes 2021 natures'!AE2</f>
        <v>67.84423758865249</v>
      </c>
      <c r="AF32" s="4">
        <f>'4.1 Comptes 2021 natures'!AF32/'4.1 Comptes 2021 natures'!AF2</f>
        <v>16.974285714285713</v>
      </c>
      <c r="AG32" s="4">
        <f>'4.1 Comptes 2021 natures'!AG32/'4.1 Comptes 2021 natures'!AG2</f>
        <v>28.923520167627029</v>
      </c>
      <c r="AH32" s="4">
        <f>'4.1 Comptes 2021 natures'!AH32/'4.1 Comptes 2021 natures'!AH2</f>
        <v>66.788689922480629</v>
      </c>
      <c r="AI32" s="4">
        <f>'4.1 Comptes 2021 natures'!AI32/'4.1 Comptes 2021 natures'!AI2</f>
        <v>130.98315315315315</v>
      </c>
      <c r="AJ32" s="4">
        <f>'4.1 Comptes 2021 natures'!AJ32/'4.1 Comptes 2021 natures'!AJ2</f>
        <v>46.594961240310077</v>
      </c>
      <c r="AK32" s="4">
        <f>'4.1 Comptes 2021 natures'!AK32/'4.1 Comptes 2021 natures'!AK2</f>
        <v>76.426663141195135</v>
      </c>
      <c r="AL32" s="4">
        <f>'4.1 Comptes 2021 natures'!AL32/'4.1 Comptes 2021 natures'!AL2</f>
        <v>123.90675843694494</v>
      </c>
      <c r="AM32" s="4">
        <f>'4.1 Comptes 2021 natures'!AM32/'4.1 Comptes 2021 natures'!AM2</f>
        <v>111.24600000000001</v>
      </c>
      <c r="AN32" s="4">
        <f>'4.1 Comptes 2021 natures'!AN32/'4.1 Comptes 2021 natures'!AN2</f>
        <v>167.86119658119657</v>
      </c>
      <c r="AO32" s="4">
        <f>'4.1 Comptes 2021 natures'!AO32/'4.1 Comptes 2021 natures'!AO2</f>
        <v>57.378970464135023</v>
      </c>
      <c r="AP32" s="4">
        <f>'4.1 Comptes 2021 natures'!AP32/'4.1 Comptes 2021 natures'!AP2</f>
        <v>93.488847352024919</v>
      </c>
      <c r="AQ32" s="4">
        <f>'4.1 Comptes 2021 natures'!AQ32/'4.1 Comptes 2021 natures'!AQ2</f>
        <v>98.452669826224323</v>
      </c>
      <c r="AR32" s="4">
        <f>'4.1 Comptes 2021 natures'!AR32/'4.1 Comptes 2021 natures'!AR2</f>
        <v>63.621682242990659</v>
      </c>
      <c r="AS32" s="4">
        <f>'4.1 Comptes 2021 natures'!AS32/'4.1 Comptes 2021 natures'!AS2</f>
        <v>110.6732147742818</v>
      </c>
      <c r="AT32" s="4">
        <f>'4.1 Comptes 2021 natures'!AT32/'4.1 Comptes 2021 natures'!AT2</f>
        <v>129.57438976377952</v>
      </c>
      <c r="AU32" s="4">
        <f>'4.1 Comptes 2021 natures'!AU32/'4.1 Comptes 2021 natures'!AU2</f>
        <v>74.58792763157895</v>
      </c>
      <c r="AV32" s="4">
        <f>'4.1 Comptes 2021 natures'!AV32/'4.1 Comptes 2021 natures'!AV2</f>
        <v>125.10473051409618</v>
      </c>
      <c r="AW32" s="4">
        <f>'4.1 Comptes 2021 natures'!AW32/'4.1 Comptes 2021 natures'!AW2</f>
        <v>77.064136054421766</v>
      </c>
      <c r="AX32" s="4">
        <f>'4.1 Comptes 2021 natures'!AX32/'4.1 Comptes 2021 natures'!AX2</f>
        <v>39.675459459459461</v>
      </c>
      <c r="AY32" s="4">
        <f>'4.1 Comptes 2021 natures'!AY32/'4.1 Comptes 2021 natures'!AY2</f>
        <v>46.321529411764708</v>
      </c>
      <c r="AZ32" s="4">
        <f>'4.1 Comptes 2021 natures'!AZ32/'4.1 Comptes 2021 natures'!AZ2</f>
        <v>180.71345315262226</v>
      </c>
      <c r="BA32" s="4">
        <f>'4.1 Comptes 2021 natures'!BA32/'4.1 Comptes 2021 natures'!BA2</f>
        <v>30.119512820512821</v>
      </c>
      <c r="BB32" s="4">
        <f>'4.1 Comptes 2021 natures'!BB32/'4.1 Comptes 2021 natures'!BB2</f>
        <v>74.251575023299168</v>
      </c>
      <c r="BC32" s="4">
        <f>'4.1 Comptes 2021 natures'!BC32/'4.1 Comptes 2021 natures'!BC2</f>
        <v>0.32961956521739127</v>
      </c>
      <c r="BD32" s="4">
        <f>'4.1 Comptes 2021 natures'!BD32/'4.1 Comptes 2021 natures'!BD2</f>
        <v>118.03085214970615</v>
      </c>
      <c r="BE32" s="4">
        <f>'4.1 Comptes 2021 natures'!BE32/'4.1 Comptes 2021 natures'!BE2</f>
        <v>69.988998211091229</v>
      </c>
      <c r="BF32" s="4">
        <f t="shared" ref="BF32:BF37" si="17">SUM(E32:BE32)</f>
        <v>4302.647744939386</v>
      </c>
      <c r="BG32" s="4">
        <f t="shared" ref="BG32:BG37" si="18">SUM(E32:W32)</f>
        <v>1645.7433279833733</v>
      </c>
      <c r="BH32" s="4">
        <f t="shared" ref="BH32:BH37" si="19">SUM(X32:AJ32)</f>
        <v>788.08623037947063</v>
      </c>
      <c r="BI32" s="4">
        <f t="shared" ref="BI32:BI37" si="20">SUM(AK32:BE32)</f>
        <v>1868.8181865765432</v>
      </c>
    </row>
    <row r="33" spans="2:61" x14ac:dyDescent="0.25">
      <c r="C33">
        <v>341</v>
      </c>
      <c r="D33" t="s">
        <v>103</v>
      </c>
      <c r="E33" s="4">
        <f>'4.1 Comptes 2021 natures'!E33/'4.1 Comptes 2021 natures'!E2</f>
        <v>0</v>
      </c>
      <c r="F33" s="4">
        <f>'4.1 Comptes 2021 natures'!F33/'4.1 Comptes 2021 natures'!F2</f>
        <v>0</v>
      </c>
      <c r="G33" s="4">
        <f>'4.1 Comptes 2021 natures'!G33/'4.1 Comptes 2021 natures'!G2</f>
        <v>0</v>
      </c>
      <c r="H33" s="4">
        <f>'4.1 Comptes 2021 natures'!H33/'4.1 Comptes 2021 natures'!H2</f>
        <v>0</v>
      </c>
      <c r="I33" s="4">
        <f>'4.1 Comptes 2021 natures'!I33/'4.1 Comptes 2021 natures'!I2</f>
        <v>0</v>
      </c>
      <c r="J33" s="4">
        <f>'4.1 Comptes 2021 natures'!J33/'4.1 Comptes 2021 natures'!J2</f>
        <v>0</v>
      </c>
      <c r="K33" s="4">
        <f>'4.1 Comptes 2021 natures'!K33/'4.1 Comptes 2021 natures'!K2</f>
        <v>0</v>
      </c>
      <c r="L33" s="4">
        <f>'4.1 Comptes 2021 natures'!L33/'4.1 Comptes 2021 natures'!L2</f>
        <v>0</v>
      </c>
      <c r="M33" s="4">
        <f>'4.1 Comptes 2021 natures'!M33/'4.1 Comptes 2021 natures'!M2</f>
        <v>0</v>
      </c>
      <c r="N33" s="4">
        <f>'4.1 Comptes 2021 natures'!N33/'4.1 Comptes 2021 natures'!N2</f>
        <v>0</v>
      </c>
      <c r="O33" s="4">
        <f>'4.1 Comptes 2021 natures'!O33/'4.1 Comptes 2021 natures'!O2</f>
        <v>0</v>
      </c>
      <c r="P33" s="4">
        <f>'4.1 Comptes 2021 natures'!P33/'4.1 Comptes 2021 natures'!P2</f>
        <v>0</v>
      </c>
      <c r="Q33" s="4">
        <f>'4.1 Comptes 2021 natures'!Q33/'4.1 Comptes 2021 natures'!Q2</f>
        <v>0</v>
      </c>
      <c r="R33" s="4">
        <f>'4.1 Comptes 2021 natures'!R33/'4.1 Comptes 2021 natures'!R2</f>
        <v>0</v>
      </c>
      <c r="S33" s="4">
        <f>'4.1 Comptes 2021 natures'!S33/'4.1 Comptes 2021 natures'!S2</f>
        <v>0</v>
      </c>
      <c r="T33" s="4">
        <f>'4.1 Comptes 2021 natures'!T33/'4.1 Comptes 2021 natures'!T2</f>
        <v>0</v>
      </c>
      <c r="U33" s="4">
        <f>'4.1 Comptes 2021 natures'!U33/'4.1 Comptes 2021 natures'!U2</f>
        <v>0</v>
      </c>
      <c r="V33" s="4">
        <f>'4.1 Comptes 2021 natures'!V33/'4.1 Comptes 2021 natures'!V2</f>
        <v>0</v>
      </c>
      <c r="W33" s="4">
        <f>'4.1 Comptes 2021 natures'!W33/'4.1 Comptes 2021 natures'!W2</f>
        <v>0</v>
      </c>
      <c r="X33" s="4">
        <f>'4.1 Comptes 2021 natures'!X33/'4.1 Comptes 2021 natures'!X2</f>
        <v>0</v>
      </c>
      <c r="Y33" s="4">
        <f>'4.1 Comptes 2021 natures'!Y33/'4.1 Comptes 2021 natures'!Y2</f>
        <v>0</v>
      </c>
      <c r="Z33" s="4">
        <f>'4.1 Comptes 2021 natures'!Z33/'4.1 Comptes 2021 natures'!Z2</f>
        <v>0</v>
      </c>
      <c r="AA33" s="4">
        <f>'4.1 Comptes 2021 natures'!AA33/'4.1 Comptes 2021 natures'!AA2</f>
        <v>0</v>
      </c>
      <c r="AB33" s="4">
        <f>'4.1 Comptes 2021 natures'!AB33/'4.1 Comptes 2021 natures'!AB2</f>
        <v>0</v>
      </c>
      <c r="AC33" s="4">
        <f>'4.1 Comptes 2021 natures'!AC33/'4.1 Comptes 2021 natures'!AC2</f>
        <v>0</v>
      </c>
      <c r="AD33" s="4">
        <f>'4.1 Comptes 2021 natures'!AD33/'4.1 Comptes 2021 natures'!AD2</f>
        <v>0</v>
      </c>
      <c r="AE33" s="4">
        <f>'4.1 Comptes 2021 natures'!AE33/'4.1 Comptes 2021 natures'!AE2</f>
        <v>0</v>
      </c>
      <c r="AF33" s="4">
        <f>'4.1 Comptes 2021 natures'!AF33/'4.1 Comptes 2021 natures'!AF2</f>
        <v>0</v>
      </c>
      <c r="AG33" s="4">
        <f>'4.1 Comptes 2021 natures'!AG33/'4.1 Comptes 2021 natures'!AG2</f>
        <v>0</v>
      </c>
      <c r="AH33" s="4">
        <f>'4.1 Comptes 2021 natures'!AH33/'4.1 Comptes 2021 natures'!AH2</f>
        <v>0</v>
      </c>
      <c r="AI33" s="4">
        <f>'4.1 Comptes 2021 natures'!AI33/'4.1 Comptes 2021 natures'!AI2</f>
        <v>0</v>
      </c>
      <c r="AJ33" s="4">
        <f>'4.1 Comptes 2021 natures'!AJ33/'4.1 Comptes 2021 natures'!AJ2</f>
        <v>0</v>
      </c>
      <c r="AK33" s="4">
        <f>'4.1 Comptes 2021 natures'!AK33/'4.1 Comptes 2021 natures'!AK2</f>
        <v>0</v>
      </c>
      <c r="AL33" s="4">
        <f>'4.1 Comptes 2021 natures'!AL33/'4.1 Comptes 2021 natures'!AL2</f>
        <v>0.18174955595026643</v>
      </c>
      <c r="AM33" s="4">
        <f>'4.1 Comptes 2021 natures'!AM33/'4.1 Comptes 2021 natures'!AM2</f>
        <v>0</v>
      </c>
      <c r="AN33" s="4">
        <f>'4.1 Comptes 2021 natures'!AN33/'4.1 Comptes 2021 natures'!AN2</f>
        <v>0</v>
      </c>
      <c r="AO33" s="4">
        <f>'4.1 Comptes 2021 natures'!AO33/'4.1 Comptes 2021 natures'!AO2</f>
        <v>197.97292827004222</v>
      </c>
      <c r="AP33" s="4">
        <f>'4.1 Comptes 2021 natures'!AP33/'4.1 Comptes 2021 natures'!AP2</f>
        <v>0</v>
      </c>
      <c r="AQ33" s="4">
        <f>'4.1 Comptes 2021 natures'!AQ33/'4.1 Comptes 2021 natures'!AQ2</f>
        <v>0</v>
      </c>
      <c r="AR33" s="4">
        <f>'4.1 Comptes 2021 natures'!AR33/'4.1 Comptes 2021 natures'!AR2</f>
        <v>0</v>
      </c>
      <c r="AS33" s="4">
        <f>'4.1 Comptes 2021 natures'!AS33/'4.1 Comptes 2021 natures'!AS2</f>
        <v>0</v>
      </c>
      <c r="AT33" s="4">
        <f>'4.1 Comptes 2021 natures'!AT33/'4.1 Comptes 2021 natures'!AT2</f>
        <v>0</v>
      </c>
      <c r="AU33" s="4">
        <f>'4.1 Comptes 2021 natures'!AU33/'4.1 Comptes 2021 natures'!AU2</f>
        <v>0</v>
      </c>
      <c r="AV33" s="4">
        <f>'4.1 Comptes 2021 natures'!AV33/'4.1 Comptes 2021 natures'!AV2</f>
        <v>0</v>
      </c>
      <c r="AW33" s="4">
        <f>'4.1 Comptes 2021 natures'!AW33/'4.1 Comptes 2021 natures'!AW2</f>
        <v>0</v>
      </c>
      <c r="AX33" s="4">
        <f>'4.1 Comptes 2021 natures'!AX33/'4.1 Comptes 2021 natures'!AX2</f>
        <v>0</v>
      </c>
      <c r="AY33" s="4">
        <f>'4.1 Comptes 2021 natures'!AY33/'4.1 Comptes 2021 natures'!AY2</f>
        <v>0</v>
      </c>
      <c r="AZ33" s="4">
        <f>'4.1 Comptes 2021 natures'!AZ33/'4.1 Comptes 2021 natures'!AZ2</f>
        <v>0</v>
      </c>
      <c r="BA33" s="4">
        <f>'4.1 Comptes 2021 natures'!BA33/'4.1 Comptes 2021 natures'!BA2</f>
        <v>0</v>
      </c>
      <c r="BB33" s="4">
        <f>'4.1 Comptes 2021 natures'!BB33/'4.1 Comptes 2021 natures'!BB2</f>
        <v>0</v>
      </c>
      <c r="BC33" s="4">
        <f>'4.1 Comptes 2021 natures'!BC33/'4.1 Comptes 2021 natures'!BC2</f>
        <v>0</v>
      </c>
      <c r="BD33" s="4">
        <f>'4.1 Comptes 2021 natures'!BD33/'4.1 Comptes 2021 natures'!BD2</f>
        <v>3.1873167336838848</v>
      </c>
      <c r="BE33" s="4">
        <f>'4.1 Comptes 2021 natures'!BE33/'4.1 Comptes 2021 natures'!BE2</f>
        <v>0</v>
      </c>
      <c r="BF33" s="4">
        <f t="shared" si="17"/>
        <v>201.34199455967635</v>
      </c>
      <c r="BG33" s="4">
        <f t="shared" si="18"/>
        <v>0</v>
      </c>
      <c r="BH33" s="4">
        <f t="shared" si="19"/>
        <v>0</v>
      </c>
      <c r="BI33" s="4">
        <f t="shared" si="20"/>
        <v>201.34199455967635</v>
      </c>
    </row>
    <row r="34" spans="2:61" x14ac:dyDescent="0.25">
      <c r="C34">
        <v>342</v>
      </c>
      <c r="D34" t="s">
        <v>104</v>
      </c>
      <c r="E34" s="4">
        <f>'4.1 Comptes 2021 natures'!E34/'4.1 Comptes 2021 natures'!E2</f>
        <v>0</v>
      </c>
      <c r="F34" s="4">
        <f>'4.1 Comptes 2021 natures'!F34/'4.1 Comptes 2021 natures'!F2</f>
        <v>0</v>
      </c>
      <c r="G34" s="4">
        <f>'4.1 Comptes 2021 natures'!G34/'4.1 Comptes 2021 natures'!G2</f>
        <v>0</v>
      </c>
      <c r="H34" s="4">
        <f>'4.1 Comptes 2021 natures'!H34/'4.1 Comptes 2021 natures'!H2</f>
        <v>0</v>
      </c>
      <c r="I34" s="4">
        <f>'4.1 Comptes 2021 natures'!I34/'4.1 Comptes 2021 natures'!I2</f>
        <v>0</v>
      </c>
      <c r="J34" s="4">
        <f>'4.1 Comptes 2021 natures'!J34/'4.1 Comptes 2021 natures'!J2</f>
        <v>0</v>
      </c>
      <c r="K34" s="4">
        <f>'4.1 Comptes 2021 natures'!K34/'4.1 Comptes 2021 natures'!K2</f>
        <v>7.5414781297134239E-3</v>
      </c>
      <c r="L34" s="4">
        <f>'4.1 Comptes 2021 natures'!L34/'4.1 Comptes 2021 natures'!L2</f>
        <v>0</v>
      </c>
      <c r="M34" s="4">
        <f>'4.1 Comptes 2021 natures'!M34/'4.1 Comptes 2021 natures'!M2</f>
        <v>0</v>
      </c>
      <c r="N34" s="4">
        <f>'4.1 Comptes 2021 natures'!N34/'4.1 Comptes 2021 natures'!N2</f>
        <v>0</v>
      </c>
      <c r="O34" s="4">
        <f>'4.1 Comptes 2021 natures'!O34/'4.1 Comptes 2021 natures'!O2</f>
        <v>0</v>
      </c>
      <c r="P34" s="4">
        <f>'4.1 Comptes 2021 natures'!P34/'4.1 Comptes 2021 natures'!P2</f>
        <v>0</v>
      </c>
      <c r="Q34" s="4">
        <f>'4.1 Comptes 2021 natures'!Q34/'4.1 Comptes 2021 natures'!Q2</f>
        <v>0</v>
      </c>
      <c r="R34" s="4">
        <f>'4.1 Comptes 2021 natures'!R34/'4.1 Comptes 2021 natures'!R2</f>
        <v>0</v>
      </c>
      <c r="S34" s="4">
        <f>'4.1 Comptes 2021 natures'!S34/'4.1 Comptes 2021 natures'!S2</f>
        <v>0</v>
      </c>
      <c r="T34" s="4">
        <f>'4.1 Comptes 2021 natures'!T34/'4.1 Comptes 2021 natures'!T2</f>
        <v>0</v>
      </c>
      <c r="U34" s="4">
        <f>'4.1 Comptes 2021 natures'!U34/'4.1 Comptes 2021 natures'!U2</f>
        <v>0</v>
      </c>
      <c r="V34" s="4">
        <f>'4.1 Comptes 2021 natures'!V34/'4.1 Comptes 2021 natures'!V2</f>
        <v>0</v>
      </c>
      <c r="W34" s="4">
        <f>'4.1 Comptes 2021 natures'!W34/'4.1 Comptes 2021 natures'!W2</f>
        <v>0</v>
      </c>
      <c r="X34" s="4">
        <f>'4.1 Comptes 2021 natures'!X34/'4.1 Comptes 2021 natures'!X2</f>
        <v>0</v>
      </c>
      <c r="Y34" s="4">
        <f>'4.1 Comptes 2021 natures'!Y34/'4.1 Comptes 2021 natures'!Y2</f>
        <v>0</v>
      </c>
      <c r="Z34" s="4">
        <f>'4.1 Comptes 2021 natures'!Z34/'4.1 Comptes 2021 natures'!Z2</f>
        <v>0</v>
      </c>
      <c r="AA34" s="4">
        <f>'4.1 Comptes 2021 natures'!AA34/'4.1 Comptes 2021 natures'!AA2</f>
        <v>0</v>
      </c>
      <c r="AB34" s="4">
        <f>'4.1 Comptes 2021 natures'!AB34/'4.1 Comptes 2021 natures'!AB2</f>
        <v>0</v>
      </c>
      <c r="AC34" s="4">
        <f>'4.1 Comptes 2021 natures'!AC34/'4.1 Comptes 2021 natures'!AC2</f>
        <v>0</v>
      </c>
      <c r="AD34" s="4">
        <f>'4.1 Comptes 2021 natures'!AD34/'4.1 Comptes 2021 natures'!AD2</f>
        <v>0</v>
      </c>
      <c r="AE34" s="4">
        <f>'4.1 Comptes 2021 natures'!AE34/'4.1 Comptes 2021 natures'!AE2</f>
        <v>0</v>
      </c>
      <c r="AF34" s="4">
        <f>'4.1 Comptes 2021 natures'!AF34/'4.1 Comptes 2021 natures'!AF2</f>
        <v>0</v>
      </c>
      <c r="AG34" s="4">
        <f>'4.1 Comptes 2021 natures'!AG34/'4.1 Comptes 2021 natures'!AG2</f>
        <v>0</v>
      </c>
      <c r="AH34" s="4">
        <f>'4.1 Comptes 2021 natures'!AH34/'4.1 Comptes 2021 natures'!AH2</f>
        <v>0</v>
      </c>
      <c r="AI34" s="4">
        <f>'4.1 Comptes 2021 natures'!AI34/'4.1 Comptes 2021 natures'!AI2</f>
        <v>0</v>
      </c>
      <c r="AJ34" s="4">
        <f>'4.1 Comptes 2021 natures'!AJ34/'4.1 Comptes 2021 natures'!AJ2</f>
        <v>0</v>
      </c>
      <c r="AK34" s="4">
        <f>'4.1 Comptes 2021 natures'!AK34/'4.1 Comptes 2021 natures'!AK2</f>
        <v>0</v>
      </c>
      <c r="AL34" s="4">
        <f>'4.1 Comptes 2021 natures'!AL34/'4.1 Comptes 2021 natures'!AL2</f>
        <v>0</v>
      </c>
      <c r="AM34" s="4">
        <f>'4.1 Comptes 2021 natures'!AM34/'4.1 Comptes 2021 natures'!AM2</f>
        <v>0</v>
      </c>
      <c r="AN34" s="4">
        <f>'4.1 Comptes 2021 natures'!AN34/'4.1 Comptes 2021 natures'!AN2</f>
        <v>0</v>
      </c>
      <c r="AO34" s="4">
        <f>'4.1 Comptes 2021 natures'!AO34/'4.1 Comptes 2021 natures'!AO2</f>
        <v>0</v>
      </c>
      <c r="AP34" s="4">
        <f>'4.1 Comptes 2021 natures'!AP34/'4.1 Comptes 2021 natures'!AP2</f>
        <v>0</v>
      </c>
      <c r="AQ34" s="4">
        <f>'4.1 Comptes 2021 natures'!AQ34/'4.1 Comptes 2021 natures'!AQ2</f>
        <v>0</v>
      </c>
      <c r="AR34" s="4">
        <f>'4.1 Comptes 2021 natures'!AR34/'4.1 Comptes 2021 natures'!AR2</f>
        <v>0</v>
      </c>
      <c r="AS34" s="4">
        <f>'4.1 Comptes 2021 natures'!AS34/'4.1 Comptes 2021 natures'!AS2</f>
        <v>0</v>
      </c>
      <c r="AT34" s="4">
        <f>'4.1 Comptes 2021 natures'!AT34/'4.1 Comptes 2021 natures'!AT2</f>
        <v>0</v>
      </c>
      <c r="AU34" s="4">
        <f>'4.1 Comptes 2021 natures'!AU34/'4.1 Comptes 2021 natures'!AU2</f>
        <v>0</v>
      </c>
      <c r="AV34" s="4">
        <f>'4.1 Comptes 2021 natures'!AV34/'4.1 Comptes 2021 natures'!AV2</f>
        <v>0</v>
      </c>
      <c r="AW34" s="4">
        <f>'4.1 Comptes 2021 natures'!AW34/'4.1 Comptes 2021 natures'!AW2</f>
        <v>0</v>
      </c>
      <c r="AX34" s="4">
        <f>'4.1 Comptes 2021 natures'!AX34/'4.1 Comptes 2021 natures'!AX2</f>
        <v>0</v>
      </c>
      <c r="AY34" s="4">
        <f>'4.1 Comptes 2021 natures'!AY34/'4.1 Comptes 2021 natures'!AY2</f>
        <v>0</v>
      </c>
      <c r="AZ34" s="4">
        <f>'4.1 Comptes 2021 natures'!AZ34/'4.1 Comptes 2021 natures'!AZ2</f>
        <v>0</v>
      </c>
      <c r="BA34" s="4">
        <f>'4.1 Comptes 2021 natures'!BA34/'4.1 Comptes 2021 natures'!BA2</f>
        <v>0</v>
      </c>
      <c r="BB34" s="4">
        <f>'4.1 Comptes 2021 natures'!BB34/'4.1 Comptes 2021 natures'!BB2</f>
        <v>0</v>
      </c>
      <c r="BC34" s="4">
        <f>'4.1 Comptes 2021 natures'!BC34/'4.1 Comptes 2021 natures'!BC2</f>
        <v>0</v>
      </c>
      <c r="BD34" s="4">
        <f>'4.1 Comptes 2021 natures'!BD34/'4.1 Comptes 2021 natures'!BD2</f>
        <v>0</v>
      </c>
      <c r="BE34" s="4">
        <f>'4.1 Comptes 2021 natures'!BE34/'4.1 Comptes 2021 natures'!BE2</f>
        <v>0</v>
      </c>
      <c r="BF34" s="4">
        <f t="shared" si="17"/>
        <v>7.5414781297134239E-3</v>
      </c>
      <c r="BG34" s="4">
        <f t="shared" si="18"/>
        <v>7.5414781297134239E-3</v>
      </c>
      <c r="BH34" s="4">
        <f t="shared" si="19"/>
        <v>0</v>
      </c>
      <c r="BI34" s="4">
        <f t="shared" si="20"/>
        <v>0</v>
      </c>
    </row>
    <row r="35" spans="2:61" x14ac:dyDescent="0.25">
      <c r="C35">
        <v>343</v>
      </c>
      <c r="D35" t="s">
        <v>105</v>
      </c>
      <c r="E35" s="4">
        <f>'4.1 Comptes 2021 natures'!E35/'4.1 Comptes 2021 natures'!E2</f>
        <v>0</v>
      </c>
      <c r="F35" s="4">
        <f>'4.1 Comptes 2021 natures'!F35/'4.1 Comptes 2021 natures'!F2</f>
        <v>35.793584905660374</v>
      </c>
      <c r="G35" s="4">
        <f>'4.1 Comptes 2021 natures'!G35/'4.1 Comptes 2021 natures'!G2</f>
        <v>77.517590618336882</v>
      </c>
      <c r="H35" s="4">
        <f>'4.1 Comptes 2021 natures'!H35/'4.1 Comptes 2021 natures'!H2</f>
        <v>50.621640091116177</v>
      </c>
      <c r="I35" s="4">
        <f>'4.1 Comptes 2021 natures'!I35/'4.1 Comptes 2021 natures'!I2</f>
        <v>34.79971566523605</v>
      </c>
      <c r="J35" s="4">
        <f>'4.1 Comptes 2021 natures'!J35/'4.1 Comptes 2021 natures'!J2</f>
        <v>16.368370702541107</v>
      </c>
      <c r="K35" s="4">
        <f>'4.1 Comptes 2021 natures'!K35/'4.1 Comptes 2021 natures'!K2</f>
        <v>27.492194570135748</v>
      </c>
      <c r="L35" s="4">
        <f>'4.1 Comptes 2021 natures'!L35/'4.1 Comptes 2021 natures'!L2</f>
        <v>12.530747656062186</v>
      </c>
      <c r="M35" s="4">
        <f>'4.1 Comptes 2021 natures'!M35/'4.1 Comptes 2021 natures'!M2</f>
        <v>16.92924944812362</v>
      </c>
      <c r="N35" s="4">
        <f>'4.1 Comptes 2021 natures'!N35/'4.1 Comptes 2021 natures'!N2</f>
        <v>0</v>
      </c>
      <c r="O35" s="4">
        <f>'4.1 Comptes 2021 natures'!O35/'4.1 Comptes 2021 natures'!O2</f>
        <v>11.935718220630767</v>
      </c>
      <c r="P35" s="4">
        <f>'4.1 Comptes 2021 natures'!P35/'4.1 Comptes 2021 natures'!P2</f>
        <v>17.906598513011151</v>
      </c>
      <c r="Q35" s="4">
        <f>'4.1 Comptes 2021 natures'!Q35/'4.1 Comptes 2021 natures'!Q2</f>
        <v>5.0220720720720724</v>
      </c>
      <c r="R35" s="4">
        <f>'4.1 Comptes 2021 natures'!R35/'4.1 Comptes 2021 natures'!R2</f>
        <v>19.841923990498813</v>
      </c>
      <c r="S35" s="4">
        <f>'4.1 Comptes 2021 natures'!S35/'4.1 Comptes 2021 natures'!S2</f>
        <v>12.700722543352601</v>
      </c>
      <c r="T35" s="4">
        <f>'4.1 Comptes 2021 natures'!T35/'4.1 Comptes 2021 natures'!T2</f>
        <v>20.916971830985915</v>
      </c>
      <c r="U35" s="4">
        <f>'4.1 Comptes 2021 natures'!U35/'4.1 Comptes 2021 natures'!U2</f>
        <v>21.131040892193308</v>
      </c>
      <c r="V35" s="4">
        <f>'4.1 Comptes 2021 natures'!V35/'4.1 Comptes 2021 natures'!V2</f>
        <v>21.926477272727272</v>
      </c>
      <c r="W35" s="4">
        <f>'4.1 Comptes 2021 natures'!W35/'4.1 Comptes 2021 natures'!W2</f>
        <v>5.3319108082997841</v>
      </c>
      <c r="X35" s="4">
        <f>'4.1 Comptes 2021 natures'!X35/'4.1 Comptes 2021 natures'!X2</f>
        <v>11.994677419354838</v>
      </c>
      <c r="Y35" s="4">
        <f>'4.1 Comptes 2021 natures'!Y35/'4.1 Comptes 2021 natures'!Y2</f>
        <v>0</v>
      </c>
      <c r="Z35" s="4">
        <f>'4.1 Comptes 2021 natures'!Z35/'4.1 Comptes 2021 natures'!Z2</f>
        <v>5.7054116865869853</v>
      </c>
      <c r="AA35" s="4">
        <f>'4.1 Comptes 2021 natures'!AA35/'4.1 Comptes 2021 natures'!AA2</f>
        <v>1.0875000000000001</v>
      </c>
      <c r="AB35" s="4">
        <f>'4.1 Comptes 2021 natures'!AB35/'4.1 Comptes 2021 natures'!AB2</f>
        <v>70.109459459459458</v>
      </c>
      <c r="AC35" s="4">
        <f>'4.1 Comptes 2021 natures'!AC35/'4.1 Comptes 2021 natures'!AC2</f>
        <v>47.842084942084945</v>
      </c>
      <c r="AD35" s="4">
        <f>'4.1 Comptes 2021 natures'!AD35/'4.1 Comptes 2021 natures'!AD2</f>
        <v>53.21241084165478</v>
      </c>
      <c r="AE35" s="4">
        <f>'4.1 Comptes 2021 natures'!AE35/'4.1 Comptes 2021 natures'!AE2</f>
        <v>0</v>
      </c>
      <c r="AF35" s="4">
        <f>'4.1 Comptes 2021 natures'!AF35/'4.1 Comptes 2021 natures'!AF2</f>
        <v>128.358</v>
      </c>
      <c r="AG35" s="4">
        <f>'4.1 Comptes 2021 natures'!AG35/'4.1 Comptes 2021 natures'!AG2</f>
        <v>26.782320586694603</v>
      </c>
      <c r="AH35" s="4">
        <f>'4.1 Comptes 2021 natures'!AH35/'4.1 Comptes 2021 natures'!AH2</f>
        <v>7.7988178294573647</v>
      </c>
      <c r="AI35" s="4">
        <f>'4.1 Comptes 2021 natures'!AI35/'4.1 Comptes 2021 natures'!AI2</f>
        <v>0</v>
      </c>
      <c r="AJ35" s="4">
        <f>'4.1 Comptes 2021 natures'!AJ35/'4.1 Comptes 2021 natures'!AJ2</f>
        <v>154.01550387596899</v>
      </c>
      <c r="AK35" s="4">
        <f>'4.1 Comptes 2021 natures'!AK35/'4.1 Comptes 2021 natures'!AK2</f>
        <v>47.654547858276047</v>
      </c>
      <c r="AL35" s="4">
        <f>'4.1 Comptes 2021 natures'!AL35/'4.1 Comptes 2021 natures'!AL2</f>
        <v>48.478241563055064</v>
      </c>
      <c r="AM35" s="4">
        <f>'4.1 Comptes 2021 natures'!AM35/'4.1 Comptes 2021 natures'!AM2</f>
        <v>29.389306122448982</v>
      </c>
      <c r="AN35" s="4">
        <f>'4.1 Comptes 2021 natures'!AN35/'4.1 Comptes 2021 natures'!AN2</f>
        <v>0</v>
      </c>
      <c r="AO35" s="4">
        <f>'4.1 Comptes 2021 natures'!AO35/'4.1 Comptes 2021 natures'!AO2</f>
        <v>0</v>
      </c>
      <c r="AP35" s="4">
        <f>'4.1 Comptes 2021 natures'!AP35/'4.1 Comptes 2021 natures'!AP2</f>
        <v>14.272352024922119</v>
      </c>
      <c r="AQ35" s="4">
        <f>'4.1 Comptes 2021 natures'!AQ35/'4.1 Comptes 2021 natures'!AQ2</f>
        <v>0</v>
      </c>
      <c r="AR35" s="4">
        <f>'4.1 Comptes 2021 natures'!AR35/'4.1 Comptes 2021 natures'!AR2</f>
        <v>127.06853582554517</v>
      </c>
      <c r="AS35" s="4">
        <f>'4.1 Comptes 2021 natures'!AS35/'4.1 Comptes 2021 natures'!AS2</f>
        <v>6.8042681258549935</v>
      </c>
      <c r="AT35" s="4">
        <f>'4.1 Comptes 2021 natures'!AT35/'4.1 Comptes 2021 natures'!AT2</f>
        <v>23.817568897637798</v>
      </c>
      <c r="AU35" s="4">
        <f>'4.1 Comptes 2021 natures'!AU35/'4.1 Comptes 2021 natures'!AU2</f>
        <v>0</v>
      </c>
      <c r="AV35" s="4">
        <f>'4.1 Comptes 2021 natures'!AV35/'4.1 Comptes 2021 natures'!AV2</f>
        <v>7.6637645107794361E-2</v>
      </c>
      <c r="AW35" s="4">
        <f>'4.1 Comptes 2021 natures'!AW35/'4.1 Comptes 2021 natures'!AW2</f>
        <v>22.475918367346939</v>
      </c>
      <c r="AX35" s="4">
        <f>'4.1 Comptes 2021 natures'!AX35/'4.1 Comptes 2021 natures'!AX2</f>
        <v>0</v>
      </c>
      <c r="AY35" s="4">
        <f>'4.1 Comptes 2021 natures'!AY35/'4.1 Comptes 2021 natures'!AY2</f>
        <v>0</v>
      </c>
      <c r="AZ35" s="4">
        <f>'4.1 Comptes 2021 natures'!AZ35/'4.1 Comptes 2021 natures'!AZ2</f>
        <v>10.368061284619916</v>
      </c>
      <c r="BA35" s="4">
        <f>'4.1 Comptes 2021 natures'!BA35/'4.1 Comptes 2021 natures'!BA2</f>
        <v>37.06525641025641</v>
      </c>
      <c r="BB35" s="4">
        <f>'4.1 Comptes 2021 natures'!BB35/'4.1 Comptes 2021 natures'!BB2</f>
        <v>46.20798695246971</v>
      </c>
      <c r="BC35" s="4">
        <f>'4.1 Comptes 2021 natures'!BC35/'4.1 Comptes 2021 natures'!BC2</f>
        <v>1.6872282608695652</v>
      </c>
      <c r="BD35" s="4">
        <f>'4.1 Comptes 2021 natures'!BD35/'4.1 Comptes 2021 natures'!BD2</f>
        <v>14.028804515929478</v>
      </c>
      <c r="BE35" s="4">
        <f>'4.1 Comptes 2021 natures'!BE35/'4.1 Comptes 2021 natures'!BE2</f>
        <v>28.931574239713775</v>
      </c>
      <c r="BF35" s="4">
        <f t="shared" si="17"/>
        <v>1373.9990045362999</v>
      </c>
      <c r="BG35" s="4">
        <f t="shared" si="18"/>
        <v>408.76652980098379</v>
      </c>
      <c r="BH35" s="4">
        <f t="shared" si="19"/>
        <v>506.90618664126197</v>
      </c>
      <c r="BI35" s="4">
        <f t="shared" si="20"/>
        <v>458.32628809405372</v>
      </c>
    </row>
    <row r="36" spans="2:61" x14ac:dyDescent="0.25">
      <c r="C36">
        <v>344</v>
      </c>
      <c r="D36" t="s">
        <v>106</v>
      </c>
      <c r="E36" s="4">
        <f>'4.1 Comptes 2021 natures'!E36/'4.1 Comptes 2021 natures'!E2</f>
        <v>0</v>
      </c>
      <c r="F36" s="4">
        <f>'4.1 Comptes 2021 natures'!F36/'4.1 Comptes 2021 natures'!F2</f>
        <v>0</v>
      </c>
      <c r="G36" s="4">
        <f>'4.1 Comptes 2021 natures'!G36/'4.1 Comptes 2021 natures'!G2</f>
        <v>0</v>
      </c>
      <c r="H36" s="4">
        <f>'4.1 Comptes 2021 natures'!H36/'4.1 Comptes 2021 natures'!H2</f>
        <v>0</v>
      </c>
      <c r="I36" s="4">
        <f>'4.1 Comptes 2021 natures'!I36/'4.1 Comptes 2021 natures'!I2</f>
        <v>1.2328326180257512</v>
      </c>
      <c r="J36" s="4">
        <f>'4.1 Comptes 2021 natures'!J36/'4.1 Comptes 2021 natures'!J2</f>
        <v>0</v>
      </c>
      <c r="K36" s="4">
        <f>'4.1 Comptes 2021 natures'!K36/'4.1 Comptes 2021 natures'!K2</f>
        <v>1.6178054298642535</v>
      </c>
      <c r="L36" s="4">
        <f>'4.1 Comptes 2021 natures'!L36/'4.1 Comptes 2021 natures'!L2</f>
        <v>0</v>
      </c>
      <c r="M36" s="4">
        <f>'4.1 Comptes 2021 natures'!M36/'4.1 Comptes 2021 natures'!M2</f>
        <v>0</v>
      </c>
      <c r="N36" s="4">
        <f>'4.1 Comptes 2021 natures'!N36/'4.1 Comptes 2021 natures'!N2</f>
        <v>0</v>
      </c>
      <c r="O36" s="4">
        <f>'4.1 Comptes 2021 natures'!O36/'4.1 Comptes 2021 natures'!O2</f>
        <v>0</v>
      </c>
      <c r="P36" s="4">
        <f>'4.1 Comptes 2021 natures'!P36/'4.1 Comptes 2021 natures'!P2</f>
        <v>0</v>
      </c>
      <c r="Q36" s="4">
        <f>'4.1 Comptes 2021 natures'!Q36/'4.1 Comptes 2021 natures'!Q2</f>
        <v>0</v>
      </c>
      <c r="R36" s="4">
        <f>'4.1 Comptes 2021 natures'!R36/'4.1 Comptes 2021 natures'!R2</f>
        <v>0</v>
      </c>
      <c r="S36" s="4">
        <f>'4.1 Comptes 2021 natures'!S36/'4.1 Comptes 2021 natures'!S2</f>
        <v>0</v>
      </c>
      <c r="T36" s="4">
        <f>'4.1 Comptes 2021 natures'!T36/'4.1 Comptes 2021 natures'!T2</f>
        <v>4.7276760563380282</v>
      </c>
      <c r="U36" s="4">
        <f>'4.1 Comptes 2021 natures'!U36/'4.1 Comptes 2021 natures'!U2</f>
        <v>0</v>
      </c>
      <c r="V36" s="4">
        <f>'4.1 Comptes 2021 natures'!V36/'4.1 Comptes 2021 natures'!V2</f>
        <v>0</v>
      </c>
      <c r="W36" s="4">
        <f>'4.1 Comptes 2021 natures'!W36/'4.1 Comptes 2021 natures'!W2</f>
        <v>0</v>
      </c>
      <c r="X36" s="4">
        <f>'4.1 Comptes 2021 natures'!X36/'4.1 Comptes 2021 natures'!X2</f>
        <v>0</v>
      </c>
      <c r="Y36" s="4">
        <f>'4.1 Comptes 2021 natures'!Y36/'4.1 Comptes 2021 natures'!Y2</f>
        <v>0</v>
      </c>
      <c r="Z36" s="4">
        <f>'4.1 Comptes 2021 natures'!Z36/'4.1 Comptes 2021 natures'!Z2</f>
        <v>0</v>
      </c>
      <c r="AA36" s="4">
        <f>'4.1 Comptes 2021 natures'!AA36/'4.1 Comptes 2021 natures'!AA2</f>
        <v>0</v>
      </c>
      <c r="AB36" s="4">
        <f>'4.1 Comptes 2021 natures'!AB36/'4.1 Comptes 2021 natures'!AB2</f>
        <v>0</v>
      </c>
      <c r="AC36" s="4">
        <f>'4.1 Comptes 2021 natures'!AC36/'4.1 Comptes 2021 natures'!AC2</f>
        <v>0</v>
      </c>
      <c r="AD36" s="4">
        <f>'4.1 Comptes 2021 natures'!AD36/'4.1 Comptes 2021 natures'!AD2</f>
        <v>2.8530670470756064E-3</v>
      </c>
      <c r="AE36" s="4">
        <f>'4.1 Comptes 2021 natures'!AE36/'4.1 Comptes 2021 natures'!AE2</f>
        <v>0</v>
      </c>
      <c r="AF36" s="4">
        <f>'4.1 Comptes 2021 natures'!AF36/'4.1 Comptes 2021 natures'!AF2</f>
        <v>0</v>
      </c>
      <c r="AG36" s="4">
        <f>'4.1 Comptes 2021 natures'!AG36/'4.1 Comptes 2021 natures'!AG2</f>
        <v>0</v>
      </c>
      <c r="AH36" s="4">
        <f>'4.1 Comptes 2021 natures'!AH36/'4.1 Comptes 2021 natures'!AH2</f>
        <v>0</v>
      </c>
      <c r="AI36" s="4">
        <f>'4.1 Comptes 2021 natures'!AI36/'4.1 Comptes 2021 natures'!AI2</f>
        <v>-52.200675675675676</v>
      </c>
      <c r="AJ36" s="4">
        <f>'4.1 Comptes 2021 natures'!AJ36/'4.1 Comptes 2021 natures'!AJ2</f>
        <v>0</v>
      </c>
      <c r="AK36" s="4">
        <f>'4.1 Comptes 2021 natures'!AK36/'4.1 Comptes 2021 natures'!AK2</f>
        <v>0</v>
      </c>
      <c r="AL36" s="4">
        <f>'4.1 Comptes 2021 natures'!AL36/'4.1 Comptes 2021 natures'!AL2</f>
        <v>0</v>
      </c>
      <c r="AM36" s="4">
        <f>'4.1 Comptes 2021 natures'!AM36/'4.1 Comptes 2021 natures'!AM2</f>
        <v>0</v>
      </c>
      <c r="AN36" s="4">
        <f>'4.1 Comptes 2021 natures'!AN36/'4.1 Comptes 2021 natures'!AN2</f>
        <v>0</v>
      </c>
      <c r="AO36" s="4">
        <f>'4.1 Comptes 2021 natures'!AO36/'4.1 Comptes 2021 natures'!AO2</f>
        <v>0</v>
      </c>
      <c r="AP36" s="4">
        <f>'4.1 Comptes 2021 natures'!AP36/'4.1 Comptes 2021 natures'!AP2</f>
        <v>0</v>
      </c>
      <c r="AQ36" s="4">
        <f>'4.1 Comptes 2021 natures'!AQ36/'4.1 Comptes 2021 natures'!AQ2</f>
        <v>0</v>
      </c>
      <c r="AR36" s="4">
        <f>'4.1 Comptes 2021 natures'!AR36/'4.1 Comptes 2021 natures'!AR2</f>
        <v>0</v>
      </c>
      <c r="AS36" s="4">
        <f>'4.1 Comptes 2021 natures'!AS36/'4.1 Comptes 2021 natures'!AS2</f>
        <v>0</v>
      </c>
      <c r="AT36" s="4">
        <f>'4.1 Comptes 2021 natures'!AT36/'4.1 Comptes 2021 natures'!AT2</f>
        <v>0</v>
      </c>
      <c r="AU36" s="4">
        <f>'4.1 Comptes 2021 natures'!AU36/'4.1 Comptes 2021 natures'!AU2</f>
        <v>0</v>
      </c>
      <c r="AV36" s="4">
        <f>'4.1 Comptes 2021 natures'!AV36/'4.1 Comptes 2021 natures'!AV2</f>
        <v>0</v>
      </c>
      <c r="AW36" s="4">
        <f>'4.1 Comptes 2021 natures'!AW36/'4.1 Comptes 2021 natures'!AW2</f>
        <v>0</v>
      </c>
      <c r="AX36" s="4">
        <f>'4.1 Comptes 2021 natures'!AX36/'4.1 Comptes 2021 natures'!AX2</f>
        <v>0</v>
      </c>
      <c r="AY36" s="4">
        <f>'4.1 Comptes 2021 natures'!AY36/'4.1 Comptes 2021 natures'!AY2</f>
        <v>0</v>
      </c>
      <c r="AZ36" s="4">
        <f>'4.1 Comptes 2021 natures'!AZ36/'4.1 Comptes 2021 natures'!AZ2</f>
        <v>0</v>
      </c>
      <c r="BA36" s="4">
        <f>'4.1 Comptes 2021 natures'!BA36/'4.1 Comptes 2021 natures'!BA2</f>
        <v>0</v>
      </c>
      <c r="BB36" s="4">
        <f>'4.1 Comptes 2021 natures'!BB36/'4.1 Comptes 2021 natures'!BB2</f>
        <v>0.27958993476234856</v>
      </c>
      <c r="BC36" s="4">
        <f>'4.1 Comptes 2021 natures'!BC36/'4.1 Comptes 2021 natures'!BC2</f>
        <v>0</v>
      </c>
      <c r="BD36" s="4">
        <f>'4.1 Comptes 2021 natures'!BD36/'4.1 Comptes 2021 natures'!BD2</f>
        <v>0</v>
      </c>
      <c r="BE36" s="4">
        <f>'4.1 Comptes 2021 natures'!BE36/'4.1 Comptes 2021 natures'!BE2</f>
        <v>0</v>
      </c>
      <c r="BF36" s="4">
        <f t="shared" si="17"/>
        <v>-44.339918569638222</v>
      </c>
      <c r="BG36" s="4">
        <f t="shared" si="18"/>
        <v>7.5783141042280331</v>
      </c>
      <c r="BH36" s="4">
        <f t="shared" si="19"/>
        <v>-52.197822608628599</v>
      </c>
      <c r="BI36" s="4">
        <f t="shared" si="20"/>
        <v>0.27958993476234856</v>
      </c>
    </row>
    <row r="37" spans="2:61" x14ac:dyDescent="0.25">
      <c r="C37">
        <v>349</v>
      </c>
      <c r="D37" t="s">
        <v>107</v>
      </c>
      <c r="E37" s="4">
        <f>'4.1 Comptes 2021 natures'!E37/'4.1 Comptes 2021 natures'!E2</f>
        <v>0</v>
      </c>
      <c r="F37" s="4">
        <f>'4.1 Comptes 2021 natures'!F37/'4.1 Comptes 2021 natures'!F2</f>
        <v>0</v>
      </c>
      <c r="G37" s="4">
        <f>'4.1 Comptes 2021 natures'!G37/'4.1 Comptes 2021 natures'!G2</f>
        <v>0</v>
      </c>
      <c r="H37" s="4">
        <f>'4.1 Comptes 2021 natures'!H37/'4.1 Comptes 2021 natures'!H2</f>
        <v>0</v>
      </c>
      <c r="I37" s="4">
        <f>'4.1 Comptes 2021 natures'!I37/'4.1 Comptes 2021 natures'!I2</f>
        <v>0</v>
      </c>
      <c r="J37" s="4">
        <f>'4.1 Comptes 2021 natures'!J37/'4.1 Comptes 2021 natures'!J2</f>
        <v>0</v>
      </c>
      <c r="K37" s="4">
        <f>'4.1 Comptes 2021 natures'!K37/'4.1 Comptes 2021 natures'!K2</f>
        <v>0</v>
      </c>
      <c r="L37" s="4">
        <f>'4.1 Comptes 2021 natures'!L37/'4.1 Comptes 2021 natures'!L2</f>
        <v>0</v>
      </c>
      <c r="M37" s="4">
        <f>'4.1 Comptes 2021 natures'!M37/'4.1 Comptes 2021 natures'!M2</f>
        <v>1.0691685062545989E-2</v>
      </c>
      <c r="N37" s="4">
        <f>'4.1 Comptes 2021 natures'!N37/'4.1 Comptes 2021 natures'!N2</f>
        <v>0</v>
      </c>
      <c r="O37" s="4">
        <f>'4.1 Comptes 2021 natures'!O37/'4.1 Comptes 2021 natures'!O2</f>
        <v>0</v>
      </c>
      <c r="P37" s="4">
        <f>'4.1 Comptes 2021 natures'!P37/'4.1 Comptes 2021 natures'!P2</f>
        <v>0</v>
      </c>
      <c r="Q37" s="4">
        <f>'4.1 Comptes 2021 natures'!Q37/'4.1 Comptes 2021 natures'!Q2</f>
        <v>0</v>
      </c>
      <c r="R37" s="4">
        <f>'4.1 Comptes 2021 natures'!R37/'4.1 Comptes 2021 natures'!R2</f>
        <v>0</v>
      </c>
      <c r="S37" s="4">
        <f>'4.1 Comptes 2021 natures'!S37/'4.1 Comptes 2021 natures'!S2</f>
        <v>0</v>
      </c>
      <c r="T37" s="4">
        <f>'4.1 Comptes 2021 natures'!T37/'4.1 Comptes 2021 natures'!T2</f>
        <v>0</v>
      </c>
      <c r="U37" s="4">
        <f>'4.1 Comptes 2021 natures'!U37/'4.1 Comptes 2021 natures'!U2</f>
        <v>0</v>
      </c>
      <c r="V37" s="4">
        <f>'4.1 Comptes 2021 natures'!V37/'4.1 Comptes 2021 natures'!V2</f>
        <v>0</v>
      </c>
      <c r="W37" s="4">
        <f>'4.1 Comptes 2021 natures'!W37/'4.1 Comptes 2021 natures'!W2</f>
        <v>0</v>
      </c>
      <c r="X37" s="4">
        <f>'4.1 Comptes 2021 natures'!X37/'4.1 Comptes 2021 natures'!X2</f>
        <v>10.899645161290323</v>
      </c>
      <c r="Y37" s="4">
        <f>'4.1 Comptes 2021 natures'!Y37/'4.1 Comptes 2021 natures'!Y2</f>
        <v>0</v>
      </c>
      <c r="Z37" s="4">
        <f>'4.1 Comptes 2021 natures'!Z37/'4.1 Comptes 2021 natures'!Z2</f>
        <v>0</v>
      </c>
      <c r="AA37" s="4">
        <f>'4.1 Comptes 2021 natures'!AA37/'4.1 Comptes 2021 natures'!AA2</f>
        <v>0</v>
      </c>
      <c r="AB37" s="4">
        <f>'4.1 Comptes 2021 natures'!AB37/'4.1 Comptes 2021 natures'!AB2</f>
        <v>11.848918918918919</v>
      </c>
      <c r="AC37" s="4">
        <f>'4.1 Comptes 2021 natures'!AC37/'4.1 Comptes 2021 natures'!AC2</f>
        <v>0</v>
      </c>
      <c r="AD37" s="4">
        <f>'4.1 Comptes 2021 natures'!AD37/'4.1 Comptes 2021 natures'!AD2</f>
        <v>0</v>
      </c>
      <c r="AE37" s="4">
        <f>'4.1 Comptes 2021 natures'!AE37/'4.1 Comptes 2021 natures'!AE2</f>
        <v>0</v>
      </c>
      <c r="AF37" s="4">
        <f>'4.1 Comptes 2021 natures'!AF37/'4.1 Comptes 2021 natures'!AF2</f>
        <v>0</v>
      </c>
      <c r="AG37" s="4">
        <f>'4.1 Comptes 2021 natures'!AG37/'4.1 Comptes 2021 natures'!AG2</f>
        <v>0</v>
      </c>
      <c r="AH37" s="4">
        <f>'4.1 Comptes 2021 natures'!AH37/'4.1 Comptes 2021 natures'!AH2</f>
        <v>0</v>
      </c>
      <c r="AI37" s="4">
        <f>'4.1 Comptes 2021 natures'!AI37/'4.1 Comptes 2021 natures'!AI2</f>
        <v>0</v>
      </c>
      <c r="AJ37" s="4">
        <f>'4.1 Comptes 2021 natures'!AJ37/'4.1 Comptes 2021 natures'!AJ2</f>
        <v>0</v>
      </c>
      <c r="AK37" s="4">
        <f>'4.1 Comptes 2021 natures'!AK37/'4.1 Comptes 2021 natures'!AK2</f>
        <v>0</v>
      </c>
      <c r="AL37" s="4">
        <f>'4.1 Comptes 2021 natures'!AL37/'4.1 Comptes 2021 natures'!AL2</f>
        <v>4.7296092362344586</v>
      </c>
      <c r="AM37" s="4">
        <f>'4.1 Comptes 2021 natures'!AM37/'4.1 Comptes 2021 natures'!AM2</f>
        <v>0</v>
      </c>
      <c r="AN37" s="4">
        <f>'4.1 Comptes 2021 natures'!AN37/'4.1 Comptes 2021 natures'!AN2</f>
        <v>9.8636752136752133</v>
      </c>
      <c r="AO37" s="4">
        <f>'4.1 Comptes 2021 natures'!AO37/'4.1 Comptes 2021 natures'!AO2</f>
        <v>0</v>
      </c>
      <c r="AP37" s="4">
        <f>'4.1 Comptes 2021 natures'!AP37/'4.1 Comptes 2021 natures'!AP2</f>
        <v>5.4845950155763239</v>
      </c>
      <c r="AQ37" s="4">
        <f>'4.1 Comptes 2021 natures'!AQ37/'4.1 Comptes 2021 natures'!AQ2</f>
        <v>0</v>
      </c>
      <c r="AR37" s="4">
        <f>'4.1 Comptes 2021 natures'!AR37/'4.1 Comptes 2021 natures'!AR2</f>
        <v>0</v>
      </c>
      <c r="AS37" s="4">
        <f>'4.1 Comptes 2021 natures'!AS37/'4.1 Comptes 2021 natures'!AS2</f>
        <v>0.10663474692202463</v>
      </c>
      <c r="AT37" s="4">
        <f>'4.1 Comptes 2021 natures'!AT37/'4.1 Comptes 2021 natures'!AT2</f>
        <v>0</v>
      </c>
      <c r="AU37" s="4">
        <f>'4.1 Comptes 2021 natures'!AU37/'4.1 Comptes 2021 natures'!AU2</f>
        <v>0</v>
      </c>
      <c r="AV37" s="4">
        <f>'4.1 Comptes 2021 natures'!AV37/'4.1 Comptes 2021 natures'!AV2</f>
        <v>0</v>
      </c>
      <c r="AW37" s="4">
        <f>'4.1 Comptes 2021 natures'!AW37/'4.1 Comptes 2021 natures'!AW2</f>
        <v>1.2146938775510203</v>
      </c>
      <c r="AX37" s="4">
        <f>'4.1 Comptes 2021 natures'!AX37/'4.1 Comptes 2021 natures'!AX2</f>
        <v>3.8605405405405406</v>
      </c>
      <c r="AY37" s="4">
        <f>'4.1 Comptes 2021 natures'!AY37/'4.1 Comptes 2021 natures'!AY2</f>
        <v>0</v>
      </c>
      <c r="AZ37" s="4">
        <f>'4.1 Comptes 2021 natures'!AZ37/'4.1 Comptes 2021 natures'!AZ2</f>
        <v>0</v>
      </c>
      <c r="BA37" s="4">
        <f>'4.1 Comptes 2021 natures'!BA37/'4.1 Comptes 2021 natures'!BA2</f>
        <v>0</v>
      </c>
      <c r="BB37" s="4">
        <f>'4.1 Comptes 2021 natures'!BB37/'4.1 Comptes 2021 natures'!BB2</f>
        <v>0</v>
      </c>
      <c r="BC37" s="4">
        <f>'4.1 Comptes 2021 natures'!BC37/'4.1 Comptes 2021 natures'!BC2</f>
        <v>0</v>
      </c>
      <c r="BD37" s="4">
        <f>'4.1 Comptes 2021 natures'!BD37/'4.1 Comptes 2021 natures'!BD2</f>
        <v>0</v>
      </c>
      <c r="BE37" s="4">
        <f>'4.1 Comptes 2021 natures'!BE37/'4.1 Comptes 2021 natures'!BE2</f>
        <v>3.4121645796064404</v>
      </c>
      <c r="BF37" s="4">
        <f t="shared" si="17"/>
        <v>51.431168975377815</v>
      </c>
      <c r="BG37" s="4">
        <f t="shared" si="18"/>
        <v>1.0691685062545989E-2</v>
      </c>
      <c r="BH37" s="4">
        <f t="shared" si="19"/>
        <v>22.748564080209242</v>
      </c>
      <c r="BI37" s="4">
        <f t="shared" si="20"/>
        <v>28.671913210106023</v>
      </c>
    </row>
    <row r="38" spans="2:61" x14ac:dyDescent="0.25">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row>
    <row r="39" spans="2:61" x14ac:dyDescent="0.25">
      <c r="B39" s="76">
        <v>35</v>
      </c>
      <c r="C39" s="76"/>
      <c r="D39" s="76" t="s">
        <v>109</v>
      </c>
      <c r="E39" s="77">
        <f>E40+E41</f>
        <v>17.928986272439282</v>
      </c>
      <c r="F39" s="77">
        <f t="shared" ref="F39:BI39" si="21">F40+F41</f>
        <v>56.688113207547168</v>
      </c>
      <c r="G39" s="77">
        <f t="shared" si="21"/>
        <v>10.326119402985075</v>
      </c>
      <c r="H39" s="77">
        <f t="shared" si="21"/>
        <v>0</v>
      </c>
      <c r="I39" s="77">
        <f t="shared" si="21"/>
        <v>30.147210300429183</v>
      </c>
      <c r="J39" s="77">
        <f t="shared" si="21"/>
        <v>2.4762959641255602</v>
      </c>
      <c r="K39" s="77">
        <f t="shared" si="21"/>
        <v>11.34366515837104</v>
      </c>
      <c r="L39" s="77">
        <f t="shared" si="21"/>
        <v>0</v>
      </c>
      <c r="M39" s="77">
        <f t="shared" si="21"/>
        <v>79.983436350257548</v>
      </c>
      <c r="N39" s="77">
        <f t="shared" si="21"/>
        <v>81.196581196581192</v>
      </c>
      <c r="O39" s="77">
        <f t="shared" si="21"/>
        <v>101.71567277234541</v>
      </c>
      <c r="P39" s="77">
        <f t="shared" si="21"/>
        <v>0</v>
      </c>
      <c r="Q39" s="77">
        <f t="shared" si="21"/>
        <v>0</v>
      </c>
      <c r="R39" s="77">
        <f t="shared" si="21"/>
        <v>-0.10783847980997624</v>
      </c>
      <c r="S39" s="77">
        <f t="shared" si="21"/>
        <v>83.815028901734109</v>
      </c>
      <c r="T39" s="77">
        <f t="shared" si="21"/>
        <v>0</v>
      </c>
      <c r="U39" s="77">
        <f t="shared" si="21"/>
        <v>55.049814126394054</v>
      </c>
      <c r="V39" s="77">
        <f t="shared" si="21"/>
        <v>0</v>
      </c>
      <c r="W39" s="77">
        <f t="shared" si="21"/>
        <v>0</v>
      </c>
      <c r="X39" s="77">
        <f t="shared" si="21"/>
        <v>241.18661290322584</v>
      </c>
      <c r="Y39" s="77">
        <f t="shared" si="21"/>
        <v>1.2965354330708661</v>
      </c>
      <c r="Z39" s="77">
        <f t="shared" si="21"/>
        <v>42.774900398406373</v>
      </c>
      <c r="AA39" s="77">
        <f t="shared" si="21"/>
        <v>0</v>
      </c>
      <c r="AB39" s="77">
        <f t="shared" si="21"/>
        <v>54.888851351351356</v>
      </c>
      <c r="AC39" s="77">
        <f t="shared" si="21"/>
        <v>10.420270270270271</v>
      </c>
      <c r="AD39" s="77">
        <f t="shared" si="21"/>
        <v>4.9928673323823114</v>
      </c>
      <c r="AE39" s="77">
        <f t="shared" si="21"/>
        <v>9.5376773049645394</v>
      </c>
      <c r="AF39" s="77">
        <f t="shared" si="21"/>
        <v>11.584304761904763</v>
      </c>
      <c r="AG39" s="77">
        <f t="shared" si="21"/>
        <v>30.199554740701938</v>
      </c>
      <c r="AH39" s="77">
        <f t="shared" si="21"/>
        <v>9.3721899224806204</v>
      </c>
      <c r="AI39" s="77">
        <f t="shared" si="21"/>
        <v>70.297072072072083</v>
      </c>
      <c r="AJ39" s="77">
        <f t="shared" si="21"/>
        <v>23.255813953488371</v>
      </c>
      <c r="AK39" s="77">
        <f t="shared" si="21"/>
        <v>31.759148598625067</v>
      </c>
      <c r="AL39" s="77">
        <f t="shared" si="21"/>
        <v>5.2260479573712253</v>
      </c>
      <c r="AM39" s="77">
        <f t="shared" si="21"/>
        <v>36.210914285714288</v>
      </c>
      <c r="AN39" s="77">
        <f t="shared" si="21"/>
        <v>0</v>
      </c>
      <c r="AO39" s="77">
        <f t="shared" si="21"/>
        <v>0</v>
      </c>
      <c r="AP39" s="77">
        <f t="shared" si="21"/>
        <v>14.742647975077883</v>
      </c>
      <c r="AQ39" s="77">
        <f t="shared" si="21"/>
        <v>20.841548183254346</v>
      </c>
      <c r="AR39" s="77">
        <f t="shared" si="21"/>
        <v>87.825116822429905</v>
      </c>
      <c r="AS39" s="77">
        <f t="shared" si="21"/>
        <v>136.16963064295487</v>
      </c>
      <c r="AT39" s="77">
        <f t="shared" si="21"/>
        <v>192.96696850393704</v>
      </c>
      <c r="AU39" s="77">
        <f t="shared" si="21"/>
        <v>4.8825657894736842</v>
      </c>
      <c r="AV39" s="77">
        <f t="shared" si="21"/>
        <v>69.396625207296864</v>
      </c>
      <c r="AW39" s="77">
        <f t="shared" si="21"/>
        <v>18.383673469387755</v>
      </c>
      <c r="AX39" s="77">
        <f t="shared" si="21"/>
        <v>0.19383783783783784</v>
      </c>
      <c r="AY39" s="77">
        <f t="shared" si="21"/>
        <v>-0.91176470588235292</v>
      </c>
      <c r="AZ39" s="77">
        <f t="shared" si="21"/>
        <v>6.1652916912197995</v>
      </c>
      <c r="BA39" s="77">
        <f t="shared" si="21"/>
        <v>13.138333333333334</v>
      </c>
      <c r="BB39" s="77">
        <f t="shared" si="21"/>
        <v>36.990652376514447</v>
      </c>
      <c r="BC39" s="77">
        <f t="shared" si="21"/>
        <v>27.739130434782609</v>
      </c>
      <c r="BD39" s="77">
        <f t="shared" si="21"/>
        <v>1.5828100835137644</v>
      </c>
      <c r="BE39" s="77">
        <f t="shared" si="21"/>
        <v>34.555688729874781</v>
      </c>
      <c r="BF39" s="77">
        <f t="shared" si="21"/>
        <v>1778.2286028344361</v>
      </c>
      <c r="BG39" s="77">
        <f t="shared" si="21"/>
        <v>530.5630851733996</v>
      </c>
      <c r="BH39" s="77">
        <f t="shared" si="21"/>
        <v>509.80665044431936</v>
      </c>
      <c r="BI39" s="77">
        <f t="shared" si="21"/>
        <v>737.85886721671716</v>
      </c>
    </row>
    <row r="40" spans="2:61" x14ac:dyDescent="0.25">
      <c r="C40">
        <v>350</v>
      </c>
      <c r="D40" t="s">
        <v>109</v>
      </c>
      <c r="E40" s="4">
        <f>'4.1 Comptes 2021 natures'!E40/'4.1 Comptes 2021 natures'!E2</f>
        <v>0</v>
      </c>
      <c r="F40" s="4">
        <f>'4.1 Comptes 2021 natures'!F40/'4.1 Comptes 2021 natures'!F2</f>
        <v>0</v>
      </c>
      <c r="G40" s="4">
        <f>'4.1 Comptes 2021 natures'!G40/'4.1 Comptes 2021 natures'!G2</f>
        <v>0</v>
      </c>
      <c r="H40" s="4">
        <f>'4.1 Comptes 2021 natures'!H40/'4.1 Comptes 2021 natures'!H2</f>
        <v>0</v>
      </c>
      <c r="I40" s="4">
        <f>'4.1 Comptes 2021 natures'!I40/'4.1 Comptes 2021 natures'!I2</f>
        <v>3.6749865879828327</v>
      </c>
      <c r="J40" s="4">
        <f>'4.1 Comptes 2021 natures'!J40/'4.1 Comptes 2021 natures'!J2</f>
        <v>0</v>
      </c>
      <c r="K40" s="4">
        <f>'4.1 Comptes 2021 natures'!K40/'4.1 Comptes 2021 natures'!K2</f>
        <v>0</v>
      </c>
      <c r="L40" s="4">
        <f>'4.1 Comptes 2021 natures'!L40/'4.1 Comptes 2021 natures'!L2</f>
        <v>0</v>
      </c>
      <c r="M40" s="4">
        <f>'4.1 Comptes 2021 natures'!M40/'4.1 Comptes 2021 natures'!M2</f>
        <v>0</v>
      </c>
      <c r="N40" s="4">
        <f>'4.1 Comptes 2021 natures'!N40/'4.1 Comptes 2021 natures'!N2</f>
        <v>81.196581196581192</v>
      </c>
      <c r="O40" s="4">
        <f>'4.1 Comptes 2021 natures'!O40/'4.1 Comptes 2021 natures'!O2</f>
        <v>0</v>
      </c>
      <c r="P40" s="4">
        <f>'4.1 Comptes 2021 natures'!P40/'4.1 Comptes 2021 natures'!P2</f>
        <v>0</v>
      </c>
      <c r="Q40" s="4">
        <f>'4.1 Comptes 2021 natures'!Q40/'4.1 Comptes 2021 natures'!Q2</f>
        <v>0</v>
      </c>
      <c r="R40" s="4">
        <f>'4.1 Comptes 2021 natures'!R40/'4.1 Comptes 2021 natures'!R2</f>
        <v>0</v>
      </c>
      <c r="S40" s="4">
        <f>'4.1 Comptes 2021 natures'!S40/'4.1 Comptes 2021 natures'!S2</f>
        <v>0</v>
      </c>
      <c r="T40" s="4">
        <f>'4.1 Comptes 2021 natures'!T40/'4.1 Comptes 2021 natures'!T2</f>
        <v>0</v>
      </c>
      <c r="U40" s="4">
        <f>'4.1 Comptes 2021 natures'!U40/'4.1 Comptes 2021 natures'!U2</f>
        <v>0</v>
      </c>
      <c r="V40" s="4">
        <f>'4.1 Comptes 2021 natures'!V40/'4.1 Comptes 2021 natures'!V2</f>
        <v>0</v>
      </c>
      <c r="W40" s="4">
        <f>'4.1 Comptes 2021 natures'!W40/'4.1 Comptes 2021 natures'!W2</f>
        <v>0</v>
      </c>
      <c r="X40" s="4">
        <f>'4.1 Comptes 2021 natures'!X40/'4.1 Comptes 2021 natures'!X2</f>
        <v>0</v>
      </c>
      <c r="Y40" s="4">
        <f>'4.1 Comptes 2021 natures'!Y40/'4.1 Comptes 2021 natures'!Y2</f>
        <v>0</v>
      </c>
      <c r="Z40" s="4">
        <f>'4.1 Comptes 2021 natures'!Z40/'4.1 Comptes 2021 natures'!Z2</f>
        <v>0</v>
      </c>
      <c r="AA40" s="4">
        <f>'4.1 Comptes 2021 natures'!AA40/'4.1 Comptes 2021 natures'!AA2</f>
        <v>0</v>
      </c>
      <c r="AB40" s="4">
        <f>'4.1 Comptes 2021 natures'!AB40/'4.1 Comptes 2021 natures'!AB2</f>
        <v>0</v>
      </c>
      <c r="AC40" s="4">
        <f>'4.1 Comptes 2021 natures'!AC40/'4.1 Comptes 2021 natures'!AC2</f>
        <v>0</v>
      </c>
      <c r="AD40" s="4">
        <f>'4.1 Comptes 2021 natures'!AD40/'4.1 Comptes 2021 natures'!AD2</f>
        <v>0</v>
      </c>
      <c r="AE40" s="4">
        <f>'4.1 Comptes 2021 natures'!AE40/'4.1 Comptes 2021 natures'!AE2</f>
        <v>1.7832446808510638</v>
      </c>
      <c r="AF40" s="4">
        <f>'4.1 Comptes 2021 natures'!AF40/'4.1 Comptes 2021 natures'!AF2</f>
        <v>0</v>
      </c>
      <c r="AG40" s="4">
        <f>'4.1 Comptes 2021 natures'!AG40/'4.1 Comptes 2021 natures'!AG2</f>
        <v>0</v>
      </c>
      <c r="AH40" s="4">
        <f>'4.1 Comptes 2021 natures'!AH40/'4.1 Comptes 2021 natures'!AH2</f>
        <v>0</v>
      </c>
      <c r="AI40" s="4">
        <f>'4.1 Comptes 2021 natures'!AI40/'4.1 Comptes 2021 natures'!AI2</f>
        <v>21.210585585585587</v>
      </c>
      <c r="AJ40" s="4">
        <f>'4.1 Comptes 2021 natures'!AJ40/'4.1 Comptes 2021 natures'!AJ2</f>
        <v>0</v>
      </c>
      <c r="AK40" s="4">
        <f>'4.1 Comptes 2021 natures'!AK40/'4.1 Comptes 2021 natures'!AK2</f>
        <v>0</v>
      </c>
      <c r="AL40" s="4">
        <f>'4.1 Comptes 2021 natures'!AL40/'4.1 Comptes 2021 natures'!AL2</f>
        <v>0</v>
      </c>
      <c r="AM40" s="4">
        <f>'4.1 Comptes 2021 natures'!AM40/'4.1 Comptes 2021 natures'!AM2</f>
        <v>0</v>
      </c>
      <c r="AN40" s="4">
        <f>'4.1 Comptes 2021 natures'!AN40/'4.1 Comptes 2021 natures'!AN2</f>
        <v>0</v>
      </c>
      <c r="AO40" s="4">
        <f>'4.1 Comptes 2021 natures'!AO40/'4.1 Comptes 2021 natures'!AO2</f>
        <v>0</v>
      </c>
      <c r="AP40" s="4">
        <f>'4.1 Comptes 2021 natures'!AP40/'4.1 Comptes 2021 natures'!AP2</f>
        <v>0</v>
      </c>
      <c r="AQ40" s="4">
        <f>'4.1 Comptes 2021 natures'!AQ40/'4.1 Comptes 2021 natures'!AQ2</f>
        <v>0</v>
      </c>
      <c r="AR40" s="4">
        <f>'4.1 Comptes 2021 natures'!AR40/'4.1 Comptes 2021 natures'!AR2</f>
        <v>0</v>
      </c>
      <c r="AS40" s="4">
        <f>'4.1 Comptes 2021 natures'!AS40/'4.1 Comptes 2021 natures'!AS2</f>
        <v>5.8823529411764701E-4</v>
      </c>
      <c r="AT40" s="4">
        <f>'4.1 Comptes 2021 natures'!AT40/'4.1 Comptes 2021 natures'!AT2</f>
        <v>1.0137795275590552E-2</v>
      </c>
      <c r="AU40" s="4">
        <f>'4.1 Comptes 2021 natures'!AU40/'4.1 Comptes 2021 natures'!AU2</f>
        <v>0</v>
      </c>
      <c r="AV40" s="4">
        <f>'4.1 Comptes 2021 natures'!AV40/'4.1 Comptes 2021 natures'!AV2</f>
        <v>3.9903192371475953</v>
      </c>
      <c r="AW40" s="4">
        <f>'4.1 Comptes 2021 natures'!AW40/'4.1 Comptes 2021 natures'!AW2</f>
        <v>0</v>
      </c>
      <c r="AX40" s="4">
        <f>'4.1 Comptes 2021 natures'!AX40/'4.1 Comptes 2021 natures'!AX2</f>
        <v>0</v>
      </c>
      <c r="AY40" s="4">
        <f>'4.1 Comptes 2021 natures'!AY40/'4.1 Comptes 2021 natures'!AY2</f>
        <v>0</v>
      </c>
      <c r="AZ40" s="4">
        <f>'4.1 Comptes 2021 natures'!AZ40/'4.1 Comptes 2021 natures'!AZ2</f>
        <v>0</v>
      </c>
      <c r="BA40" s="4">
        <f>'4.1 Comptes 2021 natures'!BA40/'4.1 Comptes 2021 natures'!BA2</f>
        <v>0</v>
      </c>
      <c r="BB40" s="4">
        <f>'4.1 Comptes 2021 natures'!BB40/'4.1 Comptes 2021 natures'!BB2</f>
        <v>0</v>
      </c>
      <c r="BC40" s="4">
        <f>'4.1 Comptes 2021 natures'!BC40/'4.1 Comptes 2021 natures'!BC2</f>
        <v>0</v>
      </c>
      <c r="BD40" s="4">
        <f>'4.1 Comptes 2021 natures'!BD40/'4.1 Comptes 2021 natures'!BD2</f>
        <v>0</v>
      </c>
      <c r="BE40" s="4">
        <f>'4.1 Comptes 2021 natures'!BE40/'4.1 Comptes 2021 natures'!BE2</f>
        <v>0</v>
      </c>
      <c r="BF40" s="4">
        <f t="shared" ref="BF40:BF41" si="22">SUM(E40:BE40)</f>
        <v>111.86644331871798</v>
      </c>
      <c r="BG40" s="4">
        <f t="shared" ref="BG40:BG41" si="23">SUM(E40:W40)</f>
        <v>84.871567784564022</v>
      </c>
      <c r="BH40" s="4">
        <f t="shared" ref="BH40:BH41" si="24">SUM(X40:AJ40)</f>
        <v>22.99383026643665</v>
      </c>
      <c r="BI40" s="4">
        <f t="shared" ref="BI40:BI41" si="25">SUM(AK40:BE40)</f>
        <v>4.0010452677173038</v>
      </c>
    </row>
    <row r="41" spans="2:61" x14ac:dyDescent="0.25">
      <c r="C41">
        <v>351</v>
      </c>
      <c r="D41" t="s">
        <v>108</v>
      </c>
      <c r="E41" s="4">
        <f>'4.1 Comptes 2021 natures'!E41/'4.1 Comptes 2021 natures'!E2</f>
        <v>17.928986272439282</v>
      </c>
      <c r="F41" s="4">
        <f>'4.1 Comptes 2021 natures'!F41/'4.1 Comptes 2021 natures'!F2</f>
        <v>56.688113207547168</v>
      </c>
      <c r="G41" s="4">
        <f>'4.1 Comptes 2021 natures'!G41/'4.1 Comptes 2021 natures'!G2</f>
        <v>10.326119402985075</v>
      </c>
      <c r="H41" s="4">
        <f>'4.1 Comptes 2021 natures'!H41/'4.1 Comptes 2021 natures'!H2</f>
        <v>0</v>
      </c>
      <c r="I41" s="4">
        <f>'4.1 Comptes 2021 natures'!I41/'4.1 Comptes 2021 natures'!I2</f>
        <v>26.47222371244635</v>
      </c>
      <c r="J41" s="4">
        <f>'4.1 Comptes 2021 natures'!J41/'4.1 Comptes 2021 natures'!J2</f>
        <v>2.4762959641255602</v>
      </c>
      <c r="K41" s="4">
        <f>'4.1 Comptes 2021 natures'!K41/'4.1 Comptes 2021 natures'!K2</f>
        <v>11.34366515837104</v>
      </c>
      <c r="L41" s="4">
        <f>'4.1 Comptes 2021 natures'!L41/'4.1 Comptes 2021 natures'!L2</f>
        <v>0</v>
      </c>
      <c r="M41" s="4">
        <f>'4.1 Comptes 2021 natures'!M41/'4.1 Comptes 2021 natures'!M2</f>
        <v>79.983436350257548</v>
      </c>
      <c r="N41" s="4">
        <f>'4.1 Comptes 2021 natures'!N41/'4.1 Comptes 2021 natures'!N2</f>
        <v>0</v>
      </c>
      <c r="O41" s="4">
        <f>'4.1 Comptes 2021 natures'!O41/'4.1 Comptes 2021 natures'!O2</f>
        <v>101.71567277234541</v>
      </c>
      <c r="P41" s="4">
        <f>'4.1 Comptes 2021 natures'!P41/'4.1 Comptes 2021 natures'!P2</f>
        <v>0</v>
      </c>
      <c r="Q41" s="4">
        <f>'4.1 Comptes 2021 natures'!Q41/'4.1 Comptes 2021 natures'!Q2</f>
        <v>0</v>
      </c>
      <c r="R41" s="4">
        <f>'4.1 Comptes 2021 natures'!R41/'4.1 Comptes 2021 natures'!R2</f>
        <v>-0.10783847980997624</v>
      </c>
      <c r="S41" s="4">
        <f>'4.1 Comptes 2021 natures'!S41/'4.1 Comptes 2021 natures'!S2</f>
        <v>83.815028901734109</v>
      </c>
      <c r="T41" s="4">
        <f>'4.1 Comptes 2021 natures'!T41/'4.1 Comptes 2021 natures'!T2</f>
        <v>0</v>
      </c>
      <c r="U41" s="4">
        <f>'4.1 Comptes 2021 natures'!U41/'4.1 Comptes 2021 natures'!U2</f>
        <v>55.049814126394054</v>
      </c>
      <c r="V41" s="4">
        <f>'4.1 Comptes 2021 natures'!V41/'4.1 Comptes 2021 natures'!V2</f>
        <v>0</v>
      </c>
      <c r="W41" s="4">
        <f>'4.1 Comptes 2021 natures'!W41/'4.1 Comptes 2021 natures'!W2</f>
        <v>0</v>
      </c>
      <c r="X41" s="4">
        <f>'4.1 Comptes 2021 natures'!X41/'4.1 Comptes 2021 natures'!X2</f>
        <v>241.18661290322584</v>
      </c>
      <c r="Y41" s="4">
        <f>'4.1 Comptes 2021 natures'!Y41/'4.1 Comptes 2021 natures'!Y2</f>
        <v>1.2965354330708661</v>
      </c>
      <c r="Z41" s="4">
        <f>'4.1 Comptes 2021 natures'!Z41/'4.1 Comptes 2021 natures'!Z2</f>
        <v>42.774900398406373</v>
      </c>
      <c r="AA41" s="4">
        <f>'4.1 Comptes 2021 natures'!AA41/'4.1 Comptes 2021 natures'!AA2</f>
        <v>0</v>
      </c>
      <c r="AB41" s="4">
        <f>'4.1 Comptes 2021 natures'!AB41/'4.1 Comptes 2021 natures'!AB2</f>
        <v>54.888851351351356</v>
      </c>
      <c r="AC41" s="4">
        <f>'4.1 Comptes 2021 natures'!AC41/'4.1 Comptes 2021 natures'!AC2</f>
        <v>10.420270270270271</v>
      </c>
      <c r="AD41" s="4">
        <f>'4.1 Comptes 2021 natures'!AD41/'4.1 Comptes 2021 natures'!AD2</f>
        <v>4.9928673323823114</v>
      </c>
      <c r="AE41" s="4">
        <f>'4.1 Comptes 2021 natures'!AE41/'4.1 Comptes 2021 natures'!AE2</f>
        <v>7.7544326241134751</v>
      </c>
      <c r="AF41" s="4">
        <f>'4.1 Comptes 2021 natures'!AF41/'4.1 Comptes 2021 natures'!AF2</f>
        <v>11.584304761904763</v>
      </c>
      <c r="AG41" s="4">
        <f>'4.1 Comptes 2021 natures'!AG41/'4.1 Comptes 2021 natures'!AG2</f>
        <v>30.199554740701938</v>
      </c>
      <c r="AH41" s="4">
        <f>'4.1 Comptes 2021 natures'!AH41/'4.1 Comptes 2021 natures'!AH2</f>
        <v>9.3721899224806204</v>
      </c>
      <c r="AI41" s="4">
        <f>'4.1 Comptes 2021 natures'!AI41/'4.1 Comptes 2021 natures'!AI2</f>
        <v>49.086486486486493</v>
      </c>
      <c r="AJ41" s="4">
        <f>'4.1 Comptes 2021 natures'!AJ41/'4.1 Comptes 2021 natures'!AJ2</f>
        <v>23.255813953488371</v>
      </c>
      <c r="AK41" s="4">
        <f>'4.1 Comptes 2021 natures'!AK41/'4.1 Comptes 2021 natures'!AK2</f>
        <v>31.759148598625067</v>
      </c>
      <c r="AL41" s="4">
        <f>'4.1 Comptes 2021 natures'!AL41/'4.1 Comptes 2021 natures'!AL2</f>
        <v>5.2260479573712253</v>
      </c>
      <c r="AM41" s="4">
        <f>'4.1 Comptes 2021 natures'!AM41/'4.1 Comptes 2021 natures'!AM2</f>
        <v>36.210914285714288</v>
      </c>
      <c r="AN41" s="4">
        <f>'4.1 Comptes 2021 natures'!AN41/'4.1 Comptes 2021 natures'!AN2</f>
        <v>0</v>
      </c>
      <c r="AO41" s="4">
        <f>'4.1 Comptes 2021 natures'!AO41/'4.1 Comptes 2021 natures'!AO2</f>
        <v>0</v>
      </c>
      <c r="AP41" s="4">
        <f>'4.1 Comptes 2021 natures'!AP41/'4.1 Comptes 2021 natures'!AP2</f>
        <v>14.742647975077883</v>
      </c>
      <c r="AQ41" s="4">
        <f>'4.1 Comptes 2021 natures'!AQ41/'4.1 Comptes 2021 natures'!AQ2</f>
        <v>20.841548183254346</v>
      </c>
      <c r="AR41" s="4">
        <f>'4.1 Comptes 2021 natures'!AR41/'4.1 Comptes 2021 natures'!AR2</f>
        <v>87.825116822429905</v>
      </c>
      <c r="AS41" s="4">
        <f>'4.1 Comptes 2021 natures'!AS41/'4.1 Comptes 2021 natures'!AS2</f>
        <v>136.16904240766075</v>
      </c>
      <c r="AT41" s="4">
        <f>'4.1 Comptes 2021 natures'!AT41/'4.1 Comptes 2021 natures'!AT2</f>
        <v>192.95683070866144</v>
      </c>
      <c r="AU41" s="4">
        <f>'4.1 Comptes 2021 natures'!AU41/'4.1 Comptes 2021 natures'!AU2</f>
        <v>4.8825657894736842</v>
      </c>
      <c r="AV41" s="4">
        <f>'4.1 Comptes 2021 natures'!AV41/'4.1 Comptes 2021 natures'!AV2</f>
        <v>65.406305970149262</v>
      </c>
      <c r="AW41" s="4">
        <f>'4.1 Comptes 2021 natures'!AW41/'4.1 Comptes 2021 natures'!AW2</f>
        <v>18.383673469387755</v>
      </c>
      <c r="AX41" s="4">
        <f>'4.1 Comptes 2021 natures'!AX41/'4.1 Comptes 2021 natures'!AX2</f>
        <v>0.19383783783783784</v>
      </c>
      <c r="AY41" s="4">
        <f>'4.1 Comptes 2021 natures'!AY41/'4.1 Comptes 2021 natures'!AY2</f>
        <v>-0.91176470588235292</v>
      </c>
      <c r="AZ41" s="4">
        <f>'4.1 Comptes 2021 natures'!AZ41/'4.1 Comptes 2021 natures'!AZ2</f>
        <v>6.1652916912197995</v>
      </c>
      <c r="BA41" s="4">
        <f>'4.1 Comptes 2021 natures'!BA41/'4.1 Comptes 2021 natures'!BA2</f>
        <v>13.138333333333334</v>
      </c>
      <c r="BB41" s="4">
        <f>'4.1 Comptes 2021 natures'!BB41/'4.1 Comptes 2021 natures'!BB2</f>
        <v>36.990652376514447</v>
      </c>
      <c r="BC41" s="4">
        <f>'4.1 Comptes 2021 natures'!BC41/'4.1 Comptes 2021 natures'!BC2</f>
        <v>27.739130434782609</v>
      </c>
      <c r="BD41" s="4">
        <f>'4.1 Comptes 2021 natures'!BD41/'4.1 Comptes 2021 natures'!BD2</f>
        <v>1.5828100835137644</v>
      </c>
      <c r="BE41" s="4">
        <f>'4.1 Comptes 2021 natures'!BE41/'4.1 Comptes 2021 natures'!BE2</f>
        <v>34.555688729874781</v>
      </c>
      <c r="BF41" s="4">
        <f t="shared" si="22"/>
        <v>1666.3621595157181</v>
      </c>
      <c r="BG41" s="4">
        <f t="shared" si="23"/>
        <v>445.69151738883556</v>
      </c>
      <c r="BH41" s="4">
        <f t="shared" si="24"/>
        <v>486.81282017788271</v>
      </c>
      <c r="BI41" s="4">
        <f t="shared" si="25"/>
        <v>733.8578219489998</v>
      </c>
    </row>
    <row r="42" spans="2:61" x14ac:dyDescent="0.25">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row>
    <row r="43" spans="2:61" x14ac:dyDescent="0.25">
      <c r="B43" s="76">
        <v>36</v>
      </c>
      <c r="C43" s="76"/>
      <c r="D43" s="76" t="s">
        <v>110</v>
      </c>
      <c r="E43" s="77">
        <f>E44+E45+E46+E47+E48+E49+E50+E51</f>
        <v>2333.0203062302003</v>
      </c>
      <c r="F43" s="77">
        <f t="shared" ref="F43:BI43" si="26">F44+F45+F46+F47+F48+F49+F50+F51</f>
        <v>2367.4983018867924</v>
      </c>
      <c r="G43" s="77">
        <f t="shared" si="26"/>
        <v>2277.1847121535184</v>
      </c>
      <c r="H43" s="77">
        <f t="shared" si="26"/>
        <v>2262.0324373576309</v>
      </c>
      <c r="I43" s="77">
        <f t="shared" si="26"/>
        <v>1930.0736963519316</v>
      </c>
      <c r="J43" s="77">
        <f t="shared" si="26"/>
        <v>1949.8702690582961</v>
      </c>
      <c r="K43" s="77">
        <f t="shared" si="26"/>
        <v>2398.4033748114634</v>
      </c>
      <c r="L43" s="77">
        <f t="shared" si="26"/>
        <v>3337.2220185912329</v>
      </c>
      <c r="M43" s="77">
        <f t="shared" si="26"/>
        <v>2730.9384473877849</v>
      </c>
      <c r="N43" s="77">
        <f t="shared" si="26"/>
        <v>2842.9157264957266</v>
      </c>
      <c r="O43" s="77">
        <f t="shared" si="26"/>
        <v>2261.4385470320894</v>
      </c>
      <c r="P43" s="77">
        <f t="shared" si="26"/>
        <v>1983.959628252788</v>
      </c>
      <c r="Q43" s="77">
        <f t="shared" si="26"/>
        <v>2137.3254054054055</v>
      </c>
      <c r="R43" s="77">
        <f t="shared" si="26"/>
        <v>2016.5347980997626</v>
      </c>
      <c r="S43" s="77">
        <f t="shared" si="26"/>
        <v>2009.8408959537574</v>
      </c>
      <c r="T43" s="77">
        <f t="shared" si="26"/>
        <v>1929.6686619718312</v>
      </c>
      <c r="U43" s="77">
        <f t="shared" si="26"/>
        <v>2049.4198884758366</v>
      </c>
      <c r="V43" s="77">
        <f t="shared" si="26"/>
        <v>2908.1203636363634</v>
      </c>
      <c r="W43" s="77">
        <f t="shared" si="26"/>
        <v>1831.5882564261381</v>
      </c>
      <c r="X43" s="77">
        <f t="shared" si="26"/>
        <v>2112.1609677419356</v>
      </c>
      <c r="Y43" s="77">
        <f t="shared" si="26"/>
        <v>2273.3697559055117</v>
      </c>
      <c r="Z43" s="77">
        <f t="shared" si="26"/>
        <v>3423.6581208499333</v>
      </c>
      <c r="AA43" s="77">
        <f t="shared" si="26"/>
        <v>1968.5744791666666</v>
      </c>
      <c r="AB43" s="77">
        <f t="shared" si="26"/>
        <v>2767.9104729729734</v>
      </c>
      <c r="AC43" s="77">
        <f t="shared" si="26"/>
        <v>2593.6135135135137</v>
      </c>
      <c r="AD43" s="77">
        <f t="shared" si="26"/>
        <v>2100.8121540656202</v>
      </c>
      <c r="AE43" s="77">
        <f t="shared" si="26"/>
        <v>2187.25390070922</v>
      </c>
      <c r="AF43" s="77">
        <f t="shared" si="26"/>
        <v>2315.2888000000003</v>
      </c>
      <c r="AG43" s="77">
        <f t="shared" si="26"/>
        <v>2577.1568727082245</v>
      </c>
      <c r="AH43" s="77">
        <f t="shared" si="26"/>
        <v>2264.9226007751936</v>
      </c>
      <c r="AI43" s="77">
        <f t="shared" si="26"/>
        <v>2263.9344594594595</v>
      </c>
      <c r="AJ43" s="77">
        <f t="shared" si="26"/>
        <v>2739.7410852713178</v>
      </c>
      <c r="AK43" s="77">
        <f t="shared" si="26"/>
        <v>2589.2724907456368</v>
      </c>
      <c r="AL43" s="77">
        <f t="shared" si="26"/>
        <v>2370.5228774422735</v>
      </c>
      <c r="AM43" s="77">
        <f t="shared" si="26"/>
        <v>2526.2018122448981</v>
      </c>
      <c r="AN43" s="77">
        <f t="shared" si="26"/>
        <v>2635.5800854700856</v>
      </c>
      <c r="AO43" s="77">
        <f t="shared" si="26"/>
        <v>3528.0347426160333</v>
      </c>
      <c r="AP43" s="77">
        <f t="shared" si="26"/>
        <v>3063.785342679128</v>
      </c>
      <c r="AQ43" s="77">
        <f t="shared" si="26"/>
        <v>2158.4548973143756</v>
      </c>
      <c r="AR43" s="77">
        <f t="shared" si="26"/>
        <v>2347.7287383177572</v>
      </c>
      <c r="AS43" s="77">
        <f t="shared" si="26"/>
        <v>2498.7041997264023</v>
      </c>
      <c r="AT43" s="77">
        <f t="shared" si="26"/>
        <v>2584.7243602362205</v>
      </c>
      <c r="AU43" s="77">
        <f t="shared" si="26"/>
        <v>2832.6864144736837</v>
      </c>
      <c r="AV43" s="77">
        <f t="shared" si="26"/>
        <v>2623.4953772802655</v>
      </c>
      <c r="AW43" s="77">
        <f t="shared" si="26"/>
        <v>2292.5698367346936</v>
      </c>
      <c r="AX43" s="77">
        <f t="shared" si="26"/>
        <v>2462.5553513513514</v>
      </c>
      <c r="AY43" s="77">
        <f t="shared" si="26"/>
        <v>2002.9480000000001</v>
      </c>
      <c r="AZ43" s="77">
        <f t="shared" si="26"/>
        <v>2365.2342133176198</v>
      </c>
      <c r="BA43" s="77">
        <f t="shared" si="26"/>
        <v>2661.1202820512826</v>
      </c>
      <c r="BB43" s="77">
        <f t="shared" si="26"/>
        <v>2355.2807269338305</v>
      </c>
      <c r="BC43" s="77">
        <f t="shared" si="26"/>
        <v>2512.2396195652168</v>
      </c>
      <c r="BD43" s="77">
        <f t="shared" si="26"/>
        <v>2864.6310763996289</v>
      </c>
      <c r="BE43" s="77">
        <f t="shared" si="26"/>
        <v>2582.0644186046516</v>
      </c>
      <c r="BF43" s="77">
        <f t="shared" si="26"/>
        <v>129003.28778222318</v>
      </c>
      <c r="BG43" s="77">
        <f t="shared" si="26"/>
        <v>43557.05573557855</v>
      </c>
      <c r="BH43" s="77">
        <f t="shared" si="26"/>
        <v>31588.397183139568</v>
      </c>
      <c r="BI43" s="77">
        <f t="shared" si="26"/>
        <v>53857.834863505035</v>
      </c>
    </row>
    <row r="44" spans="2:61" x14ac:dyDescent="0.25">
      <c r="C44">
        <v>360</v>
      </c>
      <c r="D44" t="s">
        <v>111</v>
      </c>
      <c r="E44" s="4">
        <f>'4.1 Comptes 2021 natures'!E44/'4.1 Comptes 2021 natures'!E2</f>
        <v>4.6247096092925029</v>
      </c>
      <c r="F44" s="4">
        <f>'4.1 Comptes 2021 natures'!F44/'4.1 Comptes 2021 natures'!F2</f>
        <v>5.8867924528301883</v>
      </c>
      <c r="G44" s="4">
        <f>'4.1 Comptes 2021 natures'!G44/'4.1 Comptes 2021 natures'!G2</f>
        <v>3.0703624733475481</v>
      </c>
      <c r="H44" s="4">
        <f>'4.1 Comptes 2021 natures'!H44/'4.1 Comptes 2021 natures'!H2</f>
        <v>2.2779043280182232</v>
      </c>
      <c r="I44" s="4">
        <f>'4.1 Comptes 2021 natures'!I44/'4.1 Comptes 2021 natures'!I2</f>
        <v>4.3456813304721029</v>
      </c>
      <c r="J44" s="4">
        <f>'4.1 Comptes 2021 natures'!J44/'4.1 Comptes 2021 natures'!J2</f>
        <v>35.554768310911811</v>
      </c>
      <c r="K44" s="4">
        <f>'4.1 Comptes 2021 natures'!K44/'4.1 Comptes 2021 natures'!K2</f>
        <v>14.917043740573153</v>
      </c>
      <c r="L44" s="4">
        <f>'4.1 Comptes 2021 natures'!L44/'4.1 Comptes 2021 natures'!L2</f>
        <v>2.102904880198734</v>
      </c>
      <c r="M44" s="4">
        <f>'4.1 Comptes 2021 natures'!M44/'4.1 Comptes 2021 natures'!M2</f>
        <v>2.1192052980132452</v>
      </c>
      <c r="N44" s="4">
        <f>'4.1 Comptes 2021 natures'!N44/'4.1 Comptes 2021 natures'!N2</f>
        <v>5.6410256410256414</v>
      </c>
      <c r="O44" s="4">
        <f>'4.1 Comptes 2021 natures'!O44/'4.1 Comptes 2021 natures'!O2</f>
        <v>11.892239360969564</v>
      </c>
      <c r="P44" s="4">
        <f>'4.1 Comptes 2021 natures'!P44/'4.1 Comptes 2021 natures'!P2</f>
        <v>2.3420074349442381</v>
      </c>
      <c r="Q44" s="4">
        <f>'4.1 Comptes 2021 natures'!Q44/'4.1 Comptes 2021 natures'!Q2</f>
        <v>2.1621621621621623</v>
      </c>
      <c r="R44" s="4">
        <f>'4.1 Comptes 2021 natures'!R44/'4.1 Comptes 2021 natures'!R2</f>
        <v>3.2779097387173395</v>
      </c>
      <c r="S44" s="4">
        <f>'4.1 Comptes 2021 natures'!S44/'4.1 Comptes 2021 natures'!S2</f>
        <v>3.0057803468208091</v>
      </c>
      <c r="T44" s="4">
        <f>'4.1 Comptes 2021 natures'!T44/'4.1 Comptes 2021 natures'!T2</f>
        <v>4.0429577464788728</v>
      </c>
      <c r="U44" s="4">
        <f>'4.1 Comptes 2021 natures'!U44/'4.1 Comptes 2021 natures'!U2</f>
        <v>3.4944237918215615</v>
      </c>
      <c r="V44" s="4">
        <f>'4.1 Comptes 2021 natures'!V44/'4.1 Comptes 2021 natures'!V2</f>
        <v>3.2272727272727271</v>
      </c>
      <c r="W44" s="4">
        <f>'4.1 Comptes 2021 natures'!W44/'4.1 Comptes 2021 natures'!W2</f>
        <v>2.2607618457726852</v>
      </c>
      <c r="X44" s="4">
        <f>'4.1 Comptes 2021 natures'!X44/'4.1 Comptes 2021 natures'!X2</f>
        <v>8.17741935483871</v>
      </c>
      <c r="Y44" s="4">
        <f>'4.1 Comptes 2021 natures'!Y44/'4.1 Comptes 2021 natures'!Y2</f>
        <v>6.1080708661417322</v>
      </c>
      <c r="Z44" s="4">
        <f>'4.1 Comptes 2021 natures'!Z44/'4.1 Comptes 2021 natures'!Z2</f>
        <v>0</v>
      </c>
      <c r="AA44" s="4">
        <f>'4.1 Comptes 2021 natures'!AA44/'4.1 Comptes 2021 natures'!AA2</f>
        <v>5.46875</v>
      </c>
      <c r="AB44" s="4">
        <f>'4.1 Comptes 2021 natures'!AB44/'4.1 Comptes 2021 natures'!AB2</f>
        <v>8.986486486486486</v>
      </c>
      <c r="AC44" s="4">
        <f>'4.1 Comptes 2021 natures'!AC44/'4.1 Comptes 2021 natures'!AC2</f>
        <v>8.6679536679536682</v>
      </c>
      <c r="AD44" s="4">
        <f>'4.1 Comptes 2021 natures'!AD44/'4.1 Comptes 2021 natures'!AD2</f>
        <v>15.287232524964336</v>
      </c>
      <c r="AE44" s="4">
        <f>'4.1 Comptes 2021 natures'!AE44/'4.1 Comptes 2021 natures'!AE2</f>
        <v>10</v>
      </c>
      <c r="AF44" s="4">
        <f>'4.1 Comptes 2021 natures'!AF44/'4.1 Comptes 2021 natures'!AF2</f>
        <v>8.5333333333333332</v>
      </c>
      <c r="AG44" s="4">
        <f>'4.1 Comptes 2021 natures'!AG44/'4.1 Comptes 2021 natures'!AG2</f>
        <v>9.4840230487166064</v>
      </c>
      <c r="AH44" s="4">
        <f>'4.1 Comptes 2021 natures'!AH44/'4.1 Comptes 2021 natures'!AH2</f>
        <v>8.934100775193798</v>
      </c>
      <c r="AI44" s="4">
        <f>'4.1 Comptes 2021 natures'!AI44/'4.1 Comptes 2021 natures'!AI2</f>
        <v>10</v>
      </c>
      <c r="AJ44" s="4">
        <f>'4.1 Comptes 2021 natures'!AJ44/'4.1 Comptes 2021 natures'!AJ2</f>
        <v>26.131782945736433</v>
      </c>
      <c r="AK44" s="4">
        <f>'4.1 Comptes 2021 natures'!AK44/'4.1 Comptes 2021 natures'!AK2</f>
        <v>3.114225277630883</v>
      </c>
      <c r="AL44" s="4">
        <f>'4.1 Comptes 2021 natures'!AL44/'4.1 Comptes 2021 natures'!AL2</f>
        <v>3.9253996447602133</v>
      </c>
      <c r="AM44" s="4">
        <f>'4.1 Comptes 2021 natures'!AM44/'4.1 Comptes 2021 natures'!AM2</f>
        <v>4.3836734693877553</v>
      </c>
      <c r="AN44" s="4">
        <f>'4.1 Comptes 2021 natures'!AN44/'4.1 Comptes 2021 natures'!AN2</f>
        <v>6.3247863247863245</v>
      </c>
      <c r="AO44" s="4">
        <f>'4.1 Comptes 2021 natures'!AO44/'4.1 Comptes 2021 natures'!AO2</f>
        <v>1.860759493670886</v>
      </c>
      <c r="AP44" s="4">
        <f>'4.1 Comptes 2021 natures'!AP44/'4.1 Comptes 2021 natures'!AP2</f>
        <v>0.82118380062305307</v>
      </c>
      <c r="AQ44" s="4">
        <f>'4.1 Comptes 2021 natures'!AQ44/'4.1 Comptes 2021 natures'!AQ2</f>
        <v>3.1595576619273302</v>
      </c>
      <c r="AR44" s="4">
        <f>'4.1 Comptes 2021 natures'!AR44/'4.1 Comptes 2021 natures'!AR2</f>
        <v>5.5957943925233646</v>
      </c>
      <c r="AS44" s="4">
        <f>'4.1 Comptes 2021 natures'!AS44/'4.1 Comptes 2021 natures'!AS2</f>
        <v>3.3926128590971274</v>
      </c>
      <c r="AT44" s="4">
        <f>'4.1 Comptes 2021 natures'!AT44/'4.1 Comptes 2021 natures'!AT2</f>
        <v>2.7559055118110236</v>
      </c>
      <c r="AU44" s="4">
        <f>'4.1 Comptes 2021 natures'!AU44/'4.1 Comptes 2021 natures'!AU2</f>
        <v>5.7072368421052628</v>
      </c>
      <c r="AV44" s="4">
        <f>'4.1 Comptes 2021 natures'!AV44/'4.1 Comptes 2021 natures'!AV2</f>
        <v>4.0899668325041461</v>
      </c>
      <c r="AW44" s="4">
        <f>'4.1 Comptes 2021 natures'!AW44/'4.1 Comptes 2021 natures'!AW2</f>
        <v>2.2585034013605441</v>
      </c>
      <c r="AX44" s="4">
        <f>'4.1 Comptes 2021 natures'!AX44/'4.1 Comptes 2021 natures'!AX2</f>
        <v>0</v>
      </c>
      <c r="AY44" s="4">
        <f>'4.1 Comptes 2021 natures'!AY44/'4.1 Comptes 2021 natures'!AY2</f>
        <v>0.41176470588235292</v>
      </c>
      <c r="AZ44" s="4">
        <f>'4.1 Comptes 2021 natures'!AZ44/'4.1 Comptes 2021 natures'!AZ2</f>
        <v>3.0907483794932231</v>
      </c>
      <c r="BA44" s="4">
        <f>'4.1 Comptes 2021 natures'!BA44/'4.1 Comptes 2021 natures'!BA2</f>
        <v>7.7051282051282053</v>
      </c>
      <c r="BB44" s="4">
        <f>'4.1 Comptes 2021 natures'!BB44/'4.1 Comptes 2021 natures'!BB2</f>
        <v>4.5340167753960854</v>
      </c>
      <c r="BC44" s="4">
        <f>'4.1 Comptes 2021 natures'!BC44/'4.1 Comptes 2021 natures'!BC2</f>
        <v>1.683695652173913</v>
      </c>
      <c r="BD44" s="4">
        <f>'4.1 Comptes 2021 natures'!BD44/'4.1 Comptes 2021 natures'!BD2</f>
        <v>2.4721620785648004</v>
      </c>
      <c r="BE44" s="4">
        <f>'4.1 Comptes 2021 natures'!BE44/'4.1 Comptes 2021 natures'!BE2</f>
        <v>3.9713774597495526</v>
      </c>
      <c r="BF44" s="4">
        <f t="shared" ref="BF44:BF51" si="27">SUM(E44:BE44)</f>
        <v>313.28356499158434</v>
      </c>
      <c r="BG44" s="4">
        <f t="shared" ref="BG44:BG51" si="28">SUM(E44:W44)</f>
        <v>116.24591321964313</v>
      </c>
      <c r="BH44" s="4">
        <f t="shared" ref="BH44:BH51" si="29">SUM(X44:AJ44)</f>
        <v>125.77915300336511</v>
      </c>
      <c r="BI44" s="4">
        <f t="shared" ref="BI44:BI51" si="30">SUM(AK44:BE44)</f>
        <v>71.258498768576047</v>
      </c>
    </row>
    <row r="45" spans="2:61" x14ac:dyDescent="0.25">
      <c r="C45">
        <v>361</v>
      </c>
      <c r="D45" t="s">
        <v>112</v>
      </c>
      <c r="E45" s="4">
        <f>'4.1 Comptes 2021 natures'!E45/'4.1 Comptes 2021 natures'!E2</f>
        <v>1734.9487117212248</v>
      </c>
      <c r="F45" s="4">
        <f>'4.1 Comptes 2021 natures'!F45/'4.1 Comptes 2021 natures'!F2</f>
        <v>1608.9379245283019</v>
      </c>
      <c r="G45" s="4">
        <f>'4.1 Comptes 2021 natures'!G45/'4.1 Comptes 2021 natures'!G2</f>
        <v>1856.7642430703627</v>
      </c>
      <c r="H45" s="4">
        <f>'4.1 Comptes 2021 natures'!H45/'4.1 Comptes 2021 natures'!H2</f>
        <v>1657.2095671981776</v>
      </c>
      <c r="I45" s="4">
        <f>'4.1 Comptes 2021 natures'!I45/'4.1 Comptes 2021 natures'!I2</f>
        <v>1223.8051850858371</v>
      </c>
      <c r="J45" s="4">
        <f>'4.1 Comptes 2021 natures'!J45/'4.1 Comptes 2021 natures'!J2</f>
        <v>1245.6287144992525</v>
      </c>
      <c r="K45" s="4">
        <f>'4.1 Comptes 2021 natures'!K45/'4.1 Comptes 2021 natures'!K2</f>
        <v>1782.8458333333335</v>
      </c>
      <c r="L45" s="4">
        <f>'4.1 Comptes 2021 natures'!L45/'4.1 Comptes 2021 natures'!L2</f>
        <v>1410.2805561343055</v>
      </c>
      <c r="M45" s="4">
        <f>'4.1 Comptes 2021 natures'!M45/'4.1 Comptes 2021 natures'!M2</f>
        <v>1897.7311920529801</v>
      </c>
      <c r="N45" s="4">
        <f>'4.1 Comptes 2021 natures'!N45/'4.1 Comptes 2021 natures'!N2</f>
        <v>1218.9897435897435</v>
      </c>
      <c r="O45" s="4">
        <f>'4.1 Comptes 2021 natures'!O45/'4.1 Comptes 2021 natures'!O2</f>
        <v>1586.6080209337556</v>
      </c>
      <c r="P45" s="4">
        <f>'4.1 Comptes 2021 natures'!P45/'4.1 Comptes 2021 natures'!P2</f>
        <v>1532.9123234200742</v>
      </c>
      <c r="Q45" s="4">
        <f>'4.1 Comptes 2021 natures'!Q45/'4.1 Comptes 2021 natures'!Q2</f>
        <v>1716.2114414414414</v>
      </c>
      <c r="R45" s="4">
        <f>'4.1 Comptes 2021 natures'!R45/'4.1 Comptes 2021 natures'!R2</f>
        <v>1555.3489311163896</v>
      </c>
      <c r="S45" s="4">
        <f>'4.1 Comptes 2021 natures'!S45/'4.1 Comptes 2021 natures'!S2</f>
        <v>1520.4378612716764</v>
      </c>
      <c r="T45" s="4">
        <f>'4.1 Comptes 2021 natures'!T45/'4.1 Comptes 2021 natures'!T2</f>
        <v>1518.547605633803</v>
      </c>
      <c r="U45" s="4">
        <f>'4.1 Comptes 2021 natures'!U45/'4.1 Comptes 2021 natures'!U2</f>
        <v>1482.2026022304833</v>
      </c>
      <c r="V45" s="4">
        <f>'4.1 Comptes 2021 natures'!V45/'4.1 Comptes 2021 natures'!V2</f>
        <v>1825.678318181818</v>
      </c>
      <c r="W45" s="4">
        <f>'4.1 Comptes 2021 natures'!W45/'4.1 Comptes 2021 natures'!W2</f>
        <v>1296.6187767110559</v>
      </c>
      <c r="X45" s="4">
        <f>'4.1 Comptes 2021 natures'!X45/'4.1 Comptes 2021 natures'!X2</f>
        <v>1496.0530645161291</v>
      </c>
      <c r="Y45" s="4">
        <f>'4.1 Comptes 2021 natures'!Y45/'4.1 Comptes 2021 natures'!Y2</f>
        <v>1671.4690787401576</v>
      </c>
      <c r="Z45" s="4">
        <f>'4.1 Comptes 2021 natures'!Z45/'4.1 Comptes 2021 natures'!Z2</f>
        <v>1584.5302988047808</v>
      </c>
      <c r="AA45" s="4">
        <f>'4.1 Comptes 2021 natures'!AA45/'4.1 Comptes 2021 natures'!AA2</f>
        <v>1527.1963541666667</v>
      </c>
      <c r="AB45" s="4">
        <f>'4.1 Comptes 2021 natures'!AB45/'4.1 Comptes 2021 natures'!AB2</f>
        <v>2193.1310810810814</v>
      </c>
      <c r="AC45" s="4">
        <f>'4.1 Comptes 2021 natures'!AC45/'4.1 Comptes 2021 natures'!AC2</f>
        <v>1913.1100386100386</v>
      </c>
      <c r="AD45" s="4">
        <f>'4.1 Comptes 2021 natures'!AD45/'4.1 Comptes 2021 natures'!AD2</f>
        <v>1482.4808844507845</v>
      </c>
      <c r="AE45" s="4">
        <f>'4.1 Comptes 2021 natures'!AE45/'4.1 Comptes 2021 natures'!AE2</f>
        <v>1478.0673758865248</v>
      </c>
      <c r="AF45" s="4">
        <f>'4.1 Comptes 2021 natures'!AF45/'4.1 Comptes 2021 natures'!AF2</f>
        <v>1746.163180952381</v>
      </c>
      <c r="AG45" s="4">
        <f>'4.1 Comptes 2021 natures'!AG45/'4.1 Comptes 2021 natures'!AG2</f>
        <v>1698.717867993714</v>
      </c>
      <c r="AH45" s="4">
        <f>'4.1 Comptes 2021 natures'!AH45/'4.1 Comptes 2021 natures'!AH2</f>
        <v>1241.5809224806201</v>
      </c>
      <c r="AI45" s="4">
        <f>'4.1 Comptes 2021 natures'!AI45/'4.1 Comptes 2021 natures'!AI2</f>
        <v>1764.457882882883</v>
      </c>
      <c r="AJ45" s="4">
        <f>'4.1 Comptes 2021 natures'!AJ45/'4.1 Comptes 2021 natures'!AJ2</f>
        <v>1814.798062015504</v>
      </c>
      <c r="AK45" s="4">
        <f>'4.1 Comptes 2021 natures'!AK45/'4.1 Comptes 2021 natures'!AK2</f>
        <v>2051.3474510840824</v>
      </c>
      <c r="AL45" s="4">
        <f>'4.1 Comptes 2021 natures'!AL45/'4.1 Comptes 2021 natures'!AL2</f>
        <v>1680.1781172291296</v>
      </c>
      <c r="AM45" s="4">
        <f>'4.1 Comptes 2021 natures'!AM45/'4.1 Comptes 2021 natures'!AM2</f>
        <v>1894.1214857142857</v>
      </c>
      <c r="AN45" s="4">
        <f>'4.1 Comptes 2021 natures'!AN45/'4.1 Comptes 2021 natures'!AN2</f>
        <v>1438.7136752136753</v>
      </c>
      <c r="AO45" s="4">
        <f>'4.1 Comptes 2021 natures'!AO45/'4.1 Comptes 2021 natures'!AO2</f>
        <v>1179.4248691983123</v>
      </c>
      <c r="AP45" s="4">
        <f>'4.1 Comptes 2021 natures'!AP45/'4.1 Comptes 2021 natures'!AP2</f>
        <v>2136.161137071651</v>
      </c>
      <c r="AQ45" s="4">
        <f>'4.1 Comptes 2021 natures'!AQ45/'4.1 Comptes 2021 natures'!AQ2</f>
        <v>1634.3975355450236</v>
      </c>
      <c r="AR45" s="4">
        <f>'4.1 Comptes 2021 natures'!AR45/'4.1 Comptes 2021 natures'!AR2</f>
        <v>1689.1855919003115</v>
      </c>
      <c r="AS45" s="4">
        <f>'4.1 Comptes 2021 natures'!AS45/'4.1 Comptes 2021 natures'!AS2</f>
        <v>1909.7777291381669</v>
      </c>
      <c r="AT45" s="4">
        <f>'4.1 Comptes 2021 natures'!AT45/'4.1 Comptes 2021 natures'!AT2</f>
        <v>1823.5516535433071</v>
      </c>
      <c r="AU45" s="4">
        <f>'4.1 Comptes 2021 natures'!AU45/'4.1 Comptes 2021 natures'!AU2</f>
        <v>1839.5576315789474</v>
      </c>
      <c r="AV45" s="4">
        <f>'4.1 Comptes 2021 natures'!AV45/'4.1 Comptes 2021 natures'!AV2</f>
        <v>2089.0777570480927</v>
      </c>
      <c r="AW45" s="4">
        <f>'4.1 Comptes 2021 natures'!AW45/'4.1 Comptes 2021 natures'!AW2</f>
        <v>1783.3512653061223</v>
      </c>
      <c r="AX45" s="4">
        <f>'4.1 Comptes 2021 natures'!AX45/'4.1 Comptes 2021 natures'!AX2</f>
        <v>1600.3791351351351</v>
      </c>
      <c r="AY45" s="4">
        <f>'4.1 Comptes 2021 natures'!AY45/'4.1 Comptes 2021 natures'!AY2</f>
        <v>1453.1812352941176</v>
      </c>
      <c r="AZ45" s="4">
        <f>'4.1 Comptes 2021 natures'!AZ45/'4.1 Comptes 2021 natures'!AZ2</f>
        <v>1780.1415203299941</v>
      </c>
      <c r="BA45" s="4">
        <f>'4.1 Comptes 2021 natures'!BA45/'4.1 Comptes 2021 natures'!BA2</f>
        <v>2137.2781025641025</v>
      </c>
      <c r="BB45" s="4">
        <f>'4.1 Comptes 2021 natures'!BB45/'4.1 Comptes 2021 natures'!BB2</f>
        <v>1751.8993196644919</v>
      </c>
      <c r="BC45" s="4">
        <f>'4.1 Comptes 2021 natures'!BC45/'4.1 Comptes 2021 natures'!BC2</f>
        <v>1909.4322826086955</v>
      </c>
      <c r="BD45" s="4">
        <f>'4.1 Comptes 2021 natures'!BD45/'4.1 Comptes 2021 natures'!BD2</f>
        <v>1329.6858691617692</v>
      </c>
      <c r="BE45" s="4">
        <f>'4.1 Comptes 2021 natures'!BE45/'4.1 Comptes 2021 natures'!BE2</f>
        <v>1876.1245259391774</v>
      </c>
      <c r="BF45" s="4">
        <f t="shared" si="27"/>
        <v>88270.431535003896</v>
      </c>
      <c r="BG45" s="4">
        <f t="shared" si="28"/>
        <v>29671.707552154017</v>
      </c>
      <c r="BH45" s="4">
        <f t="shared" si="29"/>
        <v>21611.756092581265</v>
      </c>
      <c r="BI45" s="4">
        <f t="shared" si="30"/>
        <v>36986.967890268592</v>
      </c>
    </row>
    <row r="46" spans="2:61" x14ac:dyDescent="0.25">
      <c r="C46">
        <v>362</v>
      </c>
      <c r="D46" t="s">
        <v>113</v>
      </c>
      <c r="E46" s="4">
        <f>'4.1 Comptes 2021 natures'!E46/'4.1 Comptes 2021 natures'!E2</f>
        <v>23.351636747624077</v>
      </c>
      <c r="F46" s="4">
        <f>'4.1 Comptes 2021 natures'!F46/'4.1 Comptes 2021 natures'!F2</f>
        <v>23.547169811320753</v>
      </c>
      <c r="G46" s="4">
        <f>'4.1 Comptes 2021 natures'!G46/'4.1 Comptes 2021 natures'!G2</f>
        <v>0</v>
      </c>
      <c r="H46" s="4">
        <f>'4.1 Comptes 2021 natures'!H46/'4.1 Comptes 2021 natures'!H2</f>
        <v>0</v>
      </c>
      <c r="I46" s="4">
        <f>'4.1 Comptes 2021 natures'!I46/'4.1 Comptes 2021 natures'!I2</f>
        <v>37.615343347639488</v>
      </c>
      <c r="J46" s="4">
        <f>'4.1 Comptes 2021 natures'!J46/'4.1 Comptes 2021 natures'!J2</f>
        <v>39.106427503736924</v>
      </c>
      <c r="K46" s="4">
        <f>'4.1 Comptes 2021 natures'!K46/'4.1 Comptes 2021 natures'!K2</f>
        <v>48.327300150829565</v>
      </c>
      <c r="L46" s="4">
        <f>'4.1 Comptes 2021 natures'!L46/'4.1 Comptes 2021 natures'!L2</f>
        <v>74.453121243689395</v>
      </c>
      <c r="M46" s="4">
        <f>'4.1 Comptes 2021 natures'!M46/'4.1 Comptes 2021 natures'!M2</f>
        <v>71.29580573951435</v>
      </c>
      <c r="N46" s="4">
        <f>'4.1 Comptes 2021 natures'!N46/'4.1 Comptes 2021 natures'!N2</f>
        <v>416.07128205128203</v>
      </c>
      <c r="O46" s="4">
        <f>'4.1 Comptes 2021 natures'!O46/'4.1 Comptes 2021 natures'!O2</f>
        <v>30.90552265528164</v>
      </c>
      <c r="P46" s="4">
        <f>'4.1 Comptes 2021 natures'!P46/'4.1 Comptes 2021 natures'!P2</f>
        <v>0</v>
      </c>
      <c r="Q46" s="4">
        <f>'4.1 Comptes 2021 natures'!Q46/'4.1 Comptes 2021 natures'!Q2</f>
        <v>30.153153153153152</v>
      </c>
      <c r="R46" s="4">
        <f>'4.1 Comptes 2021 natures'!R46/'4.1 Comptes 2021 natures'!R2</f>
        <v>0</v>
      </c>
      <c r="S46" s="4">
        <f>'4.1 Comptes 2021 natures'!S46/'4.1 Comptes 2021 natures'!S2</f>
        <v>0</v>
      </c>
      <c r="T46" s="4">
        <f>'4.1 Comptes 2021 natures'!T46/'4.1 Comptes 2021 natures'!T2</f>
        <v>41.825281690140848</v>
      </c>
      <c r="U46" s="4">
        <f>'4.1 Comptes 2021 natures'!U46/'4.1 Comptes 2021 natures'!U2</f>
        <v>0</v>
      </c>
      <c r="V46" s="4">
        <f>'4.1 Comptes 2021 natures'!V46/'4.1 Comptes 2021 natures'!V2</f>
        <v>119.23409090909091</v>
      </c>
      <c r="W46" s="4">
        <f>'4.1 Comptes 2021 natures'!W46/'4.1 Comptes 2021 natures'!W2</f>
        <v>0</v>
      </c>
      <c r="X46" s="4">
        <f>'4.1 Comptes 2021 natures'!X46/'4.1 Comptes 2021 natures'!X2</f>
        <v>0</v>
      </c>
      <c r="Y46" s="4">
        <f>'4.1 Comptes 2021 natures'!Y46/'4.1 Comptes 2021 natures'!Y2</f>
        <v>0</v>
      </c>
      <c r="Z46" s="4">
        <f>'4.1 Comptes 2021 natures'!Z46/'4.1 Comptes 2021 natures'!Z2</f>
        <v>1224.5796812749004</v>
      </c>
      <c r="AA46" s="4">
        <f>'4.1 Comptes 2021 natures'!AA46/'4.1 Comptes 2021 natures'!AA2</f>
        <v>0</v>
      </c>
      <c r="AB46" s="4">
        <f>'4.1 Comptes 2021 natures'!AB46/'4.1 Comptes 2021 natures'!AB2</f>
        <v>0</v>
      </c>
      <c r="AC46" s="4">
        <f>'4.1 Comptes 2021 natures'!AC46/'4.1 Comptes 2021 natures'!AC2</f>
        <v>23.8996138996139</v>
      </c>
      <c r="AD46" s="4">
        <f>'4.1 Comptes 2021 natures'!AD46/'4.1 Comptes 2021 natures'!AD2</f>
        <v>0</v>
      </c>
      <c r="AE46" s="4">
        <f>'4.1 Comptes 2021 natures'!AE46/'4.1 Comptes 2021 natures'!AE2</f>
        <v>0</v>
      </c>
      <c r="AF46" s="4">
        <f>'4.1 Comptes 2021 natures'!AF46/'4.1 Comptes 2021 natures'!AF2</f>
        <v>2.5352380952380953</v>
      </c>
      <c r="AG46" s="4">
        <f>'4.1 Comptes 2021 natures'!AG46/'4.1 Comptes 2021 natures'!AG2</f>
        <v>151.47040335254059</v>
      </c>
      <c r="AH46" s="4">
        <f>'4.1 Comptes 2021 natures'!AH46/'4.1 Comptes 2021 natures'!AH2</f>
        <v>0</v>
      </c>
      <c r="AI46" s="4">
        <f>'4.1 Comptes 2021 natures'!AI46/'4.1 Comptes 2021 natures'!AI2</f>
        <v>0</v>
      </c>
      <c r="AJ46" s="4">
        <f>'4.1 Comptes 2021 natures'!AJ46/'4.1 Comptes 2021 natures'!AJ2</f>
        <v>0</v>
      </c>
      <c r="AK46" s="4">
        <f>'4.1 Comptes 2021 natures'!AK46/'4.1 Comptes 2021 natures'!AK2</f>
        <v>0</v>
      </c>
      <c r="AL46" s="4">
        <f>'4.1 Comptes 2021 natures'!AL46/'4.1 Comptes 2021 natures'!AL2</f>
        <v>93.37388987566608</v>
      </c>
      <c r="AM46" s="4">
        <f>'4.1 Comptes 2021 natures'!AM46/'4.1 Comptes 2021 natures'!AM2</f>
        <v>0</v>
      </c>
      <c r="AN46" s="4">
        <f>'4.1 Comptes 2021 natures'!AN46/'4.1 Comptes 2021 natures'!AN2</f>
        <v>0</v>
      </c>
      <c r="AO46" s="4">
        <f>'4.1 Comptes 2021 natures'!AO46/'4.1 Comptes 2021 natures'!AO2</f>
        <v>1258.8810126582277</v>
      </c>
      <c r="AP46" s="4">
        <f>'4.1 Comptes 2021 natures'!AP46/'4.1 Comptes 2021 natures'!AP2</f>
        <v>13.381619937694705</v>
      </c>
      <c r="AQ46" s="4">
        <f>'4.1 Comptes 2021 natures'!AQ46/'4.1 Comptes 2021 natures'!AQ2</f>
        <v>27.767772511848342</v>
      </c>
      <c r="AR46" s="4">
        <f>'4.1 Comptes 2021 natures'!AR46/'4.1 Comptes 2021 natures'!AR2</f>
        <v>0</v>
      </c>
      <c r="AS46" s="4">
        <f>'4.1 Comptes 2021 natures'!AS46/'4.1 Comptes 2021 natures'!AS2</f>
        <v>26.755129958960328</v>
      </c>
      <c r="AT46" s="4">
        <f>'4.1 Comptes 2021 natures'!AT46/'4.1 Comptes 2021 natures'!AT2</f>
        <v>0</v>
      </c>
      <c r="AU46" s="4">
        <f>'4.1 Comptes 2021 natures'!AU46/'4.1 Comptes 2021 natures'!AU2</f>
        <v>295.40789473684208</v>
      </c>
      <c r="AV46" s="4">
        <f>'4.1 Comptes 2021 natures'!AV46/'4.1 Comptes 2021 natures'!AV2</f>
        <v>26.664593698175789</v>
      </c>
      <c r="AW46" s="4">
        <f>'4.1 Comptes 2021 natures'!AW46/'4.1 Comptes 2021 natures'!AW2</f>
        <v>0</v>
      </c>
      <c r="AX46" s="4">
        <f>'4.1 Comptes 2021 natures'!AX46/'4.1 Comptes 2021 natures'!AX2</f>
        <v>0</v>
      </c>
      <c r="AY46" s="4">
        <f>'4.1 Comptes 2021 natures'!AY46/'4.1 Comptes 2021 natures'!AY2</f>
        <v>0</v>
      </c>
      <c r="AZ46" s="4">
        <f>'4.1 Comptes 2021 natures'!AZ46/'4.1 Comptes 2021 natures'!AZ2</f>
        <v>27.077784325279907</v>
      </c>
      <c r="BA46" s="4">
        <f>'4.1 Comptes 2021 natures'!BA46/'4.1 Comptes 2021 natures'!BA2</f>
        <v>13.11025641025641</v>
      </c>
      <c r="BB46" s="4">
        <f>'4.1 Comptes 2021 natures'!BB46/'4.1 Comptes 2021 natures'!BB2</f>
        <v>36.554520037278657</v>
      </c>
      <c r="BC46" s="4">
        <f>'4.1 Comptes 2021 natures'!BC46/'4.1 Comptes 2021 natures'!BC2</f>
        <v>0</v>
      </c>
      <c r="BD46" s="4">
        <f>'4.1 Comptes 2021 natures'!BD46/'4.1 Comptes 2021 natures'!BD2</f>
        <v>72.35354160222704</v>
      </c>
      <c r="BE46" s="4">
        <f>'4.1 Comptes 2021 natures'!BE46/'4.1 Comptes 2021 natures'!BE2</f>
        <v>0</v>
      </c>
      <c r="BF46" s="4">
        <f t="shared" si="27"/>
        <v>4249.6990873780533</v>
      </c>
      <c r="BG46" s="4">
        <f t="shared" si="28"/>
        <v>955.88613500330314</v>
      </c>
      <c r="BH46" s="4">
        <f t="shared" si="29"/>
        <v>1402.4849366222932</v>
      </c>
      <c r="BI46" s="4">
        <f t="shared" si="30"/>
        <v>1891.3280157524573</v>
      </c>
    </row>
    <row r="47" spans="2:61" x14ac:dyDescent="0.25">
      <c r="C47">
        <v>363</v>
      </c>
      <c r="D47" t="s">
        <v>114</v>
      </c>
      <c r="E47" s="4">
        <f>'4.1 Comptes 2021 natures'!E47/'4.1 Comptes 2021 natures'!E2</f>
        <v>561.3043294614572</v>
      </c>
      <c r="F47" s="4">
        <f>'4.1 Comptes 2021 natures'!F47/'4.1 Comptes 2021 natures'!F2</f>
        <v>721.79056603773586</v>
      </c>
      <c r="G47" s="4">
        <f>'4.1 Comptes 2021 natures'!G47/'4.1 Comptes 2021 natures'!G2</f>
        <v>417.35010660980811</v>
      </c>
      <c r="H47" s="4">
        <f>'4.1 Comptes 2021 natures'!H47/'4.1 Comptes 2021 natures'!H2</f>
        <v>531.93159453302962</v>
      </c>
      <c r="I47" s="4">
        <f>'4.1 Comptes 2021 natures'!I47/'4.1 Comptes 2021 natures'!I2</f>
        <v>664.30748658798279</v>
      </c>
      <c r="J47" s="4">
        <f>'4.1 Comptes 2021 natures'!J47/'4.1 Comptes 2021 natures'!J2</f>
        <v>620.87632286995517</v>
      </c>
      <c r="K47" s="4">
        <f>'4.1 Comptes 2021 natures'!K47/'4.1 Comptes 2021 natures'!K2</f>
        <v>552.31319758672703</v>
      </c>
      <c r="L47" s="4">
        <f>'4.1 Comptes 2021 natures'!L47/'4.1 Comptes 2021 natures'!L2</f>
        <v>1481.2018791569838</v>
      </c>
      <c r="M47" s="4">
        <f>'4.1 Comptes 2021 natures'!M47/'4.1 Comptes 2021 natures'!M2</f>
        <v>598.54598969830761</v>
      </c>
      <c r="N47" s="4">
        <f>'4.1 Comptes 2021 natures'!N47/'4.1 Comptes 2021 natures'!N2</f>
        <v>1202.2136752136753</v>
      </c>
      <c r="O47" s="4">
        <f>'4.1 Comptes 2021 natures'!O47/'4.1 Comptes 2021 natures'!O2</f>
        <v>627.34701831703626</v>
      </c>
      <c r="P47" s="4">
        <f>'4.1 Comptes 2021 natures'!P47/'4.1 Comptes 2021 natures'!P2</f>
        <v>448.70529739776953</v>
      </c>
      <c r="Q47" s="4">
        <f>'4.1 Comptes 2021 natures'!Q47/'4.1 Comptes 2021 natures'!Q2</f>
        <v>388.79864864864868</v>
      </c>
      <c r="R47" s="4">
        <f>'4.1 Comptes 2021 natures'!R47/'4.1 Comptes 2021 natures'!R2</f>
        <v>449.39964370546318</v>
      </c>
      <c r="S47" s="4">
        <f>'4.1 Comptes 2021 natures'!S47/'4.1 Comptes 2021 natures'!S2</f>
        <v>486.39725433526013</v>
      </c>
      <c r="T47" s="4">
        <f>'4.1 Comptes 2021 natures'!T47/'4.1 Comptes 2021 natures'!T2</f>
        <v>365.25281690140844</v>
      </c>
      <c r="U47" s="4">
        <f>'4.1 Comptes 2021 natures'!U47/'4.1 Comptes 2021 natures'!U2</f>
        <v>528.58531598513014</v>
      </c>
      <c r="V47" s="4">
        <f>'4.1 Comptes 2021 natures'!V47/'4.1 Comptes 2021 natures'!V2</f>
        <v>950.98068181818178</v>
      </c>
      <c r="W47" s="4">
        <f>'4.1 Comptes 2021 natures'!W47/'4.1 Comptes 2021 natures'!W2</f>
        <v>532.70871786930934</v>
      </c>
      <c r="X47" s="4">
        <f>'4.1 Comptes 2021 natures'!X47/'4.1 Comptes 2021 natures'!X2</f>
        <v>607.93048387096781</v>
      </c>
      <c r="Y47" s="4">
        <f>'4.1 Comptes 2021 natures'!Y47/'4.1 Comptes 2021 natures'!Y2</f>
        <v>585.70441732283462</v>
      </c>
      <c r="Z47" s="4">
        <f>'4.1 Comptes 2021 natures'!Z47/'4.1 Comptes 2021 natures'!Z2</f>
        <v>605.90670650730408</v>
      </c>
      <c r="AA47" s="4">
        <f>'4.1 Comptes 2021 natures'!AA47/'4.1 Comptes 2021 natures'!AA2</f>
        <v>435.90937500000001</v>
      </c>
      <c r="AB47" s="4">
        <f>'4.1 Comptes 2021 natures'!AB47/'4.1 Comptes 2021 natures'!AB2</f>
        <v>565.79290540540546</v>
      </c>
      <c r="AC47" s="4">
        <f>'4.1 Comptes 2021 natures'!AC47/'4.1 Comptes 2021 natures'!AC2</f>
        <v>647.93590733590736</v>
      </c>
      <c r="AD47" s="4">
        <f>'4.1 Comptes 2021 natures'!AD47/'4.1 Comptes 2021 natures'!AD2</f>
        <v>578.26379457917255</v>
      </c>
      <c r="AE47" s="4">
        <f>'4.1 Comptes 2021 natures'!AE47/'4.1 Comptes 2021 natures'!AE2</f>
        <v>692.4684397163121</v>
      </c>
      <c r="AF47" s="4">
        <f>'4.1 Comptes 2021 natures'!AF47/'4.1 Comptes 2021 natures'!AF2</f>
        <v>543.87133333333338</v>
      </c>
      <c r="AG47" s="4">
        <f>'4.1 Comptes 2021 natures'!AG47/'4.1 Comptes 2021 natures'!AG2</f>
        <v>709.56420115243588</v>
      </c>
      <c r="AH47" s="4">
        <f>'4.1 Comptes 2021 natures'!AH47/'4.1 Comptes 2021 natures'!AH2</f>
        <v>1006.04246124031</v>
      </c>
      <c r="AI47" s="4">
        <f>'4.1 Comptes 2021 natures'!AI47/'4.1 Comptes 2021 natures'!AI2</f>
        <v>462.62522522522522</v>
      </c>
      <c r="AJ47" s="4">
        <f>'4.1 Comptes 2021 natures'!AJ47/'4.1 Comptes 2021 natures'!AJ2</f>
        <v>898.81124031007744</v>
      </c>
      <c r="AK47" s="4">
        <f>'4.1 Comptes 2021 natures'!AK47/'4.1 Comptes 2021 natures'!AK2</f>
        <v>534.8108143839238</v>
      </c>
      <c r="AL47" s="4">
        <f>'4.1 Comptes 2021 natures'!AL47/'4.1 Comptes 2021 natures'!AL2</f>
        <v>593.04547069271757</v>
      </c>
      <c r="AM47" s="4">
        <f>'4.1 Comptes 2021 natures'!AM47/'4.1 Comptes 2021 natures'!AM2</f>
        <v>626.18318367346944</v>
      </c>
      <c r="AN47" s="4">
        <f>'4.1 Comptes 2021 natures'!AN47/'4.1 Comptes 2021 natures'!AN2</f>
        <v>1190.5416239316239</v>
      </c>
      <c r="AO47" s="4">
        <f>'4.1 Comptes 2021 natures'!AO47/'4.1 Comptes 2021 natures'!AO2</f>
        <v>1087.8681012658228</v>
      </c>
      <c r="AP47" s="4">
        <f>'4.1 Comptes 2021 natures'!AP47/'4.1 Comptes 2021 natures'!AP2</f>
        <v>913.4214018691589</v>
      </c>
      <c r="AQ47" s="4">
        <f>'4.1 Comptes 2021 natures'!AQ47/'4.1 Comptes 2021 natures'!AQ2</f>
        <v>483.62078988941551</v>
      </c>
      <c r="AR47" s="4">
        <f>'4.1 Comptes 2021 natures'!AR47/'4.1 Comptes 2021 natures'!AR2</f>
        <v>647.72538940809966</v>
      </c>
      <c r="AS47" s="4">
        <f>'4.1 Comptes 2021 natures'!AS47/'4.1 Comptes 2021 natures'!AS2</f>
        <v>550.0126538987688</v>
      </c>
      <c r="AT47" s="4">
        <f>'4.1 Comptes 2021 natures'!AT47/'4.1 Comptes 2021 natures'!AT2</f>
        <v>758.4168011811023</v>
      </c>
      <c r="AU47" s="4">
        <f>'4.1 Comptes 2021 natures'!AU47/'4.1 Comptes 2021 natures'!AU2</f>
        <v>691.81628289473679</v>
      </c>
      <c r="AV47" s="4">
        <f>'4.1 Comptes 2021 natures'!AV47/'4.1 Comptes 2021 natures'!AV2</f>
        <v>503.66305970149256</v>
      </c>
      <c r="AW47" s="4">
        <f>'4.1 Comptes 2021 natures'!AW47/'4.1 Comptes 2021 natures'!AW2</f>
        <v>506.96006802721092</v>
      </c>
      <c r="AX47" s="4">
        <f>'4.1 Comptes 2021 natures'!AX47/'4.1 Comptes 2021 natures'!AX2</f>
        <v>853.66270270270275</v>
      </c>
      <c r="AY47" s="4">
        <f>'4.1 Comptes 2021 natures'!AY47/'4.1 Comptes 2021 natures'!AY2</f>
        <v>540.75205882352941</v>
      </c>
      <c r="AZ47" s="4">
        <f>'4.1 Comptes 2021 natures'!AZ47/'4.1 Comptes 2021 natures'!AZ2</f>
        <v>547.01608721272839</v>
      </c>
      <c r="BA47" s="4">
        <f>'4.1 Comptes 2021 natures'!BA47/'4.1 Comptes 2021 natures'!BA2</f>
        <v>503.02679487179489</v>
      </c>
      <c r="BB47" s="4">
        <f>'4.1 Comptes 2021 natures'!BB47/'4.1 Comptes 2021 natures'!BB2</f>
        <v>562.29287045666354</v>
      </c>
      <c r="BC47" s="4">
        <f>'4.1 Comptes 2021 natures'!BC47/'4.1 Comptes 2021 natures'!BC2</f>
        <v>592.27038043478262</v>
      </c>
      <c r="BD47" s="4">
        <f>'4.1 Comptes 2021 natures'!BD47/'4.1 Comptes 2021 natures'!BD2</f>
        <v>1460.1195035570679</v>
      </c>
      <c r="BE47" s="4">
        <f>'4.1 Comptes 2021 natures'!BE47/'4.1 Comptes 2021 natures'!BE2</f>
        <v>693.01681574239717</v>
      </c>
      <c r="BF47" s="4">
        <f t="shared" si="27"/>
        <v>35311.079888352375</v>
      </c>
      <c r="BG47" s="4">
        <f t="shared" si="28"/>
        <v>12130.010542733868</v>
      </c>
      <c r="BH47" s="4">
        <f t="shared" si="29"/>
        <v>8340.8264909992868</v>
      </c>
      <c r="BI47" s="4">
        <f t="shared" si="30"/>
        <v>14840.24285461921</v>
      </c>
    </row>
    <row r="48" spans="2:61" x14ac:dyDescent="0.25">
      <c r="C48">
        <v>364</v>
      </c>
      <c r="D48" t="s">
        <v>115</v>
      </c>
      <c r="E48" s="4">
        <f>'4.1 Comptes 2021 natures'!E48/'4.1 Comptes 2021 natures'!E2</f>
        <v>0</v>
      </c>
      <c r="F48" s="4">
        <f>'4.1 Comptes 2021 natures'!F48/'4.1 Comptes 2021 natures'!F2</f>
        <v>0</v>
      </c>
      <c r="G48" s="4">
        <f>'4.1 Comptes 2021 natures'!G48/'4.1 Comptes 2021 natures'!G2</f>
        <v>0</v>
      </c>
      <c r="H48" s="4">
        <f>'4.1 Comptes 2021 natures'!H48/'4.1 Comptes 2021 natures'!H2</f>
        <v>0</v>
      </c>
      <c r="I48" s="4">
        <f>'4.1 Comptes 2021 natures'!I48/'4.1 Comptes 2021 natures'!I2</f>
        <v>0</v>
      </c>
      <c r="J48" s="4">
        <f>'4.1 Comptes 2021 natures'!J48/'4.1 Comptes 2021 natures'!J2</f>
        <v>0</v>
      </c>
      <c r="K48" s="4">
        <f>'4.1 Comptes 2021 natures'!K48/'4.1 Comptes 2021 natures'!K2</f>
        <v>0</v>
      </c>
      <c r="L48" s="4">
        <f>'4.1 Comptes 2021 natures'!L48/'4.1 Comptes 2021 natures'!L2</f>
        <v>0</v>
      </c>
      <c r="M48" s="4">
        <f>'4.1 Comptes 2021 natures'!M48/'4.1 Comptes 2021 natures'!M2</f>
        <v>0</v>
      </c>
      <c r="N48" s="4">
        <f>'4.1 Comptes 2021 natures'!N48/'4.1 Comptes 2021 natures'!N2</f>
        <v>0</v>
      </c>
      <c r="O48" s="4">
        <f>'4.1 Comptes 2021 natures'!O48/'4.1 Comptes 2021 natures'!O2</f>
        <v>0</v>
      </c>
      <c r="P48" s="4">
        <f>'4.1 Comptes 2021 natures'!P48/'4.1 Comptes 2021 natures'!P2</f>
        <v>0</v>
      </c>
      <c r="Q48" s="4">
        <f>'4.1 Comptes 2021 natures'!Q48/'4.1 Comptes 2021 natures'!Q2</f>
        <v>0</v>
      </c>
      <c r="R48" s="4">
        <f>'4.1 Comptes 2021 natures'!R48/'4.1 Comptes 2021 natures'!R2</f>
        <v>0</v>
      </c>
      <c r="S48" s="4">
        <f>'4.1 Comptes 2021 natures'!S48/'4.1 Comptes 2021 natures'!S2</f>
        <v>0</v>
      </c>
      <c r="T48" s="4">
        <f>'4.1 Comptes 2021 natures'!T48/'4.1 Comptes 2021 natures'!T2</f>
        <v>0</v>
      </c>
      <c r="U48" s="4">
        <f>'4.1 Comptes 2021 natures'!U48/'4.1 Comptes 2021 natures'!U2</f>
        <v>0</v>
      </c>
      <c r="V48" s="4">
        <f>'4.1 Comptes 2021 natures'!V48/'4.1 Comptes 2021 natures'!V2</f>
        <v>0</v>
      </c>
      <c r="W48" s="4">
        <f>'4.1 Comptes 2021 natures'!W48/'4.1 Comptes 2021 natures'!W2</f>
        <v>0</v>
      </c>
      <c r="X48" s="4">
        <f>'4.1 Comptes 2021 natures'!X48/'4.1 Comptes 2021 natures'!X2</f>
        <v>0</v>
      </c>
      <c r="Y48" s="4">
        <f>'4.1 Comptes 2021 natures'!Y48/'4.1 Comptes 2021 natures'!Y2</f>
        <v>0</v>
      </c>
      <c r="Z48" s="4">
        <f>'4.1 Comptes 2021 natures'!Z48/'4.1 Comptes 2021 natures'!Z2</f>
        <v>0</v>
      </c>
      <c r="AA48" s="4">
        <f>'4.1 Comptes 2021 natures'!AA48/'4.1 Comptes 2021 natures'!AA2</f>
        <v>0</v>
      </c>
      <c r="AB48" s="4">
        <f>'4.1 Comptes 2021 natures'!AB48/'4.1 Comptes 2021 natures'!AB2</f>
        <v>0</v>
      </c>
      <c r="AC48" s="4">
        <f>'4.1 Comptes 2021 natures'!AC48/'4.1 Comptes 2021 natures'!AC2</f>
        <v>0</v>
      </c>
      <c r="AD48" s="4">
        <f>'4.1 Comptes 2021 natures'!AD48/'4.1 Comptes 2021 natures'!AD2</f>
        <v>0</v>
      </c>
      <c r="AE48" s="4">
        <f>'4.1 Comptes 2021 natures'!AE48/'4.1 Comptes 2021 natures'!AE2</f>
        <v>0</v>
      </c>
      <c r="AF48" s="4">
        <f>'4.1 Comptes 2021 natures'!AF48/'4.1 Comptes 2021 natures'!AF2</f>
        <v>0</v>
      </c>
      <c r="AG48" s="4">
        <f>'4.1 Comptes 2021 natures'!AG48/'4.1 Comptes 2021 natures'!AG2</f>
        <v>0</v>
      </c>
      <c r="AH48" s="4">
        <f>'4.1 Comptes 2021 natures'!AH48/'4.1 Comptes 2021 natures'!AH2</f>
        <v>0</v>
      </c>
      <c r="AI48" s="4">
        <f>'4.1 Comptes 2021 natures'!AI48/'4.1 Comptes 2021 natures'!AI2</f>
        <v>0</v>
      </c>
      <c r="AJ48" s="4">
        <f>'4.1 Comptes 2021 natures'!AJ48/'4.1 Comptes 2021 natures'!AJ2</f>
        <v>0</v>
      </c>
      <c r="AK48" s="4">
        <f>'4.1 Comptes 2021 natures'!AK48/'4.1 Comptes 2021 natures'!AK2</f>
        <v>0</v>
      </c>
      <c r="AL48" s="4">
        <f>'4.1 Comptes 2021 natures'!AL48/'4.1 Comptes 2021 natures'!AL2</f>
        <v>0</v>
      </c>
      <c r="AM48" s="4">
        <f>'4.1 Comptes 2021 natures'!AM48/'4.1 Comptes 2021 natures'!AM2</f>
        <v>0</v>
      </c>
      <c r="AN48" s="4">
        <f>'4.1 Comptes 2021 natures'!AN48/'4.1 Comptes 2021 natures'!AN2</f>
        <v>0</v>
      </c>
      <c r="AO48" s="4">
        <f>'4.1 Comptes 2021 natures'!AO48/'4.1 Comptes 2021 natures'!AO2</f>
        <v>0</v>
      </c>
      <c r="AP48" s="4">
        <f>'4.1 Comptes 2021 natures'!AP48/'4.1 Comptes 2021 natures'!AP2</f>
        <v>0</v>
      </c>
      <c r="AQ48" s="4">
        <f>'4.1 Comptes 2021 natures'!AQ48/'4.1 Comptes 2021 natures'!AQ2</f>
        <v>0</v>
      </c>
      <c r="AR48" s="4">
        <f>'4.1 Comptes 2021 natures'!AR48/'4.1 Comptes 2021 natures'!AR2</f>
        <v>0</v>
      </c>
      <c r="AS48" s="4">
        <f>'4.1 Comptes 2021 natures'!AS48/'4.1 Comptes 2021 natures'!AS2</f>
        <v>0</v>
      </c>
      <c r="AT48" s="4">
        <f>'4.1 Comptes 2021 natures'!AT48/'4.1 Comptes 2021 natures'!AT2</f>
        <v>0</v>
      </c>
      <c r="AU48" s="4">
        <f>'4.1 Comptes 2021 natures'!AU48/'4.1 Comptes 2021 natures'!AU2</f>
        <v>0</v>
      </c>
      <c r="AV48" s="4">
        <f>'4.1 Comptes 2021 natures'!AV48/'4.1 Comptes 2021 natures'!AV2</f>
        <v>0</v>
      </c>
      <c r="AW48" s="4">
        <f>'4.1 Comptes 2021 natures'!AW48/'4.1 Comptes 2021 natures'!AW2</f>
        <v>0</v>
      </c>
      <c r="AX48" s="4">
        <f>'4.1 Comptes 2021 natures'!AX48/'4.1 Comptes 2021 natures'!AX2</f>
        <v>0</v>
      </c>
      <c r="AY48" s="4">
        <f>'4.1 Comptes 2021 natures'!AY48/'4.1 Comptes 2021 natures'!AY2</f>
        <v>0</v>
      </c>
      <c r="AZ48" s="4">
        <f>'4.1 Comptes 2021 natures'!AZ48/'4.1 Comptes 2021 natures'!AZ2</f>
        <v>0</v>
      </c>
      <c r="BA48" s="4">
        <f>'4.1 Comptes 2021 natures'!BA48/'4.1 Comptes 2021 natures'!BA2</f>
        <v>0</v>
      </c>
      <c r="BB48" s="4">
        <f>'4.1 Comptes 2021 natures'!BB48/'4.1 Comptes 2021 natures'!BB2</f>
        <v>0</v>
      </c>
      <c r="BC48" s="4">
        <f>'4.1 Comptes 2021 natures'!BC48/'4.1 Comptes 2021 natures'!BC2</f>
        <v>0</v>
      </c>
      <c r="BD48" s="4">
        <f>'4.1 Comptes 2021 natures'!BD48/'4.1 Comptes 2021 natures'!BD2</f>
        <v>0</v>
      </c>
      <c r="BE48" s="4">
        <f>'4.1 Comptes 2021 natures'!BE48/'4.1 Comptes 2021 natures'!BE2</f>
        <v>0</v>
      </c>
      <c r="BF48" s="4">
        <f t="shared" si="27"/>
        <v>0</v>
      </c>
      <c r="BG48" s="4">
        <f t="shared" si="28"/>
        <v>0</v>
      </c>
      <c r="BH48" s="4">
        <f t="shared" si="29"/>
        <v>0</v>
      </c>
      <c r="BI48" s="4">
        <f t="shared" si="30"/>
        <v>0</v>
      </c>
    </row>
    <row r="49" spans="2:61" x14ac:dyDescent="0.25">
      <c r="C49">
        <v>365</v>
      </c>
      <c r="D49" t="s">
        <v>116</v>
      </c>
      <c r="E49" s="4">
        <f>'4.1 Comptes 2021 natures'!E49/'4.1 Comptes 2021 natures'!E2</f>
        <v>0</v>
      </c>
      <c r="F49" s="4">
        <f>'4.1 Comptes 2021 natures'!F49/'4.1 Comptes 2021 natures'!F2</f>
        <v>0</v>
      </c>
      <c r="G49" s="4">
        <f>'4.1 Comptes 2021 natures'!G49/'4.1 Comptes 2021 natures'!G2</f>
        <v>0</v>
      </c>
      <c r="H49" s="4">
        <f>'4.1 Comptes 2021 natures'!H49/'4.1 Comptes 2021 natures'!H2</f>
        <v>0</v>
      </c>
      <c r="I49" s="4">
        <f>'4.1 Comptes 2021 natures'!I49/'4.1 Comptes 2021 natures'!I2</f>
        <v>0</v>
      </c>
      <c r="J49" s="4">
        <f>'4.1 Comptes 2021 natures'!J49/'4.1 Comptes 2021 natures'!J2</f>
        <v>0</v>
      </c>
      <c r="K49" s="4">
        <f>'4.1 Comptes 2021 natures'!K49/'4.1 Comptes 2021 natures'!K2</f>
        <v>0</v>
      </c>
      <c r="L49" s="4">
        <f>'4.1 Comptes 2021 natures'!L49/'4.1 Comptes 2021 natures'!L2</f>
        <v>0</v>
      </c>
      <c r="M49" s="4">
        <f>'4.1 Comptes 2021 natures'!M49/'4.1 Comptes 2021 natures'!M2</f>
        <v>0</v>
      </c>
      <c r="N49" s="4">
        <f>'4.1 Comptes 2021 natures'!N49/'4.1 Comptes 2021 natures'!N2</f>
        <v>0</v>
      </c>
      <c r="O49" s="4">
        <f>'4.1 Comptes 2021 natures'!O49/'4.1 Comptes 2021 natures'!O2</f>
        <v>0</v>
      </c>
      <c r="P49" s="4">
        <f>'4.1 Comptes 2021 natures'!P49/'4.1 Comptes 2021 natures'!P2</f>
        <v>0</v>
      </c>
      <c r="Q49" s="4">
        <f>'4.1 Comptes 2021 natures'!Q49/'4.1 Comptes 2021 natures'!Q2</f>
        <v>0</v>
      </c>
      <c r="R49" s="4">
        <f>'4.1 Comptes 2021 natures'!R49/'4.1 Comptes 2021 natures'!R2</f>
        <v>0</v>
      </c>
      <c r="S49" s="4">
        <f>'4.1 Comptes 2021 natures'!S49/'4.1 Comptes 2021 natures'!S2</f>
        <v>0</v>
      </c>
      <c r="T49" s="4">
        <f>'4.1 Comptes 2021 natures'!T49/'4.1 Comptes 2021 natures'!T2</f>
        <v>0</v>
      </c>
      <c r="U49" s="4">
        <f>'4.1 Comptes 2021 natures'!U49/'4.1 Comptes 2021 natures'!U2</f>
        <v>27.509293680297397</v>
      </c>
      <c r="V49" s="4">
        <f>'4.1 Comptes 2021 natures'!V49/'4.1 Comptes 2021 natures'!V2</f>
        <v>0</v>
      </c>
      <c r="W49" s="4">
        <f>'4.1 Comptes 2021 natures'!W49/'4.1 Comptes 2021 natures'!W2</f>
        <v>0</v>
      </c>
      <c r="X49" s="4">
        <f>'4.1 Comptes 2021 natures'!X49/'4.1 Comptes 2021 natures'!X2</f>
        <v>0</v>
      </c>
      <c r="Y49" s="4">
        <f>'4.1 Comptes 2021 natures'!Y49/'4.1 Comptes 2021 natures'!Y2</f>
        <v>0</v>
      </c>
      <c r="Z49" s="4">
        <f>'4.1 Comptes 2021 natures'!Z49/'4.1 Comptes 2021 natures'!Z2</f>
        <v>0</v>
      </c>
      <c r="AA49" s="4">
        <f>'4.1 Comptes 2021 natures'!AA49/'4.1 Comptes 2021 natures'!AA2</f>
        <v>0</v>
      </c>
      <c r="AB49" s="4">
        <f>'4.1 Comptes 2021 natures'!AB49/'4.1 Comptes 2021 natures'!AB2</f>
        <v>0</v>
      </c>
      <c r="AC49" s="4">
        <f>'4.1 Comptes 2021 natures'!AC49/'4.1 Comptes 2021 natures'!AC2</f>
        <v>0</v>
      </c>
      <c r="AD49" s="4">
        <f>'4.1 Comptes 2021 natures'!AD49/'4.1 Comptes 2021 natures'!AD2</f>
        <v>0</v>
      </c>
      <c r="AE49" s="4">
        <f>'4.1 Comptes 2021 natures'!AE49/'4.1 Comptes 2021 natures'!AE2</f>
        <v>0</v>
      </c>
      <c r="AF49" s="4">
        <f>'4.1 Comptes 2021 natures'!AF49/'4.1 Comptes 2021 natures'!AF2</f>
        <v>0</v>
      </c>
      <c r="AG49" s="4">
        <f>'4.1 Comptes 2021 natures'!AG49/'4.1 Comptes 2021 natures'!AG2</f>
        <v>0</v>
      </c>
      <c r="AH49" s="4">
        <f>'4.1 Comptes 2021 natures'!AH49/'4.1 Comptes 2021 natures'!AH2</f>
        <v>0</v>
      </c>
      <c r="AI49" s="4">
        <f>'4.1 Comptes 2021 natures'!AI49/'4.1 Comptes 2021 natures'!AI2</f>
        <v>0</v>
      </c>
      <c r="AJ49" s="4">
        <f>'4.1 Comptes 2021 natures'!AJ49/'4.1 Comptes 2021 natures'!AJ2</f>
        <v>0</v>
      </c>
      <c r="AK49" s="4">
        <f>'4.1 Comptes 2021 natures'!AK49/'4.1 Comptes 2021 natures'!AK2</f>
        <v>0</v>
      </c>
      <c r="AL49" s="4">
        <f>'4.1 Comptes 2021 natures'!AL49/'4.1 Comptes 2021 natures'!AL2</f>
        <v>0</v>
      </c>
      <c r="AM49" s="4">
        <f>'4.1 Comptes 2021 natures'!AM49/'4.1 Comptes 2021 natures'!AM2</f>
        <v>0</v>
      </c>
      <c r="AN49" s="4">
        <f>'4.1 Comptes 2021 natures'!AN49/'4.1 Comptes 2021 natures'!AN2</f>
        <v>0</v>
      </c>
      <c r="AO49" s="4">
        <f>'4.1 Comptes 2021 natures'!AO49/'4.1 Comptes 2021 natures'!AO2</f>
        <v>0</v>
      </c>
      <c r="AP49" s="4">
        <f>'4.1 Comptes 2021 natures'!AP49/'4.1 Comptes 2021 natures'!AP2</f>
        <v>0</v>
      </c>
      <c r="AQ49" s="4">
        <f>'4.1 Comptes 2021 natures'!AQ49/'4.1 Comptes 2021 natures'!AQ2</f>
        <v>0</v>
      </c>
      <c r="AR49" s="4">
        <f>'4.1 Comptes 2021 natures'!AR49/'4.1 Comptes 2021 natures'!AR2</f>
        <v>0</v>
      </c>
      <c r="AS49" s="4">
        <f>'4.1 Comptes 2021 natures'!AS49/'4.1 Comptes 2021 natures'!AS2</f>
        <v>0</v>
      </c>
      <c r="AT49" s="4">
        <f>'4.1 Comptes 2021 natures'!AT49/'4.1 Comptes 2021 natures'!AT2</f>
        <v>0</v>
      </c>
      <c r="AU49" s="4">
        <f>'4.1 Comptes 2021 natures'!AU49/'4.1 Comptes 2021 natures'!AU2</f>
        <v>0</v>
      </c>
      <c r="AV49" s="4">
        <f>'4.1 Comptes 2021 natures'!AV49/'4.1 Comptes 2021 natures'!AV2</f>
        <v>0</v>
      </c>
      <c r="AW49" s="4">
        <f>'4.1 Comptes 2021 natures'!AW49/'4.1 Comptes 2021 natures'!AW2</f>
        <v>0</v>
      </c>
      <c r="AX49" s="4">
        <f>'4.1 Comptes 2021 natures'!AX49/'4.1 Comptes 2021 natures'!AX2</f>
        <v>0</v>
      </c>
      <c r="AY49" s="4">
        <f>'4.1 Comptes 2021 natures'!AY49/'4.1 Comptes 2021 natures'!AY2</f>
        <v>0</v>
      </c>
      <c r="AZ49" s="4">
        <f>'4.1 Comptes 2021 natures'!AZ49/'4.1 Comptes 2021 natures'!AZ2</f>
        <v>7.9080730701237476</v>
      </c>
      <c r="BA49" s="4">
        <f>'4.1 Comptes 2021 natures'!BA49/'4.1 Comptes 2021 natures'!BA2</f>
        <v>0</v>
      </c>
      <c r="BB49" s="4">
        <f>'4.1 Comptes 2021 natures'!BB49/'4.1 Comptes 2021 natures'!BB2</f>
        <v>0</v>
      </c>
      <c r="BC49" s="4">
        <f>'4.1 Comptes 2021 natures'!BC49/'4.1 Comptes 2021 natures'!BC2</f>
        <v>0</v>
      </c>
      <c r="BD49" s="4">
        <f>'4.1 Comptes 2021 natures'!BD49/'4.1 Comptes 2021 natures'!BD2</f>
        <v>0</v>
      </c>
      <c r="BE49" s="4">
        <f>'4.1 Comptes 2021 natures'!BE49/'4.1 Comptes 2021 natures'!BE2</f>
        <v>0</v>
      </c>
      <c r="BF49" s="4">
        <f t="shared" si="27"/>
        <v>35.417366750421145</v>
      </c>
      <c r="BG49" s="4">
        <f t="shared" si="28"/>
        <v>27.509293680297397</v>
      </c>
      <c r="BH49" s="4">
        <f t="shared" si="29"/>
        <v>0</v>
      </c>
      <c r="BI49" s="4">
        <f t="shared" si="30"/>
        <v>7.9080730701237476</v>
      </c>
    </row>
    <row r="50" spans="2:61" x14ac:dyDescent="0.25">
      <c r="C50">
        <v>366</v>
      </c>
      <c r="D50" t="s">
        <v>117</v>
      </c>
      <c r="E50" s="4">
        <f>'4.1 Comptes 2021 natures'!E50/'4.1 Comptes 2021 natures'!E2</f>
        <v>0</v>
      </c>
      <c r="F50" s="4">
        <f>'4.1 Comptes 2021 natures'!F50/'4.1 Comptes 2021 natures'!F2</f>
        <v>0</v>
      </c>
      <c r="G50" s="4">
        <f>'4.1 Comptes 2021 natures'!G50/'4.1 Comptes 2021 natures'!G2</f>
        <v>0</v>
      </c>
      <c r="H50" s="4">
        <f>'4.1 Comptes 2021 natures'!H50/'4.1 Comptes 2021 natures'!H2</f>
        <v>0</v>
      </c>
      <c r="I50" s="4">
        <f>'4.1 Comptes 2021 natures'!I50/'4.1 Comptes 2021 natures'!I2</f>
        <v>0</v>
      </c>
      <c r="J50" s="4">
        <f>'4.1 Comptes 2021 natures'!J50/'4.1 Comptes 2021 natures'!J2</f>
        <v>0</v>
      </c>
      <c r="K50" s="4">
        <f>'4.1 Comptes 2021 natures'!K50/'4.1 Comptes 2021 natures'!K2</f>
        <v>0</v>
      </c>
      <c r="L50" s="4">
        <f>'4.1 Comptes 2021 natures'!L50/'4.1 Comptes 2021 natures'!L2</f>
        <v>0</v>
      </c>
      <c r="M50" s="4">
        <f>'4.1 Comptes 2021 natures'!M50/'4.1 Comptes 2021 natures'!M2</f>
        <v>0</v>
      </c>
      <c r="N50" s="4">
        <f>'4.1 Comptes 2021 natures'!N50/'4.1 Comptes 2021 natures'!N2</f>
        <v>0</v>
      </c>
      <c r="O50" s="4">
        <f>'4.1 Comptes 2021 natures'!O50/'4.1 Comptes 2021 natures'!O2</f>
        <v>2.1002616719460128</v>
      </c>
      <c r="P50" s="4">
        <f>'4.1 Comptes 2021 natures'!P50/'4.1 Comptes 2021 natures'!P2</f>
        <v>0</v>
      </c>
      <c r="Q50" s="4">
        <f>'4.1 Comptes 2021 natures'!Q50/'4.1 Comptes 2021 natures'!Q2</f>
        <v>0</v>
      </c>
      <c r="R50" s="4">
        <f>'4.1 Comptes 2021 natures'!R50/'4.1 Comptes 2021 natures'!R2</f>
        <v>0</v>
      </c>
      <c r="S50" s="4">
        <f>'4.1 Comptes 2021 natures'!S50/'4.1 Comptes 2021 natures'!S2</f>
        <v>0</v>
      </c>
      <c r="T50" s="4">
        <f>'4.1 Comptes 2021 natures'!T50/'4.1 Comptes 2021 natures'!T2</f>
        <v>0</v>
      </c>
      <c r="U50" s="4">
        <f>'4.1 Comptes 2021 natures'!U50/'4.1 Comptes 2021 natures'!U2</f>
        <v>0</v>
      </c>
      <c r="V50" s="4">
        <f>'4.1 Comptes 2021 natures'!V50/'4.1 Comptes 2021 natures'!V2</f>
        <v>0</v>
      </c>
      <c r="W50" s="4">
        <f>'4.1 Comptes 2021 natures'!W50/'4.1 Comptes 2021 natures'!W2</f>
        <v>0</v>
      </c>
      <c r="X50" s="4">
        <f>'4.1 Comptes 2021 natures'!X50/'4.1 Comptes 2021 natures'!X2</f>
        <v>0</v>
      </c>
      <c r="Y50" s="4">
        <f>'4.1 Comptes 2021 natures'!Y50/'4.1 Comptes 2021 natures'!Y2</f>
        <v>3.9370078740157481</v>
      </c>
      <c r="Z50" s="4">
        <f>'4.1 Comptes 2021 natures'!Z50/'4.1 Comptes 2021 natures'!Z2</f>
        <v>0</v>
      </c>
      <c r="AA50" s="4">
        <f>'4.1 Comptes 2021 natures'!AA50/'4.1 Comptes 2021 natures'!AA2</f>
        <v>0</v>
      </c>
      <c r="AB50" s="4">
        <f>'4.1 Comptes 2021 natures'!AB50/'4.1 Comptes 2021 natures'!AB2</f>
        <v>0</v>
      </c>
      <c r="AC50" s="4">
        <f>'4.1 Comptes 2021 natures'!AC50/'4.1 Comptes 2021 natures'!AC2</f>
        <v>0</v>
      </c>
      <c r="AD50" s="4">
        <f>'4.1 Comptes 2021 natures'!AD50/'4.1 Comptes 2021 natures'!AD2</f>
        <v>0</v>
      </c>
      <c r="AE50" s="4">
        <f>'4.1 Comptes 2021 natures'!AE50/'4.1 Comptes 2021 natures'!AE2</f>
        <v>0</v>
      </c>
      <c r="AF50" s="4">
        <f>'4.1 Comptes 2021 natures'!AF50/'4.1 Comptes 2021 natures'!AF2</f>
        <v>0</v>
      </c>
      <c r="AG50" s="4">
        <f>'4.1 Comptes 2021 natures'!AG50/'4.1 Comptes 2021 natures'!AG2</f>
        <v>0</v>
      </c>
      <c r="AH50" s="4">
        <f>'4.1 Comptes 2021 natures'!AH50/'4.1 Comptes 2021 natures'!AH2</f>
        <v>0</v>
      </c>
      <c r="AI50" s="4">
        <f>'4.1 Comptes 2021 natures'!AI50/'4.1 Comptes 2021 natures'!AI2</f>
        <v>21.621621621621621</v>
      </c>
      <c r="AJ50" s="4">
        <f>'4.1 Comptes 2021 natures'!AJ50/'4.1 Comptes 2021 natures'!AJ2</f>
        <v>0</v>
      </c>
      <c r="AK50" s="4">
        <f>'4.1 Comptes 2021 natures'!AK50/'4.1 Comptes 2021 natures'!AK2</f>
        <v>0</v>
      </c>
      <c r="AL50" s="4">
        <f>'4.1 Comptes 2021 natures'!AL50/'4.1 Comptes 2021 natures'!AL2</f>
        <v>0</v>
      </c>
      <c r="AM50" s="4">
        <f>'4.1 Comptes 2021 natures'!AM50/'4.1 Comptes 2021 natures'!AM2</f>
        <v>0</v>
      </c>
      <c r="AN50" s="4">
        <f>'4.1 Comptes 2021 natures'!AN50/'4.1 Comptes 2021 natures'!AN2</f>
        <v>0</v>
      </c>
      <c r="AO50" s="4">
        <f>'4.1 Comptes 2021 natures'!AO50/'4.1 Comptes 2021 natures'!AO2</f>
        <v>0</v>
      </c>
      <c r="AP50" s="4">
        <f>'4.1 Comptes 2021 natures'!AP50/'4.1 Comptes 2021 natures'!AP2</f>
        <v>0</v>
      </c>
      <c r="AQ50" s="4">
        <f>'4.1 Comptes 2021 natures'!AQ50/'4.1 Comptes 2021 natures'!AQ2</f>
        <v>0</v>
      </c>
      <c r="AR50" s="4">
        <f>'4.1 Comptes 2021 natures'!AR50/'4.1 Comptes 2021 natures'!AR2</f>
        <v>0</v>
      </c>
      <c r="AS50" s="4">
        <f>'4.1 Comptes 2021 natures'!AS50/'4.1 Comptes 2021 natures'!AS2</f>
        <v>0</v>
      </c>
      <c r="AT50" s="4">
        <f>'4.1 Comptes 2021 natures'!AT50/'4.1 Comptes 2021 natures'!AT2</f>
        <v>0</v>
      </c>
      <c r="AU50" s="4">
        <f>'4.1 Comptes 2021 natures'!AU50/'4.1 Comptes 2021 natures'!AU2</f>
        <v>0</v>
      </c>
      <c r="AV50" s="4">
        <f>'4.1 Comptes 2021 natures'!AV50/'4.1 Comptes 2021 natures'!AV2</f>
        <v>0</v>
      </c>
      <c r="AW50" s="4">
        <f>'4.1 Comptes 2021 natures'!AW50/'4.1 Comptes 2021 natures'!AW2</f>
        <v>0</v>
      </c>
      <c r="AX50" s="4">
        <f>'4.1 Comptes 2021 natures'!AX50/'4.1 Comptes 2021 natures'!AX2</f>
        <v>0</v>
      </c>
      <c r="AY50" s="4">
        <f>'4.1 Comptes 2021 natures'!AY50/'4.1 Comptes 2021 natures'!AY2</f>
        <v>0</v>
      </c>
      <c r="AZ50" s="4">
        <f>'4.1 Comptes 2021 natures'!AZ50/'4.1 Comptes 2021 natures'!AZ2</f>
        <v>0</v>
      </c>
      <c r="BA50" s="4">
        <f>'4.1 Comptes 2021 natures'!BA50/'4.1 Comptes 2021 natures'!BA2</f>
        <v>0</v>
      </c>
      <c r="BB50" s="4">
        <f>'4.1 Comptes 2021 natures'!BB50/'4.1 Comptes 2021 natures'!BB2</f>
        <v>0</v>
      </c>
      <c r="BC50" s="4">
        <f>'4.1 Comptes 2021 natures'!BC50/'4.1 Comptes 2021 natures'!BC2</f>
        <v>0</v>
      </c>
      <c r="BD50" s="4">
        <f>'4.1 Comptes 2021 natures'!BD50/'4.1 Comptes 2021 natures'!BD2</f>
        <v>0</v>
      </c>
      <c r="BE50" s="4">
        <f>'4.1 Comptes 2021 natures'!BE50/'4.1 Comptes 2021 natures'!BE2</f>
        <v>0</v>
      </c>
      <c r="BF50" s="4">
        <f t="shared" si="27"/>
        <v>27.658891167583384</v>
      </c>
      <c r="BG50" s="4">
        <f t="shared" si="28"/>
        <v>2.1002616719460128</v>
      </c>
      <c r="BH50" s="4">
        <f t="shared" si="29"/>
        <v>25.558629495637369</v>
      </c>
      <c r="BI50" s="4">
        <f t="shared" si="30"/>
        <v>0</v>
      </c>
    </row>
    <row r="51" spans="2:61" x14ac:dyDescent="0.25">
      <c r="C51">
        <v>369</v>
      </c>
      <c r="D51" t="s">
        <v>118</v>
      </c>
      <c r="E51" s="4">
        <f>'4.1 Comptes 2021 natures'!E51/'4.1 Comptes 2021 natures'!E2</f>
        <v>8.7909186906019006</v>
      </c>
      <c r="F51" s="4">
        <f>'4.1 Comptes 2021 natures'!F51/'4.1 Comptes 2021 natures'!F2</f>
        <v>7.3358490566037737</v>
      </c>
      <c r="G51" s="4">
        <f>'4.1 Comptes 2021 natures'!G51/'4.1 Comptes 2021 natures'!G2</f>
        <v>0</v>
      </c>
      <c r="H51" s="4">
        <f>'4.1 Comptes 2021 natures'!H51/'4.1 Comptes 2021 natures'!H2</f>
        <v>70.613371298405468</v>
      </c>
      <c r="I51" s="4">
        <f>'4.1 Comptes 2021 natures'!I51/'4.1 Comptes 2021 natures'!I2</f>
        <v>0</v>
      </c>
      <c r="J51" s="4">
        <f>'4.1 Comptes 2021 natures'!J51/'4.1 Comptes 2021 natures'!J2</f>
        <v>8.7040358744394624</v>
      </c>
      <c r="K51" s="4">
        <f>'4.1 Comptes 2021 natures'!K51/'4.1 Comptes 2021 natures'!K2</f>
        <v>0</v>
      </c>
      <c r="L51" s="4">
        <f>'4.1 Comptes 2021 natures'!L51/'4.1 Comptes 2021 natures'!L2</f>
        <v>369.18355717605579</v>
      </c>
      <c r="M51" s="4">
        <f>'4.1 Comptes 2021 natures'!M51/'4.1 Comptes 2021 natures'!M2</f>
        <v>161.24625459896984</v>
      </c>
      <c r="N51" s="4">
        <f>'4.1 Comptes 2021 natures'!N51/'4.1 Comptes 2021 natures'!N2</f>
        <v>0</v>
      </c>
      <c r="O51" s="4">
        <f>'4.1 Comptes 2021 natures'!O51/'4.1 Comptes 2021 natures'!O2</f>
        <v>2.5854840931001242</v>
      </c>
      <c r="P51" s="4">
        <f>'4.1 Comptes 2021 natures'!P51/'4.1 Comptes 2021 natures'!P2</f>
        <v>0</v>
      </c>
      <c r="Q51" s="4">
        <f>'4.1 Comptes 2021 natures'!Q51/'4.1 Comptes 2021 natures'!Q2</f>
        <v>0</v>
      </c>
      <c r="R51" s="4">
        <f>'4.1 Comptes 2021 natures'!R51/'4.1 Comptes 2021 natures'!R2</f>
        <v>8.5083135391923985</v>
      </c>
      <c r="S51" s="4">
        <f>'4.1 Comptes 2021 natures'!S51/'4.1 Comptes 2021 natures'!S2</f>
        <v>0</v>
      </c>
      <c r="T51" s="4">
        <f>'4.1 Comptes 2021 natures'!T51/'4.1 Comptes 2021 natures'!T2</f>
        <v>0</v>
      </c>
      <c r="U51" s="4">
        <f>'4.1 Comptes 2021 natures'!U51/'4.1 Comptes 2021 natures'!U2</f>
        <v>7.6282527881040894</v>
      </c>
      <c r="V51" s="4">
        <f>'4.1 Comptes 2021 natures'!V51/'4.1 Comptes 2021 natures'!V2</f>
        <v>9</v>
      </c>
      <c r="W51" s="4">
        <f>'4.1 Comptes 2021 natures'!W51/'4.1 Comptes 2021 natures'!W2</f>
        <v>0</v>
      </c>
      <c r="X51" s="4">
        <f>'4.1 Comptes 2021 natures'!X51/'4.1 Comptes 2021 natures'!X2</f>
        <v>0</v>
      </c>
      <c r="Y51" s="4">
        <f>'4.1 Comptes 2021 natures'!Y51/'4.1 Comptes 2021 natures'!Y2</f>
        <v>6.1511811023622052</v>
      </c>
      <c r="Z51" s="4">
        <f>'4.1 Comptes 2021 natures'!Z51/'4.1 Comptes 2021 natures'!Z2</f>
        <v>8.6414342629482075</v>
      </c>
      <c r="AA51" s="4">
        <f>'4.1 Comptes 2021 natures'!AA51/'4.1 Comptes 2021 natures'!AA2</f>
        <v>0</v>
      </c>
      <c r="AB51" s="4">
        <f>'4.1 Comptes 2021 natures'!AB51/'4.1 Comptes 2021 natures'!AB2</f>
        <v>0</v>
      </c>
      <c r="AC51" s="4">
        <f>'4.1 Comptes 2021 natures'!AC51/'4.1 Comptes 2021 natures'!AC2</f>
        <v>0</v>
      </c>
      <c r="AD51" s="4">
        <f>'4.1 Comptes 2021 natures'!AD51/'4.1 Comptes 2021 natures'!AD2</f>
        <v>24.780242510699001</v>
      </c>
      <c r="AE51" s="4">
        <f>'4.1 Comptes 2021 natures'!AE51/'4.1 Comptes 2021 natures'!AE2</f>
        <v>6.7180851063829783</v>
      </c>
      <c r="AF51" s="4">
        <f>'4.1 Comptes 2021 natures'!AF51/'4.1 Comptes 2021 natures'!AF2</f>
        <v>14.185714285714285</v>
      </c>
      <c r="AG51" s="4">
        <f>'4.1 Comptes 2021 natures'!AG51/'4.1 Comptes 2021 natures'!AG2</f>
        <v>7.920377160817182</v>
      </c>
      <c r="AH51" s="4">
        <f>'4.1 Comptes 2021 natures'!AH51/'4.1 Comptes 2021 natures'!AH2</f>
        <v>8.3651162790697668</v>
      </c>
      <c r="AI51" s="4">
        <f>'4.1 Comptes 2021 natures'!AI51/'4.1 Comptes 2021 natures'!AI2</f>
        <v>5.2297297297297298</v>
      </c>
      <c r="AJ51" s="4">
        <f>'4.1 Comptes 2021 natures'!AJ51/'4.1 Comptes 2021 natures'!AJ2</f>
        <v>0</v>
      </c>
      <c r="AK51" s="4">
        <f>'4.1 Comptes 2021 natures'!AK51/'4.1 Comptes 2021 natures'!AK2</f>
        <v>0</v>
      </c>
      <c r="AL51" s="4">
        <f>'4.1 Comptes 2021 natures'!AL51/'4.1 Comptes 2021 natures'!AL2</f>
        <v>0</v>
      </c>
      <c r="AM51" s="4">
        <f>'4.1 Comptes 2021 natures'!AM51/'4.1 Comptes 2021 natures'!AM2</f>
        <v>1.513469387755102</v>
      </c>
      <c r="AN51" s="4">
        <f>'4.1 Comptes 2021 natures'!AN51/'4.1 Comptes 2021 natures'!AN2</f>
        <v>0</v>
      </c>
      <c r="AO51" s="4">
        <f>'4.1 Comptes 2021 natures'!AO51/'4.1 Comptes 2021 natures'!AO2</f>
        <v>0</v>
      </c>
      <c r="AP51" s="4">
        <f>'4.1 Comptes 2021 natures'!AP51/'4.1 Comptes 2021 natures'!AP2</f>
        <v>0</v>
      </c>
      <c r="AQ51" s="4">
        <f>'4.1 Comptes 2021 natures'!AQ51/'4.1 Comptes 2021 natures'!AQ2</f>
        <v>9.5092417061611378</v>
      </c>
      <c r="AR51" s="4">
        <f>'4.1 Comptes 2021 natures'!AR51/'4.1 Comptes 2021 natures'!AR2</f>
        <v>5.22196261682243</v>
      </c>
      <c r="AS51" s="4">
        <f>'4.1 Comptes 2021 natures'!AS51/'4.1 Comptes 2021 natures'!AS2</f>
        <v>8.7660738714090289</v>
      </c>
      <c r="AT51" s="4">
        <f>'4.1 Comptes 2021 natures'!AT51/'4.1 Comptes 2021 natures'!AT2</f>
        <v>0</v>
      </c>
      <c r="AU51" s="4">
        <f>'4.1 Comptes 2021 natures'!AU51/'4.1 Comptes 2021 natures'!AU2</f>
        <v>0.19736842105263158</v>
      </c>
      <c r="AV51" s="4">
        <f>'4.1 Comptes 2021 natures'!AV51/'4.1 Comptes 2021 natures'!AV2</f>
        <v>0</v>
      </c>
      <c r="AW51" s="4">
        <f>'4.1 Comptes 2021 natures'!AW51/'4.1 Comptes 2021 natures'!AW2</f>
        <v>0</v>
      </c>
      <c r="AX51" s="4">
        <f>'4.1 Comptes 2021 natures'!AX51/'4.1 Comptes 2021 natures'!AX2</f>
        <v>8.513513513513514</v>
      </c>
      <c r="AY51" s="4">
        <f>'4.1 Comptes 2021 natures'!AY51/'4.1 Comptes 2021 natures'!AY2</f>
        <v>8.6029411764705888</v>
      </c>
      <c r="AZ51" s="4">
        <f>'4.1 Comptes 2021 natures'!AZ51/'4.1 Comptes 2021 natures'!AZ2</f>
        <v>0</v>
      </c>
      <c r="BA51" s="4">
        <f>'4.1 Comptes 2021 natures'!BA51/'4.1 Comptes 2021 natures'!BA2</f>
        <v>0</v>
      </c>
      <c r="BB51" s="4">
        <f>'4.1 Comptes 2021 natures'!BB51/'4.1 Comptes 2021 natures'!BB2</f>
        <v>0</v>
      </c>
      <c r="BC51" s="4">
        <f>'4.1 Comptes 2021 natures'!BC51/'4.1 Comptes 2021 natures'!BC2</f>
        <v>8.8532608695652169</v>
      </c>
      <c r="BD51" s="4">
        <f>'4.1 Comptes 2021 natures'!BD51/'4.1 Comptes 2021 natures'!BD2</f>
        <v>0</v>
      </c>
      <c r="BE51" s="4">
        <f>'4.1 Comptes 2021 natures'!BE51/'4.1 Comptes 2021 natures'!BE2</f>
        <v>8.9516994633273708</v>
      </c>
      <c r="BF51" s="4">
        <f t="shared" si="27"/>
        <v>795.71744857927342</v>
      </c>
      <c r="BG51" s="4">
        <f t="shared" si="28"/>
        <v>653.59603711547288</v>
      </c>
      <c r="BH51" s="4">
        <f t="shared" si="29"/>
        <v>81.991880437723353</v>
      </c>
      <c r="BI51" s="4">
        <f t="shared" si="30"/>
        <v>60.129531026077025</v>
      </c>
    </row>
    <row r="52" spans="2:61" x14ac:dyDescent="0.25">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row>
    <row r="53" spans="2:61" x14ac:dyDescent="0.25">
      <c r="B53" s="76">
        <v>37</v>
      </c>
      <c r="C53" s="76"/>
      <c r="D53" s="76" t="s">
        <v>119</v>
      </c>
      <c r="E53" s="77">
        <f>E54</f>
        <v>0</v>
      </c>
      <c r="F53" s="77">
        <f t="shared" ref="F53:BI53" si="31">F54</f>
        <v>0</v>
      </c>
      <c r="G53" s="77">
        <f t="shared" si="31"/>
        <v>0</v>
      </c>
      <c r="H53" s="77">
        <f t="shared" si="31"/>
        <v>0</v>
      </c>
      <c r="I53" s="77">
        <f t="shared" si="31"/>
        <v>0</v>
      </c>
      <c r="J53" s="77">
        <f t="shared" si="31"/>
        <v>0</v>
      </c>
      <c r="K53" s="77">
        <f t="shared" si="31"/>
        <v>0</v>
      </c>
      <c r="L53" s="77">
        <f t="shared" si="31"/>
        <v>0</v>
      </c>
      <c r="M53" s="77">
        <f t="shared" si="31"/>
        <v>0</v>
      </c>
      <c r="N53" s="77">
        <f t="shared" si="31"/>
        <v>0</v>
      </c>
      <c r="O53" s="77">
        <f t="shared" si="31"/>
        <v>0</v>
      </c>
      <c r="P53" s="77">
        <f t="shared" si="31"/>
        <v>0</v>
      </c>
      <c r="Q53" s="77">
        <f t="shared" si="31"/>
        <v>0</v>
      </c>
      <c r="R53" s="77">
        <f t="shared" si="31"/>
        <v>0</v>
      </c>
      <c r="S53" s="77">
        <f t="shared" si="31"/>
        <v>0</v>
      </c>
      <c r="T53" s="77">
        <f t="shared" si="31"/>
        <v>0</v>
      </c>
      <c r="U53" s="77">
        <f t="shared" si="31"/>
        <v>0</v>
      </c>
      <c r="V53" s="77">
        <f t="shared" si="31"/>
        <v>0</v>
      </c>
      <c r="W53" s="77">
        <f t="shared" si="31"/>
        <v>0</v>
      </c>
      <c r="X53" s="77">
        <f t="shared" si="31"/>
        <v>1352.7932258064518</v>
      </c>
      <c r="Y53" s="77">
        <f t="shared" si="31"/>
        <v>0</v>
      </c>
      <c r="Z53" s="77">
        <f t="shared" si="31"/>
        <v>284.95152722443561</v>
      </c>
      <c r="AA53" s="77">
        <f t="shared" si="31"/>
        <v>1517.203125</v>
      </c>
      <c r="AB53" s="77">
        <f t="shared" si="31"/>
        <v>1195.0010135135135</v>
      </c>
      <c r="AC53" s="77">
        <f t="shared" si="31"/>
        <v>363.24700772200777</v>
      </c>
      <c r="AD53" s="77">
        <f t="shared" si="31"/>
        <v>0</v>
      </c>
      <c r="AE53" s="77">
        <f t="shared" si="31"/>
        <v>422.61950354609928</v>
      </c>
      <c r="AF53" s="77">
        <f t="shared" si="31"/>
        <v>1127.0987619047619</v>
      </c>
      <c r="AG53" s="77">
        <f t="shared" si="31"/>
        <v>219.53284442116291</v>
      </c>
      <c r="AH53" s="77">
        <f t="shared" si="31"/>
        <v>0</v>
      </c>
      <c r="AI53" s="77">
        <f t="shared" si="31"/>
        <v>18.839414414414417</v>
      </c>
      <c r="AJ53" s="77">
        <f t="shared" si="31"/>
        <v>0</v>
      </c>
      <c r="AK53" s="77">
        <f t="shared" si="31"/>
        <v>5.2882072977260712</v>
      </c>
      <c r="AL53" s="77">
        <f t="shared" si="31"/>
        <v>0</v>
      </c>
      <c r="AM53" s="77">
        <f t="shared" si="31"/>
        <v>15.51004081632653</v>
      </c>
      <c r="AN53" s="77">
        <f t="shared" si="31"/>
        <v>0</v>
      </c>
      <c r="AO53" s="77">
        <f t="shared" si="31"/>
        <v>0</v>
      </c>
      <c r="AP53" s="77">
        <f t="shared" si="31"/>
        <v>1.6004672897196262</v>
      </c>
      <c r="AQ53" s="77">
        <f t="shared" si="31"/>
        <v>0</v>
      </c>
      <c r="AR53" s="77">
        <f t="shared" si="31"/>
        <v>44.218341121495328</v>
      </c>
      <c r="AS53" s="77">
        <f t="shared" si="31"/>
        <v>0</v>
      </c>
      <c r="AT53" s="77">
        <f t="shared" si="31"/>
        <v>0</v>
      </c>
      <c r="AU53" s="77">
        <f t="shared" si="31"/>
        <v>0</v>
      </c>
      <c r="AV53" s="77">
        <f t="shared" si="31"/>
        <v>17.638474295190711</v>
      </c>
      <c r="AW53" s="77">
        <f t="shared" si="31"/>
        <v>13.142857142857142</v>
      </c>
      <c r="AX53" s="77">
        <f t="shared" si="31"/>
        <v>0</v>
      </c>
      <c r="AY53" s="77">
        <f t="shared" si="31"/>
        <v>0</v>
      </c>
      <c r="AZ53" s="77">
        <f t="shared" si="31"/>
        <v>0</v>
      </c>
      <c r="BA53" s="77">
        <f t="shared" si="31"/>
        <v>0</v>
      </c>
      <c r="BB53" s="77">
        <f t="shared" si="31"/>
        <v>0</v>
      </c>
      <c r="BC53" s="77">
        <f t="shared" si="31"/>
        <v>0</v>
      </c>
      <c r="BD53" s="77">
        <f t="shared" si="31"/>
        <v>0</v>
      </c>
      <c r="BE53" s="77">
        <f t="shared" si="31"/>
        <v>0</v>
      </c>
      <c r="BF53" s="77">
        <f t="shared" si="31"/>
        <v>6598.684811516162</v>
      </c>
      <c r="BG53" s="77">
        <f t="shared" si="31"/>
        <v>0</v>
      </c>
      <c r="BH53" s="77">
        <f t="shared" si="31"/>
        <v>6501.2864235528468</v>
      </c>
      <c r="BI53" s="77">
        <f t="shared" si="31"/>
        <v>97.3983879633154</v>
      </c>
    </row>
    <row r="54" spans="2:61" x14ac:dyDescent="0.25">
      <c r="C54">
        <v>370</v>
      </c>
      <c r="D54" t="s">
        <v>120</v>
      </c>
      <c r="E54" s="4">
        <f>'4.1 Comptes 2021 natures'!E54/'4.1 Comptes 2021 natures'!E2</f>
        <v>0</v>
      </c>
      <c r="F54" s="4">
        <f>'4.1 Comptes 2021 natures'!F54/'4.1 Comptes 2021 natures'!F2</f>
        <v>0</v>
      </c>
      <c r="G54" s="4">
        <f>'4.1 Comptes 2021 natures'!G54/'4.1 Comptes 2021 natures'!G2</f>
        <v>0</v>
      </c>
      <c r="H54" s="4">
        <f>'4.1 Comptes 2021 natures'!H54/'4.1 Comptes 2021 natures'!H2</f>
        <v>0</v>
      </c>
      <c r="I54" s="4">
        <f>'4.1 Comptes 2021 natures'!I54/'4.1 Comptes 2021 natures'!I2</f>
        <v>0</v>
      </c>
      <c r="J54" s="4">
        <f>'4.1 Comptes 2021 natures'!J54/'4.1 Comptes 2021 natures'!J2</f>
        <v>0</v>
      </c>
      <c r="K54" s="4">
        <f>'4.1 Comptes 2021 natures'!K54/'4.1 Comptes 2021 natures'!K2</f>
        <v>0</v>
      </c>
      <c r="L54" s="4">
        <f>'4.1 Comptes 2021 natures'!L54/'4.1 Comptes 2021 natures'!L2</f>
        <v>0</v>
      </c>
      <c r="M54" s="4">
        <f>'4.1 Comptes 2021 natures'!M54/'4.1 Comptes 2021 natures'!M2</f>
        <v>0</v>
      </c>
      <c r="N54" s="4">
        <f>'4.1 Comptes 2021 natures'!N54/'4.1 Comptes 2021 natures'!N2</f>
        <v>0</v>
      </c>
      <c r="O54" s="4">
        <f>'4.1 Comptes 2021 natures'!O54/'4.1 Comptes 2021 natures'!O2</f>
        <v>0</v>
      </c>
      <c r="P54" s="4">
        <f>'4.1 Comptes 2021 natures'!P54/'4.1 Comptes 2021 natures'!P2</f>
        <v>0</v>
      </c>
      <c r="Q54" s="4">
        <f>'4.1 Comptes 2021 natures'!Q54/'4.1 Comptes 2021 natures'!Q2</f>
        <v>0</v>
      </c>
      <c r="R54" s="4">
        <f>'4.1 Comptes 2021 natures'!R54/'4.1 Comptes 2021 natures'!R2</f>
        <v>0</v>
      </c>
      <c r="S54" s="4">
        <f>'4.1 Comptes 2021 natures'!S54/'4.1 Comptes 2021 natures'!S2</f>
        <v>0</v>
      </c>
      <c r="T54" s="4">
        <f>'4.1 Comptes 2021 natures'!T54/'4.1 Comptes 2021 natures'!T2</f>
        <v>0</v>
      </c>
      <c r="U54" s="4">
        <f>'4.1 Comptes 2021 natures'!U54/'4.1 Comptes 2021 natures'!U2</f>
        <v>0</v>
      </c>
      <c r="V54" s="4">
        <f>'4.1 Comptes 2021 natures'!V54/'4.1 Comptes 2021 natures'!V2</f>
        <v>0</v>
      </c>
      <c r="W54" s="4">
        <f>'4.1 Comptes 2021 natures'!W54/'4.1 Comptes 2021 natures'!W2</f>
        <v>0</v>
      </c>
      <c r="X54" s="4">
        <f>'4.1 Comptes 2021 natures'!X54/'4.1 Comptes 2021 natures'!X2</f>
        <v>1352.7932258064518</v>
      </c>
      <c r="Y54" s="4">
        <f>'4.1 Comptes 2021 natures'!Y54/'4.1 Comptes 2021 natures'!Y2</f>
        <v>0</v>
      </c>
      <c r="Z54" s="4">
        <f>'4.1 Comptes 2021 natures'!Z54/'4.1 Comptes 2021 natures'!Z2</f>
        <v>284.95152722443561</v>
      </c>
      <c r="AA54" s="4">
        <f>'4.1 Comptes 2021 natures'!AA54/'4.1 Comptes 2021 natures'!AA2</f>
        <v>1517.203125</v>
      </c>
      <c r="AB54" s="4">
        <f>'4.1 Comptes 2021 natures'!AB54/'4.1 Comptes 2021 natures'!AB2</f>
        <v>1195.0010135135135</v>
      </c>
      <c r="AC54" s="4">
        <f>'4.1 Comptes 2021 natures'!AC54/'4.1 Comptes 2021 natures'!AC2</f>
        <v>363.24700772200777</v>
      </c>
      <c r="AD54" s="4">
        <f>'4.1 Comptes 2021 natures'!AD54/'4.1 Comptes 2021 natures'!AD2</f>
        <v>0</v>
      </c>
      <c r="AE54" s="4">
        <f>'4.1 Comptes 2021 natures'!AE54/'4.1 Comptes 2021 natures'!AE2</f>
        <v>422.61950354609928</v>
      </c>
      <c r="AF54" s="4">
        <f>'4.1 Comptes 2021 natures'!AF54/'4.1 Comptes 2021 natures'!AF2</f>
        <v>1127.0987619047619</v>
      </c>
      <c r="AG54" s="4">
        <f>'4.1 Comptes 2021 natures'!AG54/'4.1 Comptes 2021 natures'!AG2</f>
        <v>219.53284442116291</v>
      </c>
      <c r="AH54" s="4">
        <f>'4.1 Comptes 2021 natures'!AH54/'4.1 Comptes 2021 natures'!AH2</f>
        <v>0</v>
      </c>
      <c r="AI54" s="4">
        <f>'4.1 Comptes 2021 natures'!AI54/'4.1 Comptes 2021 natures'!AI2</f>
        <v>18.839414414414417</v>
      </c>
      <c r="AJ54" s="4">
        <f>'4.1 Comptes 2021 natures'!AJ54/'4.1 Comptes 2021 natures'!AJ2</f>
        <v>0</v>
      </c>
      <c r="AK54" s="4">
        <f>'4.1 Comptes 2021 natures'!AK54/'4.1 Comptes 2021 natures'!AK2</f>
        <v>5.2882072977260712</v>
      </c>
      <c r="AL54" s="4">
        <f>'4.1 Comptes 2021 natures'!AL54/'4.1 Comptes 2021 natures'!AL2</f>
        <v>0</v>
      </c>
      <c r="AM54" s="4">
        <f>'4.1 Comptes 2021 natures'!AM54/'4.1 Comptes 2021 natures'!AM2</f>
        <v>15.51004081632653</v>
      </c>
      <c r="AN54" s="4">
        <f>'4.1 Comptes 2021 natures'!AN54/'4.1 Comptes 2021 natures'!AN2</f>
        <v>0</v>
      </c>
      <c r="AO54" s="4">
        <f>'4.1 Comptes 2021 natures'!AO54/'4.1 Comptes 2021 natures'!AO2</f>
        <v>0</v>
      </c>
      <c r="AP54" s="4">
        <f>'4.1 Comptes 2021 natures'!AP54/'4.1 Comptes 2021 natures'!AP2</f>
        <v>1.6004672897196262</v>
      </c>
      <c r="AQ54" s="4">
        <f>'4.1 Comptes 2021 natures'!AQ54/'4.1 Comptes 2021 natures'!AQ2</f>
        <v>0</v>
      </c>
      <c r="AR54" s="4">
        <f>'4.1 Comptes 2021 natures'!AR54/'4.1 Comptes 2021 natures'!AR2</f>
        <v>44.218341121495328</v>
      </c>
      <c r="AS54" s="4">
        <f>'4.1 Comptes 2021 natures'!AS54/'4.1 Comptes 2021 natures'!AS2</f>
        <v>0</v>
      </c>
      <c r="AT54" s="4">
        <f>'4.1 Comptes 2021 natures'!AT54/'4.1 Comptes 2021 natures'!AT2</f>
        <v>0</v>
      </c>
      <c r="AU54" s="4">
        <f>'4.1 Comptes 2021 natures'!AU54/'4.1 Comptes 2021 natures'!AU2</f>
        <v>0</v>
      </c>
      <c r="AV54" s="4">
        <f>'4.1 Comptes 2021 natures'!AV54/'4.1 Comptes 2021 natures'!AV2</f>
        <v>17.638474295190711</v>
      </c>
      <c r="AW54" s="4">
        <f>'4.1 Comptes 2021 natures'!AW54/'4.1 Comptes 2021 natures'!AW2</f>
        <v>13.142857142857142</v>
      </c>
      <c r="AX54" s="4">
        <f>'4.1 Comptes 2021 natures'!AX54/'4.1 Comptes 2021 natures'!AX2</f>
        <v>0</v>
      </c>
      <c r="AY54" s="4">
        <f>'4.1 Comptes 2021 natures'!AY54/'4.1 Comptes 2021 natures'!AY2</f>
        <v>0</v>
      </c>
      <c r="AZ54" s="4">
        <f>'4.1 Comptes 2021 natures'!AZ54/'4.1 Comptes 2021 natures'!AZ2</f>
        <v>0</v>
      </c>
      <c r="BA54" s="4">
        <f>'4.1 Comptes 2021 natures'!BA54/'4.1 Comptes 2021 natures'!BA2</f>
        <v>0</v>
      </c>
      <c r="BB54" s="4">
        <f>'4.1 Comptes 2021 natures'!BB54/'4.1 Comptes 2021 natures'!BB2</f>
        <v>0</v>
      </c>
      <c r="BC54" s="4">
        <f>'4.1 Comptes 2021 natures'!BC54/'4.1 Comptes 2021 natures'!BC2</f>
        <v>0</v>
      </c>
      <c r="BD54" s="4">
        <f>'4.1 Comptes 2021 natures'!BD54/'4.1 Comptes 2021 natures'!BD2</f>
        <v>0</v>
      </c>
      <c r="BE54" s="4">
        <f>'4.1 Comptes 2021 natures'!BE54/'4.1 Comptes 2021 natures'!BE2</f>
        <v>0</v>
      </c>
      <c r="BF54" s="4">
        <f t="shared" ref="BF54" si="32">SUM(E54:BE54)</f>
        <v>6598.684811516162</v>
      </c>
      <c r="BG54" s="4">
        <f t="shared" ref="BG54" si="33">SUM(E54:W54)</f>
        <v>0</v>
      </c>
      <c r="BH54" s="4">
        <f t="shared" ref="BH54" si="34">SUM(X54:AJ54)</f>
        <v>6501.2864235528468</v>
      </c>
      <c r="BI54" s="4">
        <f t="shared" ref="BI54" si="35">SUM(AK54:BE54)</f>
        <v>97.3983879633154</v>
      </c>
    </row>
    <row r="55" spans="2:61" x14ac:dyDescent="0.25">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row>
    <row r="56" spans="2:61" x14ac:dyDescent="0.25">
      <c r="B56" s="76">
        <v>38</v>
      </c>
      <c r="C56" s="76"/>
      <c r="D56" s="76" t="s">
        <v>121</v>
      </c>
      <c r="E56" s="77">
        <f>E57+E58+E59+E60+E61+E62</f>
        <v>0</v>
      </c>
      <c r="F56" s="77">
        <f t="shared" ref="F56:BI56" si="36">F57+F58+F59+F60+F61+F62</f>
        <v>0</v>
      </c>
      <c r="G56" s="77">
        <f t="shared" si="36"/>
        <v>0</v>
      </c>
      <c r="H56" s="77">
        <f t="shared" si="36"/>
        <v>0.77334851936218674</v>
      </c>
      <c r="I56" s="77">
        <f t="shared" si="36"/>
        <v>126.10920064377682</v>
      </c>
      <c r="J56" s="77">
        <f t="shared" si="36"/>
        <v>0</v>
      </c>
      <c r="K56" s="77">
        <f t="shared" si="36"/>
        <v>37.70739064856712</v>
      </c>
      <c r="L56" s="77">
        <f t="shared" si="36"/>
        <v>0</v>
      </c>
      <c r="M56" s="77">
        <f t="shared" si="36"/>
        <v>0</v>
      </c>
      <c r="N56" s="77">
        <f t="shared" si="36"/>
        <v>0</v>
      </c>
      <c r="O56" s="77">
        <f t="shared" si="36"/>
        <v>0.1594133039526236</v>
      </c>
      <c r="P56" s="77">
        <f t="shared" si="36"/>
        <v>0</v>
      </c>
      <c r="Q56" s="77">
        <f t="shared" si="36"/>
        <v>0</v>
      </c>
      <c r="R56" s="77">
        <f t="shared" si="36"/>
        <v>0</v>
      </c>
      <c r="S56" s="77">
        <f t="shared" si="36"/>
        <v>68.356647398843933</v>
      </c>
      <c r="T56" s="77">
        <f t="shared" si="36"/>
        <v>0</v>
      </c>
      <c r="U56" s="77">
        <f t="shared" si="36"/>
        <v>0</v>
      </c>
      <c r="V56" s="77">
        <f t="shared" si="36"/>
        <v>0</v>
      </c>
      <c r="W56" s="77">
        <f t="shared" si="36"/>
        <v>243.76388974914835</v>
      </c>
      <c r="X56" s="77">
        <f t="shared" si="36"/>
        <v>70.307677419354846</v>
      </c>
      <c r="Y56" s="77">
        <f t="shared" si="36"/>
        <v>0</v>
      </c>
      <c r="Z56" s="77">
        <f t="shared" si="36"/>
        <v>34.155650730411686</v>
      </c>
      <c r="AA56" s="77">
        <f t="shared" si="36"/>
        <v>0</v>
      </c>
      <c r="AB56" s="77">
        <f t="shared" si="36"/>
        <v>0</v>
      </c>
      <c r="AC56" s="77">
        <f t="shared" si="36"/>
        <v>0</v>
      </c>
      <c r="AD56" s="77">
        <f t="shared" si="36"/>
        <v>27.91726105563481</v>
      </c>
      <c r="AE56" s="77">
        <f t="shared" si="36"/>
        <v>0</v>
      </c>
      <c r="AF56" s="77">
        <f t="shared" si="36"/>
        <v>0</v>
      </c>
      <c r="AG56" s="77">
        <f t="shared" si="36"/>
        <v>104.76689366160294</v>
      </c>
      <c r="AH56" s="77">
        <f t="shared" si="36"/>
        <v>251.93798449612405</v>
      </c>
      <c r="AI56" s="77">
        <f t="shared" si="36"/>
        <v>180.18018018018017</v>
      </c>
      <c r="AJ56" s="77">
        <f t="shared" si="36"/>
        <v>0</v>
      </c>
      <c r="AK56" s="77">
        <f t="shared" si="36"/>
        <v>212.4060761501851</v>
      </c>
      <c r="AL56" s="77">
        <f t="shared" si="36"/>
        <v>438.50119893428064</v>
      </c>
      <c r="AM56" s="77">
        <f t="shared" si="36"/>
        <v>81.632653061224488</v>
      </c>
      <c r="AN56" s="77">
        <f t="shared" si="36"/>
        <v>24.537350427350429</v>
      </c>
      <c r="AO56" s="77">
        <f t="shared" si="36"/>
        <v>675.10548523206751</v>
      </c>
      <c r="AP56" s="77">
        <f t="shared" si="36"/>
        <v>0</v>
      </c>
      <c r="AQ56" s="77">
        <f t="shared" si="36"/>
        <v>0</v>
      </c>
      <c r="AR56" s="77">
        <f t="shared" si="36"/>
        <v>210.28037383177571</v>
      </c>
      <c r="AS56" s="77">
        <f t="shared" si="36"/>
        <v>376.1969904240766</v>
      </c>
      <c r="AT56" s="77">
        <f t="shared" si="36"/>
        <v>0</v>
      </c>
      <c r="AU56" s="77">
        <f t="shared" si="36"/>
        <v>0</v>
      </c>
      <c r="AV56" s="77">
        <f t="shared" si="36"/>
        <v>41.459369817578775</v>
      </c>
      <c r="AW56" s="77">
        <f t="shared" si="36"/>
        <v>352.71816326530615</v>
      </c>
      <c r="AX56" s="77">
        <f t="shared" si="36"/>
        <v>0</v>
      </c>
      <c r="AY56" s="77">
        <f t="shared" si="36"/>
        <v>0</v>
      </c>
      <c r="AZ56" s="77">
        <f t="shared" si="36"/>
        <v>117.85503830288745</v>
      </c>
      <c r="BA56" s="77">
        <f t="shared" si="36"/>
        <v>0</v>
      </c>
      <c r="BB56" s="77">
        <f t="shared" si="36"/>
        <v>54.961053122087606</v>
      </c>
      <c r="BC56" s="77">
        <f t="shared" si="36"/>
        <v>19.782608695652176</v>
      </c>
      <c r="BD56" s="77">
        <f t="shared" si="36"/>
        <v>2.4002474481905348E-2</v>
      </c>
      <c r="BE56" s="77">
        <f t="shared" si="36"/>
        <v>107.3345259391771</v>
      </c>
      <c r="BF56" s="77">
        <f t="shared" si="36"/>
        <v>3858.9304274850911</v>
      </c>
      <c r="BG56" s="77">
        <f t="shared" si="36"/>
        <v>476.86989026365103</v>
      </c>
      <c r="BH56" s="77">
        <f t="shared" si="36"/>
        <v>669.26564754330843</v>
      </c>
      <c r="BI56" s="77">
        <f t="shared" si="36"/>
        <v>2712.7948896781313</v>
      </c>
    </row>
    <row r="57" spans="2:61" x14ac:dyDescent="0.25">
      <c r="C57">
        <v>380</v>
      </c>
      <c r="D57" t="s">
        <v>122</v>
      </c>
      <c r="E57" s="4">
        <f>'4.1 Comptes 2021 natures'!E57/'4.1 Comptes 2021 natures'!E2</f>
        <v>0</v>
      </c>
      <c r="F57" s="4">
        <f>'4.1 Comptes 2021 natures'!F57/'4.1 Comptes 2021 natures'!F2</f>
        <v>0</v>
      </c>
      <c r="G57" s="4">
        <f>'4.1 Comptes 2021 natures'!G57/'4.1 Comptes 2021 natures'!G2</f>
        <v>0</v>
      </c>
      <c r="H57" s="4">
        <f>'4.1 Comptes 2021 natures'!H57/'4.1 Comptes 2021 natures'!H2</f>
        <v>0</v>
      </c>
      <c r="I57" s="4">
        <f>'4.1 Comptes 2021 natures'!I57/'4.1 Comptes 2021 natures'!I2</f>
        <v>0</v>
      </c>
      <c r="J57" s="4">
        <f>'4.1 Comptes 2021 natures'!J57/'4.1 Comptes 2021 natures'!J2</f>
        <v>0</v>
      </c>
      <c r="K57" s="4">
        <f>'4.1 Comptes 2021 natures'!K57/'4.1 Comptes 2021 natures'!K2</f>
        <v>0</v>
      </c>
      <c r="L57" s="4">
        <f>'4.1 Comptes 2021 natures'!L57/'4.1 Comptes 2021 natures'!L2</f>
        <v>0</v>
      </c>
      <c r="M57" s="4">
        <f>'4.1 Comptes 2021 natures'!M57/'4.1 Comptes 2021 natures'!M2</f>
        <v>0</v>
      </c>
      <c r="N57" s="4">
        <f>'4.1 Comptes 2021 natures'!N57/'4.1 Comptes 2021 natures'!N2</f>
        <v>0</v>
      </c>
      <c r="O57" s="4">
        <f>'4.1 Comptes 2021 natures'!O57/'4.1 Comptes 2021 natures'!O2</f>
        <v>0</v>
      </c>
      <c r="P57" s="4">
        <f>'4.1 Comptes 2021 natures'!P57/'4.1 Comptes 2021 natures'!P2</f>
        <v>0</v>
      </c>
      <c r="Q57" s="4">
        <f>'4.1 Comptes 2021 natures'!Q57/'4.1 Comptes 2021 natures'!Q2</f>
        <v>0</v>
      </c>
      <c r="R57" s="4">
        <f>'4.1 Comptes 2021 natures'!R57/'4.1 Comptes 2021 natures'!R2</f>
        <v>0</v>
      </c>
      <c r="S57" s="4">
        <f>'4.1 Comptes 2021 natures'!S57/'4.1 Comptes 2021 natures'!S2</f>
        <v>0</v>
      </c>
      <c r="T57" s="4">
        <f>'4.1 Comptes 2021 natures'!T57/'4.1 Comptes 2021 natures'!T2</f>
        <v>0</v>
      </c>
      <c r="U57" s="4">
        <f>'4.1 Comptes 2021 natures'!U57/'4.1 Comptes 2021 natures'!U2</f>
        <v>0</v>
      </c>
      <c r="V57" s="4">
        <f>'4.1 Comptes 2021 natures'!V57/'4.1 Comptes 2021 natures'!V2</f>
        <v>0</v>
      </c>
      <c r="W57" s="4">
        <f>'4.1 Comptes 2021 natures'!W57/'4.1 Comptes 2021 natures'!W2</f>
        <v>0</v>
      </c>
      <c r="X57" s="4">
        <f>'4.1 Comptes 2021 natures'!X57/'4.1 Comptes 2021 natures'!X2</f>
        <v>0</v>
      </c>
      <c r="Y57" s="4">
        <f>'4.1 Comptes 2021 natures'!Y57/'4.1 Comptes 2021 natures'!Y2</f>
        <v>0</v>
      </c>
      <c r="Z57" s="4">
        <f>'4.1 Comptes 2021 natures'!Z57/'4.1 Comptes 2021 natures'!Z2</f>
        <v>0</v>
      </c>
      <c r="AA57" s="4">
        <f>'4.1 Comptes 2021 natures'!AA57/'4.1 Comptes 2021 natures'!AA2</f>
        <v>0</v>
      </c>
      <c r="AB57" s="4">
        <f>'4.1 Comptes 2021 natures'!AB57/'4.1 Comptes 2021 natures'!AB2</f>
        <v>0</v>
      </c>
      <c r="AC57" s="4">
        <f>'4.1 Comptes 2021 natures'!AC57/'4.1 Comptes 2021 natures'!AC2</f>
        <v>0</v>
      </c>
      <c r="AD57" s="4">
        <f>'4.1 Comptes 2021 natures'!AD57/'4.1 Comptes 2021 natures'!AD2</f>
        <v>0</v>
      </c>
      <c r="AE57" s="4">
        <f>'4.1 Comptes 2021 natures'!AE57/'4.1 Comptes 2021 natures'!AE2</f>
        <v>0</v>
      </c>
      <c r="AF57" s="4">
        <f>'4.1 Comptes 2021 natures'!AF57/'4.1 Comptes 2021 natures'!AF2</f>
        <v>0</v>
      </c>
      <c r="AG57" s="4">
        <f>'4.1 Comptes 2021 natures'!AG57/'4.1 Comptes 2021 natures'!AG2</f>
        <v>0</v>
      </c>
      <c r="AH57" s="4">
        <f>'4.1 Comptes 2021 natures'!AH57/'4.1 Comptes 2021 natures'!AH2</f>
        <v>0</v>
      </c>
      <c r="AI57" s="4">
        <f>'4.1 Comptes 2021 natures'!AI57/'4.1 Comptes 2021 natures'!AI2</f>
        <v>0</v>
      </c>
      <c r="AJ57" s="4">
        <f>'4.1 Comptes 2021 natures'!AJ57/'4.1 Comptes 2021 natures'!AJ2</f>
        <v>0</v>
      </c>
      <c r="AK57" s="4">
        <f>'4.1 Comptes 2021 natures'!AK57/'4.1 Comptes 2021 natures'!AK2</f>
        <v>0</v>
      </c>
      <c r="AL57" s="4">
        <f>'4.1 Comptes 2021 natures'!AL57/'4.1 Comptes 2021 natures'!AL2</f>
        <v>9.7690941385435177E-3</v>
      </c>
      <c r="AM57" s="4">
        <f>'4.1 Comptes 2021 natures'!AM57/'4.1 Comptes 2021 natures'!AM2</f>
        <v>0</v>
      </c>
      <c r="AN57" s="4">
        <f>'4.1 Comptes 2021 natures'!AN57/'4.1 Comptes 2021 natures'!AN2</f>
        <v>0</v>
      </c>
      <c r="AO57" s="4">
        <f>'4.1 Comptes 2021 natures'!AO57/'4.1 Comptes 2021 natures'!AO2</f>
        <v>0</v>
      </c>
      <c r="AP57" s="4">
        <f>'4.1 Comptes 2021 natures'!AP57/'4.1 Comptes 2021 natures'!AP2</f>
        <v>0</v>
      </c>
      <c r="AQ57" s="4">
        <f>'4.1 Comptes 2021 natures'!AQ57/'4.1 Comptes 2021 natures'!AQ2</f>
        <v>0</v>
      </c>
      <c r="AR57" s="4">
        <f>'4.1 Comptes 2021 natures'!AR57/'4.1 Comptes 2021 natures'!AR2</f>
        <v>0</v>
      </c>
      <c r="AS57" s="4">
        <f>'4.1 Comptes 2021 natures'!AS57/'4.1 Comptes 2021 natures'!AS2</f>
        <v>0</v>
      </c>
      <c r="AT57" s="4">
        <f>'4.1 Comptes 2021 natures'!AT57/'4.1 Comptes 2021 natures'!AT2</f>
        <v>0</v>
      </c>
      <c r="AU57" s="4">
        <f>'4.1 Comptes 2021 natures'!AU57/'4.1 Comptes 2021 natures'!AU2</f>
        <v>0</v>
      </c>
      <c r="AV57" s="4">
        <f>'4.1 Comptes 2021 natures'!AV57/'4.1 Comptes 2021 natures'!AV2</f>
        <v>0</v>
      </c>
      <c r="AW57" s="4">
        <f>'4.1 Comptes 2021 natures'!AW57/'4.1 Comptes 2021 natures'!AW2</f>
        <v>0</v>
      </c>
      <c r="AX57" s="4">
        <f>'4.1 Comptes 2021 natures'!AX57/'4.1 Comptes 2021 natures'!AX2</f>
        <v>0</v>
      </c>
      <c r="AY57" s="4">
        <f>'4.1 Comptes 2021 natures'!AY57/'4.1 Comptes 2021 natures'!AY2</f>
        <v>0</v>
      </c>
      <c r="AZ57" s="4">
        <f>'4.1 Comptes 2021 natures'!AZ57/'4.1 Comptes 2021 natures'!AZ2</f>
        <v>0</v>
      </c>
      <c r="BA57" s="4">
        <f>'4.1 Comptes 2021 natures'!BA57/'4.1 Comptes 2021 natures'!BA2</f>
        <v>0</v>
      </c>
      <c r="BB57" s="4">
        <f>'4.1 Comptes 2021 natures'!BB57/'4.1 Comptes 2021 natures'!BB2</f>
        <v>0</v>
      </c>
      <c r="BC57" s="4">
        <f>'4.1 Comptes 2021 natures'!BC57/'4.1 Comptes 2021 natures'!BC2</f>
        <v>0</v>
      </c>
      <c r="BD57" s="4">
        <f>'4.1 Comptes 2021 natures'!BD57/'4.1 Comptes 2021 natures'!BD2</f>
        <v>0</v>
      </c>
      <c r="BE57" s="4">
        <f>'4.1 Comptes 2021 natures'!BE57/'4.1 Comptes 2021 natures'!BE2</f>
        <v>0</v>
      </c>
      <c r="BF57" s="4">
        <f t="shared" ref="BF57:BF62" si="37">SUM(E57:BE57)</f>
        <v>9.7690941385435177E-3</v>
      </c>
      <c r="BG57" s="4">
        <f t="shared" ref="BG57:BG62" si="38">SUM(E57:W57)</f>
        <v>0</v>
      </c>
      <c r="BH57" s="4">
        <f t="shared" ref="BH57:BH62" si="39">SUM(X57:AJ57)</f>
        <v>0</v>
      </c>
      <c r="BI57" s="4">
        <f t="shared" ref="BI57:BI62" si="40">SUM(AK57:BE57)</f>
        <v>9.7690941385435177E-3</v>
      </c>
    </row>
    <row r="58" spans="2:61" x14ac:dyDescent="0.25">
      <c r="C58">
        <v>381</v>
      </c>
      <c r="D58" t="s">
        <v>123</v>
      </c>
      <c r="E58" s="4">
        <f>'4.1 Comptes 2021 natures'!E58/'4.1 Comptes 2021 natures'!E2</f>
        <v>0</v>
      </c>
      <c r="F58" s="4">
        <f>'4.1 Comptes 2021 natures'!F58/'4.1 Comptes 2021 natures'!F2</f>
        <v>0</v>
      </c>
      <c r="G58" s="4">
        <f>'4.1 Comptes 2021 natures'!G58/'4.1 Comptes 2021 natures'!G2</f>
        <v>0</v>
      </c>
      <c r="H58" s="4">
        <f>'4.1 Comptes 2021 natures'!H58/'4.1 Comptes 2021 natures'!H2</f>
        <v>0.77334851936218674</v>
      </c>
      <c r="I58" s="4">
        <f>'4.1 Comptes 2021 natures'!I58/'4.1 Comptes 2021 natures'!I2</f>
        <v>0</v>
      </c>
      <c r="J58" s="4">
        <f>'4.1 Comptes 2021 natures'!J58/'4.1 Comptes 2021 natures'!J2</f>
        <v>0</v>
      </c>
      <c r="K58" s="4">
        <f>'4.1 Comptes 2021 natures'!K58/'4.1 Comptes 2021 natures'!K2</f>
        <v>0</v>
      </c>
      <c r="L58" s="4">
        <f>'4.1 Comptes 2021 natures'!L58/'4.1 Comptes 2021 natures'!L2</f>
        <v>0</v>
      </c>
      <c r="M58" s="4">
        <f>'4.1 Comptes 2021 natures'!M58/'4.1 Comptes 2021 natures'!M2</f>
        <v>0</v>
      </c>
      <c r="N58" s="4">
        <f>'4.1 Comptes 2021 natures'!N58/'4.1 Comptes 2021 natures'!N2</f>
        <v>0</v>
      </c>
      <c r="O58" s="4">
        <f>'4.1 Comptes 2021 natures'!O58/'4.1 Comptes 2021 natures'!O2</f>
        <v>0.1594133039526236</v>
      </c>
      <c r="P58" s="4">
        <f>'4.1 Comptes 2021 natures'!P58/'4.1 Comptes 2021 natures'!P2</f>
        <v>0</v>
      </c>
      <c r="Q58" s="4">
        <f>'4.1 Comptes 2021 natures'!Q58/'4.1 Comptes 2021 natures'!Q2</f>
        <v>0</v>
      </c>
      <c r="R58" s="4">
        <f>'4.1 Comptes 2021 natures'!R58/'4.1 Comptes 2021 natures'!R2</f>
        <v>0</v>
      </c>
      <c r="S58" s="4">
        <f>'4.1 Comptes 2021 natures'!S58/'4.1 Comptes 2021 natures'!S2</f>
        <v>0</v>
      </c>
      <c r="T58" s="4">
        <f>'4.1 Comptes 2021 natures'!T58/'4.1 Comptes 2021 natures'!T2</f>
        <v>0</v>
      </c>
      <c r="U58" s="4">
        <f>'4.1 Comptes 2021 natures'!U58/'4.1 Comptes 2021 natures'!U2</f>
        <v>0</v>
      </c>
      <c r="V58" s="4">
        <f>'4.1 Comptes 2021 natures'!V58/'4.1 Comptes 2021 natures'!V2</f>
        <v>0</v>
      </c>
      <c r="W58" s="4">
        <f>'4.1 Comptes 2021 natures'!W58/'4.1 Comptes 2021 natures'!W2</f>
        <v>0</v>
      </c>
      <c r="X58" s="4">
        <f>'4.1 Comptes 2021 natures'!X58/'4.1 Comptes 2021 natures'!X2</f>
        <v>0</v>
      </c>
      <c r="Y58" s="4">
        <f>'4.1 Comptes 2021 natures'!Y58/'4.1 Comptes 2021 natures'!Y2</f>
        <v>0</v>
      </c>
      <c r="Z58" s="4">
        <f>'4.1 Comptes 2021 natures'!Z58/'4.1 Comptes 2021 natures'!Z2</f>
        <v>0</v>
      </c>
      <c r="AA58" s="4">
        <f>'4.1 Comptes 2021 natures'!AA58/'4.1 Comptes 2021 natures'!AA2</f>
        <v>0</v>
      </c>
      <c r="AB58" s="4">
        <f>'4.1 Comptes 2021 natures'!AB58/'4.1 Comptes 2021 natures'!AB2</f>
        <v>0</v>
      </c>
      <c r="AC58" s="4">
        <f>'4.1 Comptes 2021 natures'!AC58/'4.1 Comptes 2021 natures'!AC2</f>
        <v>0</v>
      </c>
      <c r="AD58" s="4">
        <f>'4.1 Comptes 2021 natures'!AD58/'4.1 Comptes 2021 natures'!AD2</f>
        <v>22.681883024251071</v>
      </c>
      <c r="AE58" s="4">
        <f>'4.1 Comptes 2021 natures'!AE58/'4.1 Comptes 2021 natures'!AE2</f>
        <v>0</v>
      </c>
      <c r="AF58" s="4">
        <f>'4.1 Comptes 2021 natures'!AF58/'4.1 Comptes 2021 natures'!AF2</f>
        <v>0</v>
      </c>
      <c r="AG58" s="4">
        <f>'4.1 Comptes 2021 natures'!AG58/'4.1 Comptes 2021 natures'!AG2</f>
        <v>0</v>
      </c>
      <c r="AH58" s="4">
        <f>'4.1 Comptes 2021 natures'!AH58/'4.1 Comptes 2021 natures'!AH2</f>
        <v>0</v>
      </c>
      <c r="AI58" s="4">
        <f>'4.1 Comptes 2021 natures'!AI58/'4.1 Comptes 2021 natures'!AI2</f>
        <v>0</v>
      </c>
      <c r="AJ58" s="4">
        <f>'4.1 Comptes 2021 natures'!AJ58/'4.1 Comptes 2021 natures'!AJ2</f>
        <v>0</v>
      </c>
      <c r="AK58" s="4">
        <f>'4.1 Comptes 2021 natures'!AK58/'4.1 Comptes 2021 natures'!AK2</f>
        <v>0</v>
      </c>
      <c r="AL58" s="4">
        <f>'4.1 Comptes 2021 natures'!AL58/'4.1 Comptes 2021 natures'!AL2</f>
        <v>0</v>
      </c>
      <c r="AM58" s="4">
        <f>'4.1 Comptes 2021 natures'!AM58/'4.1 Comptes 2021 natures'!AM2</f>
        <v>0</v>
      </c>
      <c r="AN58" s="4">
        <f>'4.1 Comptes 2021 natures'!AN58/'4.1 Comptes 2021 natures'!AN2</f>
        <v>0</v>
      </c>
      <c r="AO58" s="4">
        <f>'4.1 Comptes 2021 natures'!AO58/'4.1 Comptes 2021 natures'!AO2</f>
        <v>0</v>
      </c>
      <c r="AP58" s="4">
        <f>'4.1 Comptes 2021 natures'!AP58/'4.1 Comptes 2021 natures'!AP2</f>
        <v>0</v>
      </c>
      <c r="AQ58" s="4">
        <f>'4.1 Comptes 2021 natures'!AQ58/'4.1 Comptes 2021 natures'!AQ2</f>
        <v>0</v>
      </c>
      <c r="AR58" s="4">
        <f>'4.1 Comptes 2021 natures'!AR58/'4.1 Comptes 2021 natures'!AR2</f>
        <v>0</v>
      </c>
      <c r="AS58" s="4">
        <f>'4.1 Comptes 2021 natures'!AS58/'4.1 Comptes 2021 natures'!AS2</f>
        <v>0</v>
      </c>
      <c r="AT58" s="4">
        <f>'4.1 Comptes 2021 natures'!AT58/'4.1 Comptes 2021 natures'!AT2</f>
        <v>0</v>
      </c>
      <c r="AU58" s="4">
        <f>'4.1 Comptes 2021 natures'!AU58/'4.1 Comptes 2021 natures'!AU2</f>
        <v>0</v>
      </c>
      <c r="AV58" s="4">
        <f>'4.1 Comptes 2021 natures'!AV58/'4.1 Comptes 2021 natures'!AV2</f>
        <v>0</v>
      </c>
      <c r="AW58" s="4">
        <f>'4.1 Comptes 2021 natures'!AW58/'4.1 Comptes 2021 natures'!AW2</f>
        <v>14.272108843537415</v>
      </c>
      <c r="AX58" s="4">
        <f>'4.1 Comptes 2021 natures'!AX58/'4.1 Comptes 2021 natures'!AX2</f>
        <v>0</v>
      </c>
      <c r="AY58" s="4">
        <f>'4.1 Comptes 2021 natures'!AY58/'4.1 Comptes 2021 natures'!AY2</f>
        <v>0</v>
      </c>
      <c r="AZ58" s="4">
        <f>'4.1 Comptes 2021 natures'!AZ58/'4.1 Comptes 2021 natures'!AZ2</f>
        <v>0</v>
      </c>
      <c r="BA58" s="4">
        <f>'4.1 Comptes 2021 natures'!BA58/'4.1 Comptes 2021 natures'!BA2</f>
        <v>0</v>
      </c>
      <c r="BB58" s="4">
        <f>'4.1 Comptes 2021 natures'!BB58/'4.1 Comptes 2021 natures'!BB2</f>
        <v>0</v>
      </c>
      <c r="BC58" s="4">
        <f>'4.1 Comptes 2021 natures'!BC58/'4.1 Comptes 2021 natures'!BC2</f>
        <v>0</v>
      </c>
      <c r="BD58" s="4">
        <f>'4.1 Comptes 2021 natures'!BD58/'4.1 Comptes 2021 natures'!BD2</f>
        <v>0</v>
      </c>
      <c r="BE58" s="4">
        <f>'4.1 Comptes 2021 natures'!BE58/'4.1 Comptes 2021 natures'!BE2</f>
        <v>0</v>
      </c>
      <c r="BF58" s="4">
        <f t="shared" si="37"/>
        <v>37.886753691103294</v>
      </c>
      <c r="BG58" s="4">
        <f t="shared" si="38"/>
        <v>0.93276182331481028</v>
      </c>
      <c r="BH58" s="4">
        <f t="shared" si="39"/>
        <v>22.681883024251071</v>
      </c>
      <c r="BI58" s="4">
        <f t="shared" si="40"/>
        <v>14.272108843537415</v>
      </c>
    </row>
    <row r="59" spans="2:61" x14ac:dyDescent="0.25">
      <c r="C59">
        <v>384</v>
      </c>
      <c r="D59" t="s">
        <v>124</v>
      </c>
      <c r="E59" s="4">
        <f>'4.1 Comptes 2021 natures'!E59/'4.1 Comptes 2021 natures'!E2</f>
        <v>0</v>
      </c>
      <c r="F59" s="4">
        <f>'4.1 Comptes 2021 natures'!F59/'4.1 Comptes 2021 natures'!F2</f>
        <v>0</v>
      </c>
      <c r="G59" s="4">
        <f>'4.1 Comptes 2021 natures'!G59/'4.1 Comptes 2021 natures'!G2</f>
        <v>0</v>
      </c>
      <c r="H59" s="4">
        <f>'4.1 Comptes 2021 natures'!H59/'4.1 Comptes 2021 natures'!H2</f>
        <v>0</v>
      </c>
      <c r="I59" s="4">
        <f>'4.1 Comptes 2021 natures'!I59/'4.1 Comptes 2021 natures'!I2</f>
        <v>3.6239270386266093E-2</v>
      </c>
      <c r="J59" s="4">
        <f>'4.1 Comptes 2021 natures'!J59/'4.1 Comptes 2021 natures'!J2</f>
        <v>0</v>
      </c>
      <c r="K59" s="4">
        <f>'4.1 Comptes 2021 natures'!K59/'4.1 Comptes 2021 natures'!K2</f>
        <v>0</v>
      </c>
      <c r="L59" s="4">
        <f>'4.1 Comptes 2021 natures'!L59/'4.1 Comptes 2021 natures'!L2</f>
        <v>0</v>
      </c>
      <c r="M59" s="4">
        <f>'4.1 Comptes 2021 natures'!M59/'4.1 Comptes 2021 natures'!M2</f>
        <v>0</v>
      </c>
      <c r="N59" s="4">
        <f>'4.1 Comptes 2021 natures'!N59/'4.1 Comptes 2021 natures'!N2</f>
        <v>0</v>
      </c>
      <c r="O59" s="4">
        <f>'4.1 Comptes 2021 natures'!O59/'4.1 Comptes 2021 natures'!O2</f>
        <v>0</v>
      </c>
      <c r="P59" s="4">
        <f>'4.1 Comptes 2021 natures'!P59/'4.1 Comptes 2021 natures'!P2</f>
        <v>0</v>
      </c>
      <c r="Q59" s="4">
        <f>'4.1 Comptes 2021 natures'!Q59/'4.1 Comptes 2021 natures'!Q2</f>
        <v>0</v>
      </c>
      <c r="R59" s="4">
        <f>'4.1 Comptes 2021 natures'!R59/'4.1 Comptes 2021 natures'!R2</f>
        <v>0</v>
      </c>
      <c r="S59" s="4">
        <f>'4.1 Comptes 2021 natures'!S59/'4.1 Comptes 2021 natures'!S2</f>
        <v>0</v>
      </c>
      <c r="T59" s="4">
        <f>'4.1 Comptes 2021 natures'!T59/'4.1 Comptes 2021 natures'!T2</f>
        <v>0</v>
      </c>
      <c r="U59" s="4">
        <f>'4.1 Comptes 2021 natures'!U59/'4.1 Comptes 2021 natures'!U2</f>
        <v>0</v>
      </c>
      <c r="V59" s="4">
        <f>'4.1 Comptes 2021 natures'!V59/'4.1 Comptes 2021 natures'!V2</f>
        <v>0</v>
      </c>
      <c r="W59" s="4">
        <f>'4.1 Comptes 2021 natures'!W59/'4.1 Comptes 2021 natures'!W2</f>
        <v>0</v>
      </c>
      <c r="X59" s="4">
        <f>'4.1 Comptes 2021 natures'!X59/'4.1 Comptes 2021 natures'!X2</f>
        <v>0</v>
      </c>
      <c r="Y59" s="4">
        <f>'4.1 Comptes 2021 natures'!Y59/'4.1 Comptes 2021 natures'!Y2</f>
        <v>0</v>
      </c>
      <c r="Z59" s="4">
        <f>'4.1 Comptes 2021 natures'!Z59/'4.1 Comptes 2021 natures'!Z2</f>
        <v>0</v>
      </c>
      <c r="AA59" s="4">
        <f>'4.1 Comptes 2021 natures'!AA59/'4.1 Comptes 2021 natures'!AA2</f>
        <v>0</v>
      </c>
      <c r="AB59" s="4">
        <f>'4.1 Comptes 2021 natures'!AB59/'4.1 Comptes 2021 natures'!AB2</f>
        <v>0</v>
      </c>
      <c r="AC59" s="4">
        <f>'4.1 Comptes 2021 natures'!AC59/'4.1 Comptes 2021 natures'!AC2</f>
        <v>0</v>
      </c>
      <c r="AD59" s="4">
        <f>'4.1 Comptes 2021 natures'!AD59/'4.1 Comptes 2021 natures'!AD2</f>
        <v>0</v>
      </c>
      <c r="AE59" s="4">
        <f>'4.1 Comptes 2021 natures'!AE59/'4.1 Comptes 2021 natures'!AE2</f>
        <v>0</v>
      </c>
      <c r="AF59" s="4">
        <f>'4.1 Comptes 2021 natures'!AF59/'4.1 Comptes 2021 natures'!AF2</f>
        <v>0</v>
      </c>
      <c r="AG59" s="4">
        <f>'4.1 Comptes 2021 natures'!AG59/'4.1 Comptes 2021 natures'!AG2</f>
        <v>0</v>
      </c>
      <c r="AH59" s="4">
        <f>'4.1 Comptes 2021 natures'!AH59/'4.1 Comptes 2021 natures'!AH2</f>
        <v>0</v>
      </c>
      <c r="AI59" s="4">
        <f>'4.1 Comptes 2021 natures'!AI59/'4.1 Comptes 2021 natures'!AI2</f>
        <v>0</v>
      </c>
      <c r="AJ59" s="4">
        <f>'4.1 Comptes 2021 natures'!AJ59/'4.1 Comptes 2021 natures'!AJ2</f>
        <v>0</v>
      </c>
      <c r="AK59" s="4">
        <f>'4.1 Comptes 2021 natures'!AK59/'4.1 Comptes 2021 natures'!AK2</f>
        <v>0</v>
      </c>
      <c r="AL59" s="4">
        <f>'4.1 Comptes 2021 natures'!AL59/'4.1 Comptes 2021 natures'!AL2</f>
        <v>0</v>
      </c>
      <c r="AM59" s="4">
        <f>'4.1 Comptes 2021 natures'!AM59/'4.1 Comptes 2021 natures'!AM2</f>
        <v>0</v>
      </c>
      <c r="AN59" s="4">
        <f>'4.1 Comptes 2021 natures'!AN59/'4.1 Comptes 2021 natures'!AN2</f>
        <v>6.5319658119658124</v>
      </c>
      <c r="AO59" s="4">
        <f>'4.1 Comptes 2021 natures'!AO59/'4.1 Comptes 2021 natures'!AO2</f>
        <v>0</v>
      </c>
      <c r="AP59" s="4">
        <f>'4.1 Comptes 2021 natures'!AP59/'4.1 Comptes 2021 natures'!AP2</f>
        <v>0</v>
      </c>
      <c r="AQ59" s="4">
        <f>'4.1 Comptes 2021 natures'!AQ59/'4.1 Comptes 2021 natures'!AQ2</f>
        <v>0</v>
      </c>
      <c r="AR59" s="4">
        <f>'4.1 Comptes 2021 natures'!AR59/'4.1 Comptes 2021 natures'!AR2</f>
        <v>0</v>
      </c>
      <c r="AS59" s="4">
        <f>'4.1 Comptes 2021 natures'!AS59/'4.1 Comptes 2021 natures'!AS2</f>
        <v>0</v>
      </c>
      <c r="AT59" s="4">
        <f>'4.1 Comptes 2021 natures'!AT59/'4.1 Comptes 2021 natures'!AT2</f>
        <v>0</v>
      </c>
      <c r="AU59" s="4">
        <f>'4.1 Comptes 2021 natures'!AU59/'4.1 Comptes 2021 natures'!AU2</f>
        <v>0</v>
      </c>
      <c r="AV59" s="4">
        <f>'4.1 Comptes 2021 natures'!AV59/'4.1 Comptes 2021 natures'!AV2</f>
        <v>0</v>
      </c>
      <c r="AW59" s="4">
        <f>'4.1 Comptes 2021 natures'!AW59/'4.1 Comptes 2021 natures'!AW2</f>
        <v>0</v>
      </c>
      <c r="AX59" s="4">
        <f>'4.1 Comptes 2021 natures'!AX59/'4.1 Comptes 2021 natures'!AX2</f>
        <v>0</v>
      </c>
      <c r="AY59" s="4">
        <f>'4.1 Comptes 2021 natures'!AY59/'4.1 Comptes 2021 natures'!AY2</f>
        <v>0</v>
      </c>
      <c r="AZ59" s="4">
        <f>'4.1 Comptes 2021 natures'!AZ59/'4.1 Comptes 2021 natures'!AZ2</f>
        <v>0</v>
      </c>
      <c r="BA59" s="4">
        <f>'4.1 Comptes 2021 natures'!BA59/'4.1 Comptes 2021 natures'!BA2</f>
        <v>0</v>
      </c>
      <c r="BB59" s="4">
        <f>'4.1 Comptes 2021 natures'!BB59/'4.1 Comptes 2021 natures'!BB2</f>
        <v>0</v>
      </c>
      <c r="BC59" s="4">
        <f>'4.1 Comptes 2021 natures'!BC59/'4.1 Comptes 2021 natures'!BC2</f>
        <v>0</v>
      </c>
      <c r="BD59" s="4">
        <f>'4.1 Comptes 2021 natures'!BD59/'4.1 Comptes 2021 natures'!BD2</f>
        <v>2.4002474481905348E-2</v>
      </c>
      <c r="BE59" s="4">
        <f>'4.1 Comptes 2021 natures'!BE59/'4.1 Comptes 2021 natures'!BE2</f>
        <v>0</v>
      </c>
      <c r="BF59" s="4">
        <f t="shared" si="37"/>
        <v>6.5922075568339844</v>
      </c>
      <c r="BG59" s="4">
        <f t="shared" si="38"/>
        <v>3.6239270386266093E-2</v>
      </c>
      <c r="BH59" s="4">
        <f t="shared" si="39"/>
        <v>0</v>
      </c>
      <c r="BI59" s="4">
        <f t="shared" si="40"/>
        <v>6.555968286447718</v>
      </c>
    </row>
    <row r="60" spans="2:61" x14ac:dyDescent="0.25">
      <c r="C60">
        <v>385</v>
      </c>
      <c r="D60" t="s">
        <v>125</v>
      </c>
      <c r="E60" s="4">
        <f>'4.1 Comptes 2021 natures'!E60/'4.1 Comptes 2021 natures'!E2</f>
        <v>0</v>
      </c>
      <c r="F60" s="4">
        <f>'4.1 Comptes 2021 natures'!F60/'4.1 Comptes 2021 natures'!F2</f>
        <v>0</v>
      </c>
      <c r="G60" s="4">
        <f>'4.1 Comptes 2021 natures'!G60/'4.1 Comptes 2021 natures'!G2</f>
        <v>0</v>
      </c>
      <c r="H60" s="4">
        <f>'4.1 Comptes 2021 natures'!H60/'4.1 Comptes 2021 natures'!H2</f>
        <v>0</v>
      </c>
      <c r="I60" s="4">
        <f>'4.1 Comptes 2021 natures'!I60/'4.1 Comptes 2021 natures'!I2</f>
        <v>0</v>
      </c>
      <c r="J60" s="4">
        <f>'4.1 Comptes 2021 natures'!J60/'4.1 Comptes 2021 natures'!J2</f>
        <v>0</v>
      </c>
      <c r="K60" s="4">
        <f>'4.1 Comptes 2021 natures'!K60/'4.1 Comptes 2021 natures'!K2</f>
        <v>0</v>
      </c>
      <c r="L60" s="4">
        <f>'4.1 Comptes 2021 natures'!L60/'4.1 Comptes 2021 natures'!L2</f>
        <v>0</v>
      </c>
      <c r="M60" s="4">
        <f>'4.1 Comptes 2021 natures'!M60/'4.1 Comptes 2021 natures'!M2</f>
        <v>0</v>
      </c>
      <c r="N60" s="4">
        <f>'4.1 Comptes 2021 natures'!N60/'4.1 Comptes 2021 natures'!N2</f>
        <v>0</v>
      </c>
      <c r="O60" s="4">
        <f>'4.1 Comptes 2021 natures'!O60/'4.1 Comptes 2021 natures'!O2</f>
        <v>0</v>
      </c>
      <c r="P60" s="4">
        <f>'4.1 Comptes 2021 natures'!P60/'4.1 Comptes 2021 natures'!P2</f>
        <v>0</v>
      </c>
      <c r="Q60" s="4">
        <f>'4.1 Comptes 2021 natures'!Q60/'4.1 Comptes 2021 natures'!Q2</f>
        <v>0</v>
      </c>
      <c r="R60" s="4">
        <f>'4.1 Comptes 2021 natures'!R60/'4.1 Comptes 2021 natures'!R2</f>
        <v>0</v>
      </c>
      <c r="S60" s="4">
        <f>'4.1 Comptes 2021 natures'!S60/'4.1 Comptes 2021 natures'!S2</f>
        <v>0</v>
      </c>
      <c r="T60" s="4">
        <f>'4.1 Comptes 2021 natures'!T60/'4.1 Comptes 2021 natures'!T2</f>
        <v>0</v>
      </c>
      <c r="U60" s="4">
        <f>'4.1 Comptes 2021 natures'!U60/'4.1 Comptes 2021 natures'!U2</f>
        <v>0</v>
      </c>
      <c r="V60" s="4">
        <f>'4.1 Comptes 2021 natures'!V60/'4.1 Comptes 2021 natures'!V2</f>
        <v>0</v>
      </c>
      <c r="W60" s="4">
        <f>'4.1 Comptes 2021 natures'!W60/'4.1 Comptes 2021 natures'!W2</f>
        <v>0</v>
      </c>
      <c r="X60" s="4">
        <f>'4.1 Comptes 2021 natures'!X60/'4.1 Comptes 2021 natures'!X2</f>
        <v>0</v>
      </c>
      <c r="Y60" s="4">
        <f>'4.1 Comptes 2021 natures'!Y60/'4.1 Comptes 2021 natures'!Y2</f>
        <v>0</v>
      </c>
      <c r="Z60" s="4">
        <f>'4.1 Comptes 2021 natures'!Z60/'4.1 Comptes 2021 natures'!Z2</f>
        <v>0</v>
      </c>
      <c r="AA60" s="4">
        <f>'4.1 Comptes 2021 natures'!AA60/'4.1 Comptes 2021 natures'!AA2</f>
        <v>0</v>
      </c>
      <c r="AB60" s="4">
        <f>'4.1 Comptes 2021 natures'!AB60/'4.1 Comptes 2021 natures'!AB2</f>
        <v>0</v>
      </c>
      <c r="AC60" s="4">
        <f>'4.1 Comptes 2021 natures'!AC60/'4.1 Comptes 2021 natures'!AC2</f>
        <v>0</v>
      </c>
      <c r="AD60" s="4">
        <f>'4.1 Comptes 2021 natures'!AD60/'4.1 Comptes 2021 natures'!AD2</f>
        <v>0</v>
      </c>
      <c r="AE60" s="4">
        <f>'4.1 Comptes 2021 natures'!AE60/'4.1 Comptes 2021 natures'!AE2</f>
        <v>0</v>
      </c>
      <c r="AF60" s="4">
        <f>'4.1 Comptes 2021 natures'!AF60/'4.1 Comptes 2021 natures'!AF2</f>
        <v>0</v>
      </c>
      <c r="AG60" s="4">
        <f>'4.1 Comptes 2021 natures'!AG60/'4.1 Comptes 2021 natures'!AG2</f>
        <v>0</v>
      </c>
      <c r="AH60" s="4">
        <f>'4.1 Comptes 2021 natures'!AH60/'4.1 Comptes 2021 natures'!AH2</f>
        <v>0</v>
      </c>
      <c r="AI60" s="4">
        <f>'4.1 Comptes 2021 natures'!AI60/'4.1 Comptes 2021 natures'!AI2</f>
        <v>0</v>
      </c>
      <c r="AJ60" s="4">
        <f>'4.1 Comptes 2021 natures'!AJ60/'4.1 Comptes 2021 natures'!AJ2</f>
        <v>0</v>
      </c>
      <c r="AK60" s="4">
        <f>'4.1 Comptes 2021 natures'!AK60/'4.1 Comptes 2021 natures'!AK2</f>
        <v>0</v>
      </c>
      <c r="AL60" s="4">
        <f>'4.1 Comptes 2021 natures'!AL60/'4.1 Comptes 2021 natures'!AL2</f>
        <v>0</v>
      </c>
      <c r="AM60" s="4">
        <f>'4.1 Comptes 2021 natures'!AM60/'4.1 Comptes 2021 natures'!AM2</f>
        <v>0</v>
      </c>
      <c r="AN60" s="4">
        <f>'4.1 Comptes 2021 natures'!AN60/'4.1 Comptes 2021 natures'!AN2</f>
        <v>0</v>
      </c>
      <c r="AO60" s="4">
        <f>'4.1 Comptes 2021 natures'!AO60/'4.1 Comptes 2021 natures'!AO2</f>
        <v>0</v>
      </c>
      <c r="AP60" s="4">
        <f>'4.1 Comptes 2021 natures'!AP60/'4.1 Comptes 2021 natures'!AP2</f>
        <v>0</v>
      </c>
      <c r="AQ60" s="4">
        <f>'4.1 Comptes 2021 natures'!AQ60/'4.1 Comptes 2021 natures'!AQ2</f>
        <v>0</v>
      </c>
      <c r="AR60" s="4">
        <f>'4.1 Comptes 2021 natures'!AR60/'4.1 Comptes 2021 natures'!AR2</f>
        <v>0</v>
      </c>
      <c r="AS60" s="4">
        <f>'4.1 Comptes 2021 natures'!AS60/'4.1 Comptes 2021 natures'!AS2</f>
        <v>0</v>
      </c>
      <c r="AT60" s="4">
        <f>'4.1 Comptes 2021 natures'!AT60/'4.1 Comptes 2021 natures'!AT2</f>
        <v>0</v>
      </c>
      <c r="AU60" s="4">
        <f>'4.1 Comptes 2021 natures'!AU60/'4.1 Comptes 2021 natures'!AU2</f>
        <v>0</v>
      </c>
      <c r="AV60" s="4">
        <f>'4.1 Comptes 2021 natures'!AV60/'4.1 Comptes 2021 natures'!AV2</f>
        <v>0</v>
      </c>
      <c r="AW60" s="4">
        <f>'4.1 Comptes 2021 natures'!AW60/'4.1 Comptes 2021 natures'!AW2</f>
        <v>0</v>
      </c>
      <c r="AX60" s="4">
        <f>'4.1 Comptes 2021 natures'!AX60/'4.1 Comptes 2021 natures'!AX2</f>
        <v>0</v>
      </c>
      <c r="AY60" s="4">
        <f>'4.1 Comptes 2021 natures'!AY60/'4.1 Comptes 2021 natures'!AY2</f>
        <v>0</v>
      </c>
      <c r="AZ60" s="4">
        <f>'4.1 Comptes 2021 natures'!AZ60/'4.1 Comptes 2021 natures'!AZ2</f>
        <v>0</v>
      </c>
      <c r="BA60" s="4">
        <f>'4.1 Comptes 2021 natures'!BA60/'4.1 Comptes 2021 natures'!BA2</f>
        <v>0</v>
      </c>
      <c r="BB60" s="4">
        <f>'4.1 Comptes 2021 natures'!BB60/'4.1 Comptes 2021 natures'!BB2</f>
        <v>0</v>
      </c>
      <c r="BC60" s="4">
        <f>'4.1 Comptes 2021 natures'!BC60/'4.1 Comptes 2021 natures'!BC2</f>
        <v>19.782608695652176</v>
      </c>
      <c r="BD60" s="4">
        <f>'4.1 Comptes 2021 natures'!BD60/'4.1 Comptes 2021 natures'!BD2</f>
        <v>0</v>
      </c>
      <c r="BE60" s="4">
        <f>'4.1 Comptes 2021 natures'!BE60/'4.1 Comptes 2021 natures'!BE2</f>
        <v>0</v>
      </c>
      <c r="BF60" s="4">
        <f t="shared" si="37"/>
        <v>19.782608695652176</v>
      </c>
      <c r="BG60" s="4">
        <f t="shared" si="38"/>
        <v>0</v>
      </c>
      <c r="BH60" s="4">
        <f t="shared" si="39"/>
        <v>0</v>
      </c>
      <c r="BI60" s="4">
        <f t="shared" si="40"/>
        <v>19.782608695652176</v>
      </c>
    </row>
    <row r="61" spans="2:61" x14ac:dyDescent="0.25">
      <c r="C61">
        <v>386</v>
      </c>
      <c r="D61" t="s">
        <v>126</v>
      </c>
      <c r="E61" s="4">
        <f>'4.1 Comptes 2021 natures'!E61/'4.1 Comptes 2021 natures'!E2</f>
        <v>0</v>
      </c>
      <c r="F61" s="4">
        <f>'4.1 Comptes 2021 natures'!F61/'4.1 Comptes 2021 natures'!F2</f>
        <v>0</v>
      </c>
      <c r="G61" s="4">
        <f>'4.1 Comptes 2021 natures'!G61/'4.1 Comptes 2021 natures'!G2</f>
        <v>0</v>
      </c>
      <c r="H61" s="4">
        <f>'4.1 Comptes 2021 natures'!H61/'4.1 Comptes 2021 natures'!H2</f>
        <v>0</v>
      </c>
      <c r="I61" s="4">
        <f>'4.1 Comptes 2021 natures'!I61/'4.1 Comptes 2021 natures'!I2</f>
        <v>0</v>
      </c>
      <c r="J61" s="4">
        <f>'4.1 Comptes 2021 natures'!J61/'4.1 Comptes 2021 natures'!J2</f>
        <v>0</v>
      </c>
      <c r="K61" s="4">
        <f>'4.1 Comptes 2021 natures'!K61/'4.1 Comptes 2021 natures'!K2</f>
        <v>0</v>
      </c>
      <c r="L61" s="4">
        <f>'4.1 Comptes 2021 natures'!L61/'4.1 Comptes 2021 natures'!L2</f>
        <v>0</v>
      </c>
      <c r="M61" s="4">
        <f>'4.1 Comptes 2021 natures'!M61/'4.1 Comptes 2021 natures'!M2</f>
        <v>0</v>
      </c>
      <c r="N61" s="4">
        <f>'4.1 Comptes 2021 natures'!N61/'4.1 Comptes 2021 natures'!N2</f>
        <v>0</v>
      </c>
      <c r="O61" s="4">
        <f>'4.1 Comptes 2021 natures'!O61/'4.1 Comptes 2021 natures'!O2</f>
        <v>0</v>
      </c>
      <c r="P61" s="4">
        <f>'4.1 Comptes 2021 natures'!P61/'4.1 Comptes 2021 natures'!P2</f>
        <v>0</v>
      </c>
      <c r="Q61" s="4">
        <f>'4.1 Comptes 2021 natures'!Q61/'4.1 Comptes 2021 natures'!Q2</f>
        <v>0</v>
      </c>
      <c r="R61" s="4">
        <f>'4.1 Comptes 2021 natures'!R61/'4.1 Comptes 2021 natures'!R2</f>
        <v>0</v>
      </c>
      <c r="S61" s="4">
        <f>'4.1 Comptes 2021 natures'!S61/'4.1 Comptes 2021 natures'!S2</f>
        <v>0</v>
      </c>
      <c r="T61" s="4">
        <f>'4.1 Comptes 2021 natures'!T61/'4.1 Comptes 2021 natures'!T2</f>
        <v>0</v>
      </c>
      <c r="U61" s="4">
        <f>'4.1 Comptes 2021 natures'!U61/'4.1 Comptes 2021 natures'!U2</f>
        <v>0</v>
      </c>
      <c r="V61" s="4">
        <f>'4.1 Comptes 2021 natures'!V61/'4.1 Comptes 2021 natures'!V2</f>
        <v>0</v>
      </c>
      <c r="W61" s="4">
        <f>'4.1 Comptes 2021 natures'!W61/'4.1 Comptes 2021 natures'!W2</f>
        <v>0</v>
      </c>
      <c r="X61" s="4">
        <f>'4.1 Comptes 2021 natures'!X61/'4.1 Comptes 2021 natures'!X2</f>
        <v>0</v>
      </c>
      <c r="Y61" s="4">
        <f>'4.1 Comptes 2021 natures'!Y61/'4.1 Comptes 2021 natures'!Y2</f>
        <v>0</v>
      </c>
      <c r="Z61" s="4">
        <f>'4.1 Comptes 2021 natures'!Z61/'4.1 Comptes 2021 natures'!Z2</f>
        <v>0</v>
      </c>
      <c r="AA61" s="4">
        <f>'4.1 Comptes 2021 natures'!AA61/'4.1 Comptes 2021 natures'!AA2</f>
        <v>0</v>
      </c>
      <c r="AB61" s="4">
        <f>'4.1 Comptes 2021 natures'!AB61/'4.1 Comptes 2021 natures'!AB2</f>
        <v>0</v>
      </c>
      <c r="AC61" s="4">
        <f>'4.1 Comptes 2021 natures'!AC61/'4.1 Comptes 2021 natures'!AC2</f>
        <v>0</v>
      </c>
      <c r="AD61" s="4">
        <f>'4.1 Comptes 2021 natures'!AD61/'4.1 Comptes 2021 natures'!AD2</f>
        <v>5.2353780313837373</v>
      </c>
      <c r="AE61" s="4">
        <f>'4.1 Comptes 2021 natures'!AE61/'4.1 Comptes 2021 natures'!AE2</f>
        <v>0</v>
      </c>
      <c r="AF61" s="4">
        <f>'4.1 Comptes 2021 natures'!AF61/'4.1 Comptes 2021 natures'!AF2</f>
        <v>0</v>
      </c>
      <c r="AG61" s="4">
        <f>'4.1 Comptes 2021 natures'!AG61/'4.1 Comptes 2021 natures'!AG2</f>
        <v>0</v>
      </c>
      <c r="AH61" s="4">
        <f>'4.1 Comptes 2021 natures'!AH61/'4.1 Comptes 2021 natures'!AH2</f>
        <v>0</v>
      </c>
      <c r="AI61" s="4">
        <f>'4.1 Comptes 2021 natures'!AI61/'4.1 Comptes 2021 natures'!AI2</f>
        <v>0</v>
      </c>
      <c r="AJ61" s="4">
        <f>'4.1 Comptes 2021 natures'!AJ61/'4.1 Comptes 2021 natures'!AJ2</f>
        <v>0</v>
      </c>
      <c r="AK61" s="4">
        <f>'4.1 Comptes 2021 natures'!AK61/'4.1 Comptes 2021 natures'!AK2</f>
        <v>0</v>
      </c>
      <c r="AL61" s="4">
        <f>'4.1 Comptes 2021 natures'!AL61/'4.1 Comptes 2021 natures'!AL2</f>
        <v>0</v>
      </c>
      <c r="AM61" s="4">
        <f>'4.1 Comptes 2021 natures'!AM61/'4.1 Comptes 2021 natures'!AM2</f>
        <v>0</v>
      </c>
      <c r="AN61" s="4">
        <f>'4.1 Comptes 2021 natures'!AN61/'4.1 Comptes 2021 natures'!AN2</f>
        <v>0</v>
      </c>
      <c r="AO61" s="4">
        <f>'4.1 Comptes 2021 natures'!AO61/'4.1 Comptes 2021 natures'!AO2</f>
        <v>0</v>
      </c>
      <c r="AP61" s="4">
        <f>'4.1 Comptes 2021 natures'!AP61/'4.1 Comptes 2021 natures'!AP2</f>
        <v>0</v>
      </c>
      <c r="AQ61" s="4">
        <f>'4.1 Comptes 2021 natures'!AQ61/'4.1 Comptes 2021 natures'!AQ2</f>
        <v>0</v>
      </c>
      <c r="AR61" s="4">
        <f>'4.1 Comptes 2021 natures'!AR61/'4.1 Comptes 2021 natures'!AR2</f>
        <v>0</v>
      </c>
      <c r="AS61" s="4">
        <f>'4.1 Comptes 2021 natures'!AS61/'4.1 Comptes 2021 natures'!AS2</f>
        <v>0</v>
      </c>
      <c r="AT61" s="4">
        <f>'4.1 Comptes 2021 natures'!AT61/'4.1 Comptes 2021 natures'!AT2</f>
        <v>0</v>
      </c>
      <c r="AU61" s="4">
        <f>'4.1 Comptes 2021 natures'!AU61/'4.1 Comptes 2021 natures'!AU2</f>
        <v>0</v>
      </c>
      <c r="AV61" s="4">
        <f>'4.1 Comptes 2021 natures'!AV61/'4.1 Comptes 2021 natures'!AV2</f>
        <v>0</v>
      </c>
      <c r="AW61" s="4">
        <f>'4.1 Comptes 2021 natures'!AW61/'4.1 Comptes 2021 natures'!AW2</f>
        <v>0</v>
      </c>
      <c r="AX61" s="4">
        <f>'4.1 Comptes 2021 natures'!AX61/'4.1 Comptes 2021 natures'!AX2</f>
        <v>0</v>
      </c>
      <c r="AY61" s="4">
        <f>'4.1 Comptes 2021 natures'!AY61/'4.1 Comptes 2021 natures'!AY2</f>
        <v>0</v>
      </c>
      <c r="AZ61" s="4">
        <f>'4.1 Comptes 2021 natures'!AZ61/'4.1 Comptes 2021 natures'!AZ2</f>
        <v>0</v>
      </c>
      <c r="BA61" s="4">
        <f>'4.1 Comptes 2021 natures'!BA61/'4.1 Comptes 2021 natures'!BA2</f>
        <v>0</v>
      </c>
      <c r="BB61" s="4">
        <f>'4.1 Comptes 2021 natures'!BB61/'4.1 Comptes 2021 natures'!BB2</f>
        <v>0</v>
      </c>
      <c r="BC61" s="4">
        <f>'4.1 Comptes 2021 natures'!BC61/'4.1 Comptes 2021 natures'!BC2</f>
        <v>0</v>
      </c>
      <c r="BD61" s="4">
        <f>'4.1 Comptes 2021 natures'!BD61/'4.1 Comptes 2021 natures'!BD2</f>
        <v>0</v>
      </c>
      <c r="BE61" s="4">
        <f>'4.1 Comptes 2021 natures'!BE61/'4.1 Comptes 2021 natures'!BE2</f>
        <v>0</v>
      </c>
      <c r="BF61" s="4">
        <f t="shared" si="37"/>
        <v>5.2353780313837373</v>
      </c>
      <c r="BG61" s="4">
        <f t="shared" si="38"/>
        <v>0</v>
      </c>
      <c r="BH61" s="4">
        <f t="shared" si="39"/>
        <v>5.2353780313837373</v>
      </c>
      <c r="BI61" s="4">
        <f t="shared" si="40"/>
        <v>0</v>
      </c>
    </row>
    <row r="62" spans="2:61" x14ac:dyDescent="0.25">
      <c r="C62">
        <v>389</v>
      </c>
      <c r="D62" t="s">
        <v>127</v>
      </c>
      <c r="E62" s="4">
        <f>'4.1 Comptes 2021 natures'!E62/'4.1 Comptes 2021 natures'!E2</f>
        <v>0</v>
      </c>
      <c r="F62" s="4">
        <f>'4.1 Comptes 2021 natures'!F62/'4.1 Comptes 2021 natures'!F2</f>
        <v>0</v>
      </c>
      <c r="G62" s="4">
        <f>'4.1 Comptes 2021 natures'!G62/'4.1 Comptes 2021 natures'!G2</f>
        <v>0</v>
      </c>
      <c r="H62" s="4">
        <f>'4.1 Comptes 2021 natures'!H62/'4.1 Comptes 2021 natures'!H2</f>
        <v>0</v>
      </c>
      <c r="I62" s="4">
        <f>'4.1 Comptes 2021 natures'!I62/'4.1 Comptes 2021 natures'!I2</f>
        <v>126.07296137339056</v>
      </c>
      <c r="J62" s="4">
        <f>'4.1 Comptes 2021 natures'!J62/'4.1 Comptes 2021 natures'!J2</f>
        <v>0</v>
      </c>
      <c r="K62" s="4">
        <f>'4.1 Comptes 2021 natures'!K62/'4.1 Comptes 2021 natures'!K2</f>
        <v>37.70739064856712</v>
      </c>
      <c r="L62" s="4">
        <f>'4.1 Comptes 2021 natures'!L62/'4.1 Comptes 2021 natures'!L2</f>
        <v>0</v>
      </c>
      <c r="M62" s="4">
        <f>'4.1 Comptes 2021 natures'!M62/'4.1 Comptes 2021 natures'!M2</f>
        <v>0</v>
      </c>
      <c r="N62" s="4">
        <f>'4.1 Comptes 2021 natures'!N62/'4.1 Comptes 2021 natures'!N2</f>
        <v>0</v>
      </c>
      <c r="O62" s="4">
        <f>'4.1 Comptes 2021 natures'!O62/'4.1 Comptes 2021 natures'!O2</f>
        <v>0</v>
      </c>
      <c r="P62" s="4">
        <f>'4.1 Comptes 2021 natures'!P62/'4.1 Comptes 2021 natures'!P2</f>
        <v>0</v>
      </c>
      <c r="Q62" s="4">
        <f>'4.1 Comptes 2021 natures'!Q62/'4.1 Comptes 2021 natures'!Q2</f>
        <v>0</v>
      </c>
      <c r="R62" s="4">
        <f>'4.1 Comptes 2021 natures'!R62/'4.1 Comptes 2021 natures'!R2</f>
        <v>0</v>
      </c>
      <c r="S62" s="4">
        <f>'4.1 Comptes 2021 natures'!S62/'4.1 Comptes 2021 natures'!S2</f>
        <v>68.356647398843933</v>
      </c>
      <c r="T62" s="4">
        <f>'4.1 Comptes 2021 natures'!T62/'4.1 Comptes 2021 natures'!T2</f>
        <v>0</v>
      </c>
      <c r="U62" s="4">
        <f>'4.1 Comptes 2021 natures'!U62/'4.1 Comptes 2021 natures'!U2</f>
        <v>0</v>
      </c>
      <c r="V62" s="4">
        <f>'4.1 Comptes 2021 natures'!V62/'4.1 Comptes 2021 natures'!V2</f>
        <v>0</v>
      </c>
      <c r="W62" s="4">
        <f>'4.1 Comptes 2021 natures'!W62/'4.1 Comptes 2021 natures'!W2</f>
        <v>243.76388974914835</v>
      </c>
      <c r="X62" s="4">
        <f>'4.1 Comptes 2021 natures'!X62/'4.1 Comptes 2021 natures'!X2</f>
        <v>70.307677419354846</v>
      </c>
      <c r="Y62" s="4">
        <f>'4.1 Comptes 2021 natures'!Y62/'4.1 Comptes 2021 natures'!Y2</f>
        <v>0</v>
      </c>
      <c r="Z62" s="4">
        <f>'4.1 Comptes 2021 natures'!Z62/'4.1 Comptes 2021 natures'!Z2</f>
        <v>34.155650730411686</v>
      </c>
      <c r="AA62" s="4">
        <f>'4.1 Comptes 2021 natures'!AA62/'4.1 Comptes 2021 natures'!AA2</f>
        <v>0</v>
      </c>
      <c r="AB62" s="4">
        <f>'4.1 Comptes 2021 natures'!AB62/'4.1 Comptes 2021 natures'!AB2</f>
        <v>0</v>
      </c>
      <c r="AC62" s="4">
        <f>'4.1 Comptes 2021 natures'!AC62/'4.1 Comptes 2021 natures'!AC2</f>
        <v>0</v>
      </c>
      <c r="AD62" s="4">
        <f>'4.1 Comptes 2021 natures'!AD62/'4.1 Comptes 2021 natures'!AD2</f>
        <v>0</v>
      </c>
      <c r="AE62" s="4">
        <f>'4.1 Comptes 2021 natures'!AE62/'4.1 Comptes 2021 natures'!AE2</f>
        <v>0</v>
      </c>
      <c r="AF62" s="4">
        <f>'4.1 Comptes 2021 natures'!AF62/'4.1 Comptes 2021 natures'!AF2</f>
        <v>0</v>
      </c>
      <c r="AG62" s="4">
        <f>'4.1 Comptes 2021 natures'!AG62/'4.1 Comptes 2021 natures'!AG2</f>
        <v>104.76689366160294</v>
      </c>
      <c r="AH62" s="4">
        <f>'4.1 Comptes 2021 natures'!AH62/'4.1 Comptes 2021 natures'!AH2</f>
        <v>251.93798449612405</v>
      </c>
      <c r="AI62" s="4">
        <f>'4.1 Comptes 2021 natures'!AI62/'4.1 Comptes 2021 natures'!AI2</f>
        <v>180.18018018018017</v>
      </c>
      <c r="AJ62" s="4">
        <f>'4.1 Comptes 2021 natures'!AJ62/'4.1 Comptes 2021 natures'!AJ2</f>
        <v>0</v>
      </c>
      <c r="AK62" s="4">
        <f>'4.1 Comptes 2021 natures'!AK62/'4.1 Comptes 2021 natures'!AK2</f>
        <v>212.4060761501851</v>
      </c>
      <c r="AL62" s="4">
        <f>'4.1 Comptes 2021 natures'!AL62/'4.1 Comptes 2021 natures'!AL2</f>
        <v>438.49142984014208</v>
      </c>
      <c r="AM62" s="4">
        <f>'4.1 Comptes 2021 natures'!AM62/'4.1 Comptes 2021 natures'!AM2</f>
        <v>81.632653061224488</v>
      </c>
      <c r="AN62" s="4">
        <f>'4.1 Comptes 2021 natures'!AN62/'4.1 Comptes 2021 natures'!AN2</f>
        <v>18.005384615384617</v>
      </c>
      <c r="AO62" s="4">
        <f>'4.1 Comptes 2021 natures'!AO62/'4.1 Comptes 2021 natures'!AO2</f>
        <v>675.10548523206751</v>
      </c>
      <c r="AP62" s="4">
        <f>'4.1 Comptes 2021 natures'!AP62/'4.1 Comptes 2021 natures'!AP2</f>
        <v>0</v>
      </c>
      <c r="AQ62" s="4">
        <f>'4.1 Comptes 2021 natures'!AQ62/'4.1 Comptes 2021 natures'!AQ2</f>
        <v>0</v>
      </c>
      <c r="AR62" s="4">
        <f>'4.1 Comptes 2021 natures'!AR62/'4.1 Comptes 2021 natures'!AR2</f>
        <v>210.28037383177571</v>
      </c>
      <c r="AS62" s="4">
        <f>'4.1 Comptes 2021 natures'!AS62/'4.1 Comptes 2021 natures'!AS2</f>
        <v>376.1969904240766</v>
      </c>
      <c r="AT62" s="4">
        <f>'4.1 Comptes 2021 natures'!AT62/'4.1 Comptes 2021 natures'!AT2</f>
        <v>0</v>
      </c>
      <c r="AU62" s="4">
        <f>'4.1 Comptes 2021 natures'!AU62/'4.1 Comptes 2021 natures'!AU2</f>
        <v>0</v>
      </c>
      <c r="AV62" s="4">
        <f>'4.1 Comptes 2021 natures'!AV62/'4.1 Comptes 2021 natures'!AV2</f>
        <v>41.459369817578775</v>
      </c>
      <c r="AW62" s="4">
        <f>'4.1 Comptes 2021 natures'!AW62/'4.1 Comptes 2021 natures'!AW2</f>
        <v>338.44605442176874</v>
      </c>
      <c r="AX62" s="4">
        <f>'4.1 Comptes 2021 natures'!AX62/'4.1 Comptes 2021 natures'!AX2</f>
        <v>0</v>
      </c>
      <c r="AY62" s="4">
        <f>'4.1 Comptes 2021 natures'!AY62/'4.1 Comptes 2021 natures'!AY2</f>
        <v>0</v>
      </c>
      <c r="AZ62" s="4">
        <f>'4.1 Comptes 2021 natures'!AZ62/'4.1 Comptes 2021 natures'!AZ2</f>
        <v>117.85503830288745</v>
      </c>
      <c r="BA62" s="4">
        <f>'4.1 Comptes 2021 natures'!BA62/'4.1 Comptes 2021 natures'!BA2</f>
        <v>0</v>
      </c>
      <c r="BB62" s="4">
        <f>'4.1 Comptes 2021 natures'!BB62/'4.1 Comptes 2021 natures'!BB2</f>
        <v>54.961053122087606</v>
      </c>
      <c r="BC62" s="4">
        <f>'4.1 Comptes 2021 natures'!BC62/'4.1 Comptes 2021 natures'!BC2</f>
        <v>0</v>
      </c>
      <c r="BD62" s="4">
        <f>'4.1 Comptes 2021 natures'!BD62/'4.1 Comptes 2021 natures'!BD2</f>
        <v>0</v>
      </c>
      <c r="BE62" s="4">
        <f>'4.1 Comptes 2021 natures'!BE62/'4.1 Comptes 2021 natures'!BE2</f>
        <v>107.3345259391771</v>
      </c>
      <c r="BF62" s="4">
        <f t="shared" si="37"/>
        <v>3789.4237104159793</v>
      </c>
      <c r="BG62" s="4">
        <f t="shared" si="38"/>
        <v>475.90088916994995</v>
      </c>
      <c r="BH62" s="4">
        <f t="shared" si="39"/>
        <v>641.34838648767368</v>
      </c>
      <c r="BI62" s="4">
        <f t="shared" si="40"/>
        <v>2672.1744347583553</v>
      </c>
    </row>
    <row r="63" spans="2:61" x14ac:dyDescent="0.25">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row>
    <row r="64" spans="2:61" x14ac:dyDescent="0.25">
      <c r="B64" s="76">
        <v>39</v>
      </c>
      <c r="C64" s="76"/>
      <c r="D64" s="76" t="s">
        <v>128</v>
      </c>
      <c r="E64" s="77">
        <f>E65+E66+E67+E68+E69+E70+E71+E72</f>
        <v>0</v>
      </c>
      <c r="F64" s="77">
        <f t="shared" ref="F64:BI64" si="41">F65+F66+F67+F68+F69+F70+F71+F72</f>
        <v>89.689245283018863</v>
      </c>
      <c r="G64" s="77">
        <f t="shared" si="41"/>
        <v>15.815991471215352</v>
      </c>
      <c r="H64" s="77">
        <f t="shared" si="41"/>
        <v>87.053758542141225</v>
      </c>
      <c r="I64" s="77">
        <f t="shared" si="41"/>
        <v>85.112660944206013</v>
      </c>
      <c r="J64" s="77">
        <f t="shared" si="41"/>
        <v>21.457997010463377</v>
      </c>
      <c r="K64" s="77">
        <f t="shared" si="41"/>
        <v>73.935388386123677</v>
      </c>
      <c r="L64" s="77">
        <f t="shared" si="41"/>
        <v>413.74376552608379</v>
      </c>
      <c r="M64" s="77">
        <f t="shared" si="41"/>
        <v>68.593274466519503</v>
      </c>
      <c r="N64" s="77">
        <f t="shared" si="41"/>
        <v>0</v>
      </c>
      <c r="O64" s="77">
        <f t="shared" si="41"/>
        <v>8.5413854840930998</v>
      </c>
      <c r="P64" s="77">
        <f t="shared" si="41"/>
        <v>61.899628252788105</v>
      </c>
      <c r="Q64" s="77">
        <f t="shared" si="41"/>
        <v>0</v>
      </c>
      <c r="R64" s="77">
        <f t="shared" si="41"/>
        <v>106.23990498812351</v>
      </c>
      <c r="S64" s="77">
        <f t="shared" si="41"/>
        <v>0</v>
      </c>
      <c r="T64" s="77">
        <f t="shared" si="41"/>
        <v>14.233098591549295</v>
      </c>
      <c r="U64" s="77">
        <f t="shared" si="41"/>
        <v>0</v>
      </c>
      <c r="V64" s="77">
        <f t="shared" si="41"/>
        <v>128.88249999999999</v>
      </c>
      <c r="W64" s="77">
        <f t="shared" si="41"/>
        <v>80.797708268813864</v>
      </c>
      <c r="X64" s="77">
        <f t="shared" si="41"/>
        <v>0</v>
      </c>
      <c r="Y64" s="77">
        <f t="shared" si="41"/>
        <v>0</v>
      </c>
      <c r="Z64" s="77">
        <f t="shared" si="41"/>
        <v>55.776892430278885</v>
      </c>
      <c r="AA64" s="77">
        <f t="shared" si="41"/>
        <v>157.29166666666666</v>
      </c>
      <c r="AB64" s="77">
        <f t="shared" si="41"/>
        <v>0</v>
      </c>
      <c r="AC64" s="77">
        <f t="shared" si="41"/>
        <v>0</v>
      </c>
      <c r="AD64" s="77">
        <f t="shared" si="41"/>
        <v>82.75435092724679</v>
      </c>
      <c r="AE64" s="77">
        <f t="shared" si="41"/>
        <v>138.18377659574466</v>
      </c>
      <c r="AF64" s="77">
        <f t="shared" si="41"/>
        <v>330.97333333333336</v>
      </c>
      <c r="AG64" s="77">
        <f t="shared" si="41"/>
        <v>3.3343897328444214</v>
      </c>
      <c r="AH64" s="77">
        <f t="shared" si="41"/>
        <v>9.224806201550388</v>
      </c>
      <c r="AI64" s="77">
        <f t="shared" si="41"/>
        <v>0</v>
      </c>
      <c r="AJ64" s="77">
        <f t="shared" si="41"/>
        <v>5.3709302325581394</v>
      </c>
      <c r="AK64" s="77">
        <f t="shared" si="41"/>
        <v>49.180327868852459</v>
      </c>
      <c r="AL64" s="77">
        <f t="shared" si="41"/>
        <v>52.706127886323266</v>
      </c>
      <c r="AM64" s="77">
        <f t="shared" si="41"/>
        <v>2.6040816326530614</v>
      </c>
      <c r="AN64" s="77">
        <f t="shared" si="41"/>
        <v>2.0512820512820511</v>
      </c>
      <c r="AO64" s="77">
        <f t="shared" si="41"/>
        <v>30.461434599156121</v>
      </c>
      <c r="AP64" s="77">
        <f t="shared" si="41"/>
        <v>139.23341121495326</v>
      </c>
      <c r="AQ64" s="77">
        <f t="shared" si="41"/>
        <v>0</v>
      </c>
      <c r="AR64" s="77">
        <f t="shared" si="41"/>
        <v>0</v>
      </c>
      <c r="AS64" s="77">
        <f t="shared" si="41"/>
        <v>176.22440492476062</v>
      </c>
      <c r="AT64" s="77">
        <f t="shared" si="41"/>
        <v>0</v>
      </c>
      <c r="AU64" s="77">
        <f t="shared" si="41"/>
        <v>0</v>
      </c>
      <c r="AV64" s="77">
        <f t="shared" si="41"/>
        <v>33.880286069651739</v>
      </c>
      <c r="AW64" s="77">
        <f t="shared" si="41"/>
        <v>0</v>
      </c>
      <c r="AX64" s="77">
        <f t="shared" si="41"/>
        <v>39.334864864864862</v>
      </c>
      <c r="AY64" s="77">
        <f t="shared" si="41"/>
        <v>0</v>
      </c>
      <c r="AZ64" s="77">
        <f t="shared" si="41"/>
        <v>56.977666470241608</v>
      </c>
      <c r="BA64" s="77">
        <f t="shared" si="41"/>
        <v>0</v>
      </c>
      <c r="BB64" s="77">
        <f t="shared" si="41"/>
        <v>142.88642124883503</v>
      </c>
      <c r="BC64" s="77">
        <f t="shared" si="41"/>
        <v>13.663586956521739</v>
      </c>
      <c r="BD64" s="77">
        <f t="shared" si="41"/>
        <v>0</v>
      </c>
      <c r="BE64" s="77">
        <f t="shared" si="41"/>
        <v>27.728085867620752</v>
      </c>
      <c r="BF64" s="77">
        <f t="shared" si="41"/>
        <v>2805.8384349910793</v>
      </c>
      <c r="BG64" s="77">
        <f t="shared" si="41"/>
        <v>1255.9963072151397</v>
      </c>
      <c r="BH64" s="77">
        <f t="shared" si="41"/>
        <v>782.9101461202232</v>
      </c>
      <c r="BI64" s="77">
        <f t="shared" si="41"/>
        <v>766.93198165571653</v>
      </c>
    </row>
    <row r="65" spans="1:61" x14ac:dyDescent="0.25">
      <c r="C65">
        <v>390</v>
      </c>
      <c r="D65" t="s">
        <v>129</v>
      </c>
      <c r="E65" s="4">
        <f>'4.1 Comptes 2021 natures'!E65/'4.1 Comptes 2021 natures'!E2</f>
        <v>0</v>
      </c>
      <c r="F65" s="4">
        <f>'4.1 Comptes 2021 natures'!F65/'4.1 Comptes 2021 natures'!F2</f>
        <v>0.75471698113207553</v>
      </c>
      <c r="G65" s="4">
        <f>'4.1 Comptes 2021 natures'!G65/'4.1 Comptes 2021 natures'!G2</f>
        <v>0</v>
      </c>
      <c r="H65" s="4">
        <f>'4.1 Comptes 2021 natures'!H65/'4.1 Comptes 2021 natures'!H2</f>
        <v>0</v>
      </c>
      <c r="I65" s="4">
        <f>'4.1 Comptes 2021 natures'!I65/'4.1 Comptes 2021 natures'!I2</f>
        <v>0</v>
      </c>
      <c r="J65" s="4">
        <f>'4.1 Comptes 2021 natures'!J65/'4.1 Comptes 2021 natures'!J2</f>
        <v>0</v>
      </c>
      <c r="K65" s="4">
        <f>'4.1 Comptes 2021 natures'!K65/'4.1 Comptes 2021 natures'!K2</f>
        <v>0</v>
      </c>
      <c r="L65" s="4">
        <f>'4.1 Comptes 2021 natures'!L65/'4.1 Comptes 2021 natures'!L2</f>
        <v>3.2053850468787561</v>
      </c>
      <c r="M65" s="4">
        <f>'4.1 Comptes 2021 natures'!M65/'4.1 Comptes 2021 natures'!M2</f>
        <v>0.88300220750551872</v>
      </c>
      <c r="N65" s="4">
        <f>'4.1 Comptes 2021 natures'!N65/'4.1 Comptes 2021 natures'!N2</f>
        <v>0</v>
      </c>
      <c r="O65" s="4">
        <f>'4.1 Comptes 2021 natures'!O65/'4.1 Comptes 2021 natures'!O2</f>
        <v>0</v>
      </c>
      <c r="P65" s="4">
        <f>'4.1 Comptes 2021 natures'!P65/'4.1 Comptes 2021 natures'!P2</f>
        <v>0</v>
      </c>
      <c r="Q65" s="4">
        <f>'4.1 Comptes 2021 natures'!Q65/'4.1 Comptes 2021 natures'!Q2</f>
        <v>0</v>
      </c>
      <c r="R65" s="4">
        <f>'4.1 Comptes 2021 natures'!R65/'4.1 Comptes 2021 natures'!R2</f>
        <v>0</v>
      </c>
      <c r="S65" s="4">
        <f>'4.1 Comptes 2021 natures'!S65/'4.1 Comptes 2021 natures'!S2</f>
        <v>0</v>
      </c>
      <c r="T65" s="4">
        <f>'4.1 Comptes 2021 natures'!T65/'4.1 Comptes 2021 natures'!T2</f>
        <v>14.233098591549295</v>
      </c>
      <c r="U65" s="4">
        <f>'4.1 Comptes 2021 natures'!U65/'4.1 Comptes 2021 natures'!U2</f>
        <v>0</v>
      </c>
      <c r="V65" s="4">
        <f>'4.1 Comptes 2021 natures'!V65/'4.1 Comptes 2021 natures'!V2</f>
        <v>0</v>
      </c>
      <c r="W65" s="4">
        <f>'4.1 Comptes 2021 natures'!W65/'4.1 Comptes 2021 natures'!W2</f>
        <v>4.0260142458965626</v>
      </c>
      <c r="X65" s="4">
        <f>'4.1 Comptes 2021 natures'!X65/'4.1 Comptes 2021 natures'!X2</f>
        <v>0</v>
      </c>
      <c r="Y65" s="4">
        <f>'4.1 Comptes 2021 natures'!Y65/'4.1 Comptes 2021 natures'!Y2</f>
        <v>0</v>
      </c>
      <c r="Z65" s="4">
        <f>'4.1 Comptes 2021 natures'!Z65/'4.1 Comptes 2021 natures'!Z2</f>
        <v>0</v>
      </c>
      <c r="AA65" s="4">
        <f>'4.1 Comptes 2021 natures'!AA65/'4.1 Comptes 2021 natures'!AA2</f>
        <v>0</v>
      </c>
      <c r="AB65" s="4">
        <f>'4.1 Comptes 2021 natures'!AB65/'4.1 Comptes 2021 natures'!AB2</f>
        <v>0</v>
      </c>
      <c r="AC65" s="4">
        <f>'4.1 Comptes 2021 natures'!AC65/'4.1 Comptes 2021 natures'!AC2</f>
        <v>0</v>
      </c>
      <c r="AD65" s="4">
        <f>'4.1 Comptes 2021 natures'!AD65/'4.1 Comptes 2021 natures'!AD2</f>
        <v>1.6405135520684737</v>
      </c>
      <c r="AE65" s="4">
        <f>'4.1 Comptes 2021 natures'!AE65/'4.1 Comptes 2021 natures'!AE2</f>
        <v>0</v>
      </c>
      <c r="AF65" s="4">
        <f>'4.1 Comptes 2021 natures'!AF65/'4.1 Comptes 2021 natures'!AF2</f>
        <v>0</v>
      </c>
      <c r="AG65" s="4">
        <f>'4.1 Comptes 2021 natures'!AG65/'4.1 Comptes 2021 natures'!AG2</f>
        <v>2.4173913043478263</v>
      </c>
      <c r="AH65" s="4">
        <f>'4.1 Comptes 2021 natures'!AH65/'4.1 Comptes 2021 natures'!AH2</f>
        <v>0</v>
      </c>
      <c r="AI65" s="4">
        <f>'4.1 Comptes 2021 natures'!AI65/'4.1 Comptes 2021 natures'!AI2</f>
        <v>0</v>
      </c>
      <c r="AJ65" s="4">
        <f>'4.1 Comptes 2021 natures'!AJ65/'4.1 Comptes 2021 natures'!AJ2</f>
        <v>0</v>
      </c>
      <c r="AK65" s="4">
        <f>'4.1 Comptes 2021 natures'!AK65/'4.1 Comptes 2021 natures'!AK2</f>
        <v>0</v>
      </c>
      <c r="AL65" s="4">
        <f>'4.1 Comptes 2021 natures'!AL65/'4.1 Comptes 2021 natures'!AL2</f>
        <v>0</v>
      </c>
      <c r="AM65" s="4">
        <f>'4.1 Comptes 2021 natures'!AM65/'4.1 Comptes 2021 natures'!AM2</f>
        <v>0</v>
      </c>
      <c r="AN65" s="4">
        <f>'4.1 Comptes 2021 natures'!AN65/'4.1 Comptes 2021 natures'!AN2</f>
        <v>0</v>
      </c>
      <c r="AO65" s="4">
        <f>'4.1 Comptes 2021 natures'!AO65/'4.1 Comptes 2021 natures'!AO2</f>
        <v>0</v>
      </c>
      <c r="AP65" s="4">
        <f>'4.1 Comptes 2021 natures'!AP65/'4.1 Comptes 2021 natures'!AP2</f>
        <v>2.3364485981308412</v>
      </c>
      <c r="AQ65" s="4">
        <f>'4.1 Comptes 2021 natures'!AQ65/'4.1 Comptes 2021 natures'!AQ2</f>
        <v>0</v>
      </c>
      <c r="AR65" s="4">
        <f>'4.1 Comptes 2021 natures'!AR65/'4.1 Comptes 2021 natures'!AR2</f>
        <v>0</v>
      </c>
      <c r="AS65" s="4">
        <f>'4.1 Comptes 2021 natures'!AS65/'4.1 Comptes 2021 natures'!AS2</f>
        <v>0</v>
      </c>
      <c r="AT65" s="4">
        <f>'4.1 Comptes 2021 natures'!AT65/'4.1 Comptes 2021 natures'!AT2</f>
        <v>0</v>
      </c>
      <c r="AU65" s="4">
        <f>'4.1 Comptes 2021 natures'!AU65/'4.1 Comptes 2021 natures'!AU2</f>
        <v>0</v>
      </c>
      <c r="AV65" s="4">
        <f>'4.1 Comptes 2021 natures'!AV65/'4.1 Comptes 2021 natures'!AV2</f>
        <v>0</v>
      </c>
      <c r="AW65" s="4">
        <f>'4.1 Comptes 2021 natures'!AW65/'4.1 Comptes 2021 natures'!AW2</f>
        <v>0</v>
      </c>
      <c r="AX65" s="4">
        <f>'4.1 Comptes 2021 natures'!AX65/'4.1 Comptes 2021 natures'!AX2</f>
        <v>0</v>
      </c>
      <c r="AY65" s="4">
        <f>'4.1 Comptes 2021 natures'!AY65/'4.1 Comptes 2021 natures'!AY2</f>
        <v>0</v>
      </c>
      <c r="AZ65" s="4">
        <f>'4.1 Comptes 2021 natures'!AZ65/'4.1 Comptes 2021 natures'!AZ2</f>
        <v>0</v>
      </c>
      <c r="BA65" s="4">
        <f>'4.1 Comptes 2021 natures'!BA65/'4.1 Comptes 2021 natures'!BA2</f>
        <v>0</v>
      </c>
      <c r="BB65" s="4">
        <f>'4.1 Comptes 2021 natures'!BB65/'4.1 Comptes 2021 natures'!BB2</f>
        <v>0</v>
      </c>
      <c r="BC65" s="4">
        <f>'4.1 Comptes 2021 natures'!BC65/'4.1 Comptes 2021 natures'!BC2</f>
        <v>0</v>
      </c>
      <c r="BD65" s="4">
        <f>'4.1 Comptes 2021 natures'!BD65/'4.1 Comptes 2021 natures'!BD2</f>
        <v>0</v>
      </c>
      <c r="BE65" s="4">
        <f>'4.1 Comptes 2021 natures'!BE65/'4.1 Comptes 2021 natures'!BE2</f>
        <v>0</v>
      </c>
      <c r="BF65" s="4">
        <f t="shared" ref="BF65:BF73" si="42">SUM(E65:BE65)</f>
        <v>29.496570527509348</v>
      </c>
      <c r="BG65" s="4">
        <f t="shared" ref="BG65:BG73" si="43">SUM(E65:W65)</f>
        <v>23.102217072962208</v>
      </c>
      <c r="BH65" s="4">
        <f t="shared" ref="BH65:BH73" si="44">SUM(X65:AJ65)</f>
        <v>4.0579048564163003</v>
      </c>
      <c r="BI65" s="4">
        <f t="shared" ref="BI65:BI73" si="45">SUM(AK65:BE65)</f>
        <v>2.3364485981308412</v>
      </c>
    </row>
    <row r="66" spans="1:61" x14ac:dyDescent="0.25">
      <c r="C66">
        <v>391</v>
      </c>
      <c r="D66" t="s">
        <v>130</v>
      </c>
      <c r="E66" s="4">
        <f>'4.1 Comptes 2021 natures'!E66/'4.1 Comptes 2021 natures'!E2</f>
        <v>0</v>
      </c>
      <c r="F66" s="4">
        <f>'4.1 Comptes 2021 natures'!F66/'4.1 Comptes 2021 natures'!F2</f>
        <v>9.9818867924528298</v>
      </c>
      <c r="G66" s="4">
        <f>'4.1 Comptes 2021 natures'!G66/'4.1 Comptes 2021 natures'!G2</f>
        <v>9.3816631130063968</v>
      </c>
      <c r="H66" s="4">
        <f>'4.1 Comptes 2021 natures'!H66/'4.1 Comptes 2021 natures'!H2</f>
        <v>86.242824601366735</v>
      </c>
      <c r="I66" s="4">
        <f>'4.1 Comptes 2021 natures'!I66/'4.1 Comptes 2021 natures'!I2</f>
        <v>2.2800429184549356</v>
      </c>
      <c r="J66" s="4">
        <f>'4.1 Comptes 2021 natures'!J66/'4.1 Comptes 2021 natures'!J2</f>
        <v>21.457997010463377</v>
      </c>
      <c r="K66" s="4">
        <f>'4.1 Comptes 2021 natures'!K66/'4.1 Comptes 2021 natures'!K2</f>
        <v>48.925339366515836</v>
      </c>
      <c r="L66" s="4">
        <f>'4.1 Comptes 2021 natures'!L66/'4.1 Comptes 2021 natures'!L2</f>
        <v>79.700637070278063</v>
      </c>
      <c r="M66" s="4">
        <f>'4.1 Comptes 2021 natures'!M66/'4.1 Comptes 2021 natures'!M2</f>
        <v>42.782192788815308</v>
      </c>
      <c r="N66" s="4">
        <f>'4.1 Comptes 2021 natures'!N66/'4.1 Comptes 2021 natures'!N2</f>
        <v>0</v>
      </c>
      <c r="O66" s="4">
        <f>'4.1 Comptes 2021 natures'!O66/'4.1 Comptes 2021 natures'!O2</f>
        <v>0</v>
      </c>
      <c r="P66" s="4">
        <f>'4.1 Comptes 2021 natures'!P66/'4.1 Comptes 2021 natures'!P2</f>
        <v>61.899628252788105</v>
      </c>
      <c r="Q66" s="4">
        <f>'4.1 Comptes 2021 natures'!Q66/'4.1 Comptes 2021 natures'!Q2</f>
        <v>0</v>
      </c>
      <c r="R66" s="4">
        <f>'4.1 Comptes 2021 natures'!R66/'4.1 Comptes 2021 natures'!R2</f>
        <v>106.23990498812351</v>
      </c>
      <c r="S66" s="4">
        <f>'4.1 Comptes 2021 natures'!S66/'4.1 Comptes 2021 natures'!S2</f>
        <v>0</v>
      </c>
      <c r="T66" s="4">
        <f>'4.1 Comptes 2021 natures'!T66/'4.1 Comptes 2021 natures'!T2</f>
        <v>0</v>
      </c>
      <c r="U66" s="4">
        <f>'4.1 Comptes 2021 natures'!U66/'4.1 Comptes 2021 natures'!U2</f>
        <v>0</v>
      </c>
      <c r="V66" s="4">
        <f>'4.1 Comptes 2021 natures'!V66/'4.1 Comptes 2021 natures'!V2</f>
        <v>128.88249999999999</v>
      </c>
      <c r="W66" s="4">
        <f>'4.1 Comptes 2021 natures'!W66/'4.1 Comptes 2021 natures'!W2</f>
        <v>27.996283679157635</v>
      </c>
      <c r="X66" s="4">
        <f>'4.1 Comptes 2021 natures'!X66/'4.1 Comptes 2021 natures'!X2</f>
        <v>0</v>
      </c>
      <c r="Y66" s="4">
        <f>'4.1 Comptes 2021 natures'!Y66/'4.1 Comptes 2021 natures'!Y2</f>
        <v>0</v>
      </c>
      <c r="Z66" s="4">
        <f>'4.1 Comptes 2021 natures'!Z66/'4.1 Comptes 2021 natures'!Z2</f>
        <v>0</v>
      </c>
      <c r="AA66" s="4">
        <f>'4.1 Comptes 2021 natures'!AA66/'4.1 Comptes 2021 natures'!AA2</f>
        <v>157.29166666666666</v>
      </c>
      <c r="AB66" s="4">
        <f>'4.1 Comptes 2021 natures'!AB66/'4.1 Comptes 2021 natures'!AB2</f>
        <v>0</v>
      </c>
      <c r="AC66" s="4">
        <f>'4.1 Comptes 2021 natures'!AC66/'4.1 Comptes 2021 natures'!AC2</f>
        <v>0</v>
      </c>
      <c r="AD66" s="4">
        <f>'4.1 Comptes 2021 natures'!AD66/'4.1 Comptes 2021 natures'!AD2</f>
        <v>81.113837375178321</v>
      </c>
      <c r="AE66" s="4">
        <f>'4.1 Comptes 2021 natures'!AE66/'4.1 Comptes 2021 natures'!AE2</f>
        <v>138.18377659574466</v>
      </c>
      <c r="AF66" s="4">
        <f>'4.1 Comptes 2021 natures'!AF66/'4.1 Comptes 2021 natures'!AF2</f>
        <v>132.69990476190475</v>
      </c>
      <c r="AG66" s="4">
        <f>'4.1 Comptes 2021 natures'!AG66/'4.1 Comptes 2021 natures'!AG2</f>
        <v>0.91699842849659507</v>
      </c>
      <c r="AH66" s="4">
        <f>'4.1 Comptes 2021 natures'!AH66/'4.1 Comptes 2021 natures'!AH2</f>
        <v>9.224806201550388</v>
      </c>
      <c r="AI66" s="4">
        <f>'4.1 Comptes 2021 natures'!AI66/'4.1 Comptes 2021 natures'!AI2</f>
        <v>0</v>
      </c>
      <c r="AJ66" s="4">
        <f>'4.1 Comptes 2021 natures'!AJ66/'4.1 Comptes 2021 natures'!AJ2</f>
        <v>0</v>
      </c>
      <c r="AK66" s="4">
        <f>'4.1 Comptes 2021 natures'!AK66/'4.1 Comptes 2021 natures'!AK2</f>
        <v>49.180327868852459</v>
      </c>
      <c r="AL66" s="4">
        <f>'4.1 Comptes 2021 natures'!AL66/'4.1 Comptes 2021 natures'!AL2</f>
        <v>0</v>
      </c>
      <c r="AM66" s="4">
        <f>'4.1 Comptes 2021 natures'!AM66/'4.1 Comptes 2021 natures'!AM2</f>
        <v>2.6040816326530614</v>
      </c>
      <c r="AN66" s="4">
        <f>'4.1 Comptes 2021 natures'!AN66/'4.1 Comptes 2021 natures'!AN2</f>
        <v>2.0512820512820511</v>
      </c>
      <c r="AO66" s="4">
        <f>'4.1 Comptes 2021 natures'!AO66/'4.1 Comptes 2021 natures'!AO2</f>
        <v>30.461434599156121</v>
      </c>
      <c r="AP66" s="4">
        <f>'4.1 Comptes 2021 natures'!AP66/'4.1 Comptes 2021 natures'!AP2</f>
        <v>92.561993769470405</v>
      </c>
      <c r="AQ66" s="4">
        <f>'4.1 Comptes 2021 natures'!AQ66/'4.1 Comptes 2021 natures'!AQ2</f>
        <v>0</v>
      </c>
      <c r="AR66" s="4">
        <f>'4.1 Comptes 2021 natures'!AR66/'4.1 Comptes 2021 natures'!AR2</f>
        <v>0</v>
      </c>
      <c r="AS66" s="4">
        <f>'4.1 Comptes 2021 natures'!AS66/'4.1 Comptes 2021 natures'!AS2</f>
        <v>67.292818057455548</v>
      </c>
      <c r="AT66" s="4">
        <f>'4.1 Comptes 2021 natures'!AT66/'4.1 Comptes 2021 natures'!AT2</f>
        <v>0</v>
      </c>
      <c r="AU66" s="4">
        <f>'4.1 Comptes 2021 natures'!AU66/'4.1 Comptes 2021 natures'!AU2</f>
        <v>0</v>
      </c>
      <c r="AV66" s="4">
        <f>'4.1 Comptes 2021 natures'!AV66/'4.1 Comptes 2021 natures'!AV2</f>
        <v>33.880286069651739</v>
      </c>
      <c r="AW66" s="4">
        <f>'4.1 Comptes 2021 natures'!AW66/'4.1 Comptes 2021 natures'!AW2</f>
        <v>0</v>
      </c>
      <c r="AX66" s="4">
        <f>'4.1 Comptes 2021 natures'!AX66/'4.1 Comptes 2021 natures'!AX2</f>
        <v>0</v>
      </c>
      <c r="AY66" s="4">
        <f>'4.1 Comptes 2021 natures'!AY66/'4.1 Comptes 2021 natures'!AY2</f>
        <v>0</v>
      </c>
      <c r="AZ66" s="4">
        <f>'4.1 Comptes 2021 natures'!AZ66/'4.1 Comptes 2021 natures'!AZ2</f>
        <v>56.38839127872717</v>
      </c>
      <c r="BA66" s="4">
        <f>'4.1 Comptes 2021 natures'!BA66/'4.1 Comptes 2021 natures'!BA2</f>
        <v>0</v>
      </c>
      <c r="BB66" s="4">
        <f>'4.1 Comptes 2021 natures'!BB66/'4.1 Comptes 2021 natures'!BB2</f>
        <v>142.88642124883503</v>
      </c>
      <c r="BC66" s="4">
        <f>'4.1 Comptes 2021 natures'!BC66/'4.1 Comptes 2021 natures'!BC2</f>
        <v>0</v>
      </c>
      <c r="BD66" s="4">
        <f>'4.1 Comptes 2021 natures'!BD66/'4.1 Comptes 2021 natures'!BD2</f>
        <v>0</v>
      </c>
      <c r="BE66" s="4">
        <f>'4.1 Comptes 2021 natures'!BE66/'4.1 Comptes 2021 natures'!BE2</f>
        <v>27.728085867620752</v>
      </c>
      <c r="BF66" s="4">
        <f t="shared" si="42"/>
        <v>1650.2370130546683</v>
      </c>
      <c r="BG66" s="4">
        <f t="shared" si="43"/>
        <v>625.77090058142267</v>
      </c>
      <c r="BH66" s="4">
        <f t="shared" si="44"/>
        <v>519.43099002954136</v>
      </c>
      <c r="BI66" s="4">
        <f t="shared" si="45"/>
        <v>505.03512244370438</v>
      </c>
    </row>
    <row r="67" spans="1:61" x14ac:dyDescent="0.25">
      <c r="C67">
        <v>392</v>
      </c>
      <c r="D67" t="s">
        <v>131</v>
      </c>
      <c r="E67" s="4">
        <f>'4.1 Comptes 2021 natures'!E67/'4.1 Comptes 2021 natures'!E2</f>
        <v>0</v>
      </c>
      <c r="F67" s="4">
        <f>'4.1 Comptes 2021 natures'!F67/'4.1 Comptes 2021 natures'!F2</f>
        <v>0</v>
      </c>
      <c r="G67" s="4">
        <f>'4.1 Comptes 2021 natures'!G67/'4.1 Comptes 2021 natures'!G2</f>
        <v>0</v>
      </c>
      <c r="H67" s="4">
        <f>'4.1 Comptes 2021 natures'!H67/'4.1 Comptes 2021 natures'!H2</f>
        <v>0</v>
      </c>
      <c r="I67" s="4">
        <f>'4.1 Comptes 2021 natures'!I67/'4.1 Comptes 2021 natures'!I2</f>
        <v>0</v>
      </c>
      <c r="J67" s="4">
        <f>'4.1 Comptes 2021 natures'!J67/'4.1 Comptes 2021 natures'!J2</f>
        <v>0</v>
      </c>
      <c r="K67" s="4">
        <f>'4.1 Comptes 2021 natures'!K67/'4.1 Comptes 2021 natures'!K2</f>
        <v>0</v>
      </c>
      <c r="L67" s="4">
        <f>'4.1 Comptes 2021 natures'!L67/'4.1 Comptes 2021 natures'!L2</f>
        <v>8.8148088789165797</v>
      </c>
      <c r="M67" s="4">
        <f>'4.1 Comptes 2021 natures'!M67/'4.1 Comptes 2021 natures'!M2</f>
        <v>0</v>
      </c>
      <c r="N67" s="4">
        <f>'4.1 Comptes 2021 natures'!N67/'4.1 Comptes 2021 natures'!N2</f>
        <v>0</v>
      </c>
      <c r="O67" s="4">
        <f>'4.1 Comptes 2021 natures'!O67/'4.1 Comptes 2021 natures'!O2</f>
        <v>0</v>
      </c>
      <c r="P67" s="4">
        <f>'4.1 Comptes 2021 natures'!P67/'4.1 Comptes 2021 natures'!P2</f>
        <v>0</v>
      </c>
      <c r="Q67" s="4">
        <f>'4.1 Comptes 2021 natures'!Q67/'4.1 Comptes 2021 natures'!Q2</f>
        <v>0</v>
      </c>
      <c r="R67" s="4">
        <f>'4.1 Comptes 2021 natures'!R67/'4.1 Comptes 2021 natures'!R2</f>
        <v>0</v>
      </c>
      <c r="S67" s="4">
        <f>'4.1 Comptes 2021 natures'!S67/'4.1 Comptes 2021 natures'!S2</f>
        <v>0</v>
      </c>
      <c r="T67" s="4">
        <f>'4.1 Comptes 2021 natures'!T67/'4.1 Comptes 2021 natures'!T2</f>
        <v>0</v>
      </c>
      <c r="U67" s="4">
        <f>'4.1 Comptes 2021 natures'!U67/'4.1 Comptes 2021 natures'!U2</f>
        <v>0</v>
      </c>
      <c r="V67" s="4">
        <f>'4.1 Comptes 2021 natures'!V67/'4.1 Comptes 2021 natures'!V2</f>
        <v>0</v>
      </c>
      <c r="W67" s="4">
        <f>'4.1 Comptes 2021 natures'!W67/'4.1 Comptes 2021 natures'!W2</f>
        <v>0</v>
      </c>
      <c r="X67" s="4">
        <f>'4.1 Comptes 2021 natures'!X67/'4.1 Comptes 2021 natures'!X2</f>
        <v>0</v>
      </c>
      <c r="Y67" s="4">
        <f>'4.1 Comptes 2021 natures'!Y67/'4.1 Comptes 2021 natures'!Y2</f>
        <v>0</v>
      </c>
      <c r="Z67" s="4">
        <f>'4.1 Comptes 2021 natures'!Z67/'4.1 Comptes 2021 natures'!Z2</f>
        <v>55.776892430278885</v>
      </c>
      <c r="AA67" s="4">
        <f>'4.1 Comptes 2021 natures'!AA67/'4.1 Comptes 2021 natures'!AA2</f>
        <v>0</v>
      </c>
      <c r="AB67" s="4">
        <f>'4.1 Comptes 2021 natures'!AB67/'4.1 Comptes 2021 natures'!AB2</f>
        <v>0</v>
      </c>
      <c r="AC67" s="4">
        <f>'4.1 Comptes 2021 natures'!AC67/'4.1 Comptes 2021 natures'!AC2</f>
        <v>0</v>
      </c>
      <c r="AD67" s="4">
        <f>'4.1 Comptes 2021 natures'!AD67/'4.1 Comptes 2021 natures'!AD2</f>
        <v>0</v>
      </c>
      <c r="AE67" s="4">
        <f>'4.1 Comptes 2021 natures'!AE67/'4.1 Comptes 2021 natures'!AE2</f>
        <v>0</v>
      </c>
      <c r="AF67" s="4">
        <f>'4.1 Comptes 2021 natures'!AF67/'4.1 Comptes 2021 natures'!AF2</f>
        <v>0</v>
      </c>
      <c r="AG67" s="4">
        <f>'4.1 Comptes 2021 natures'!AG67/'4.1 Comptes 2021 natures'!AG2</f>
        <v>0</v>
      </c>
      <c r="AH67" s="4">
        <f>'4.1 Comptes 2021 natures'!AH67/'4.1 Comptes 2021 natures'!AH2</f>
        <v>0</v>
      </c>
      <c r="AI67" s="4">
        <f>'4.1 Comptes 2021 natures'!AI67/'4.1 Comptes 2021 natures'!AI2</f>
        <v>0</v>
      </c>
      <c r="AJ67" s="4">
        <f>'4.1 Comptes 2021 natures'!AJ67/'4.1 Comptes 2021 natures'!AJ2</f>
        <v>0</v>
      </c>
      <c r="AK67" s="4">
        <f>'4.1 Comptes 2021 natures'!AK67/'4.1 Comptes 2021 natures'!AK2</f>
        <v>0</v>
      </c>
      <c r="AL67" s="4">
        <f>'4.1 Comptes 2021 natures'!AL67/'4.1 Comptes 2021 natures'!AL2</f>
        <v>0</v>
      </c>
      <c r="AM67" s="4">
        <f>'4.1 Comptes 2021 natures'!AM67/'4.1 Comptes 2021 natures'!AM2</f>
        <v>0</v>
      </c>
      <c r="AN67" s="4">
        <f>'4.1 Comptes 2021 natures'!AN67/'4.1 Comptes 2021 natures'!AN2</f>
        <v>0</v>
      </c>
      <c r="AO67" s="4">
        <f>'4.1 Comptes 2021 natures'!AO67/'4.1 Comptes 2021 natures'!AO2</f>
        <v>0</v>
      </c>
      <c r="AP67" s="4">
        <f>'4.1 Comptes 2021 natures'!AP67/'4.1 Comptes 2021 natures'!AP2</f>
        <v>0</v>
      </c>
      <c r="AQ67" s="4">
        <f>'4.1 Comptes 2021 natures'!AQ67/'4.1 Comptes 2021 natures'!AQ2</f>
        <v>0</v>
      </c>
      <c r="AR67" s="4">
        <f>'4.1 Comptes 2021 natures'!AR67/'4.1 Comptes 2021 natures'!AR2</f>
        <v>0</v>
      </c>
      <c r="AS67" s="4">
        <f>'4.1 Comptes 2021 natures'!AS67/'4.1 Comptes 2021 natures'!AS2</f>
        <v>0</v>
      </c>
      <c r="AT67" s="4">
        <f>'4.1 Comptes 2021 natures'!AT67/'4.1 Comptes 2021 natures'!AT2</f>
        <v>0</v>
      </c>
      <c r="AU67" s="4">
        <f>'4.1 Comptes 2021 natures'!AU67/'4.1 Comptes 2021 natures'!AU2</f>
        <v>0</v>
      </c>
      <c r="AV67" s="4">
        <f>'4.1 Comptes 2021 natures'!AV67/'4.1 Comptes 2021 natures'!AV2</f>
        <v>0</v>
      </c>
      <c r="AW67" s="4">
        <f>'4.1 Comptes 2021 natures'!AW67/'4.1 Comptes 2021 natures'!AW2</f>
        <v>0</v>
      </c>
      <c r="AX67" s="4">
        <f>'4.1 Comptes 2021 natures'!AX67/'4.1 Comptes 2021 natures'!AX2</f>
        <v>0</v>
      </c>
      <c r="AY67" s="4">
        <f>'4.1 Comptes 2021 natures'!AY67/'4.1 Comptes 2021 natures'!AY2</f>
        <v>0</v>
      </c>
      <c r="AZ67" s="4">
        <f>'4.1 Comptes 2021 natures'!AZ67/'4.1 Comptes 2021 natures'!AZ2</f>
        <v>0</v>
      </c>
      <c r="BA67" s="4">
        <f>'4.1 Comptes 2021 natures'!BA67/'4.1 Comptes 2021 natures'!BA2</f>
        <v>0</v>
      </c>
      <c r="BB67" s="4">
        <f>'4.1 Comptes 2021 natures'!BB67/'4.1 Comptes 2021 natures'!BB2</f>
        <v>0</v>
      </c>
      <c r="BC67" s="4">
        <f>'4.1 Comptes 2021 natures'!BC67/'4.1 Comptes 2021 natures'!BC2</f>
        <v>0</v>
      </c>
      <c r="BD67" s="4">
        <f>'4.1 Comptes 2021 natures'!BD67/'4.1 Comptes 2021 natures'!BD2</f>
        <v>0</v>
      </c>
      <c r="BE67" s="4">
        <f>'4.1 Comptes 2021 natures'!BE67/'4.1 Comptes 2021 natures'!BE2</f>
        <v>0</v>
      </c>
      <c r="BF67" s="4">
        <f t="shared" si="42"/>
        <v>64.591701309195457</v>
      </c>
      <c r="BG67" s="4">
        <f t="shared" si="43"/>
        <v>8.8148088789165797</v>
      </c>
      <c r="BH67" s="4">
        <f t="shared" si="44"/>
        <v>55.776892430278885</v>
      </c>
      <c r="BI67" s="4">
        <f t="shared" si="45"/>
        <v>0</v>
      </c>
    </row>
    <row r="68" spans="1:61" x14ac:dyDescent="0.25">
      <c r="C68">
        <v>393</v>
      </c>
      <c r="D68" t="s">
        <v>132</v>
      </c>
      <c r="E68" s="4">
        <f>'4.1 Comptes 2021 natures'!E68/'4.1 Comptes 2021 natures'!E2</f>
        <v>0</v>
      </c>
      <c r="F68" s="4">
        <f>'4.1 Comptes 2021 natures'!F68/'4.1 Comptes 2021 natures'!F2</f>
        <v>0</v>
      </c>
      <c r="G68" s="4">
        <f>'4.1 Comptes 2021 natures'!G68/'4.1 Comptes 2021 natures'!G2</f>
        <v>0</v>
      </c>
      <c r="H68" s="4">
        <f>'4.1 Comptes 2021 natures'!H68/'4.1 Comptes 2021 natures'!H2</f>
        <v>0</v>
      </c>
      <c r="I68" s="4">
        <f>'4.1 Comptes 2021 natures'!I68/'4.1 Comptes 2021 natures'!I2</f>
        <v>0</v>
      </c>
      <c r="J68" s="4">
        <f>'4.1 Comptes 2021 natures'!J68/'4.1 Comptes 2021 natures'!J2</f>
        <v>0</v>
      </c>
      <c r="K68" s="4">
        <f>'4.1 Comptes 2021 natures'!K68/'4.1 Comptes 2021 natures'!K2</f>
        <v>3.6303921568627446</v>
      </c>
      <c r="L68" s="4">
        <f>'4.1 Comptes 2021 natures'!L68/'4.1 Comptes 2021 natures'!L2</f>
        <v>0</v>
      </c>
      <c r="M68" s="4">
        <f>'4.1 Comptes 2021 natures'!M68/'4.1 Comptes 2021 natures'!M2</f>
        <v>0</v>
      </c>
      <c r="N68" s="4">
        <f>'4.1 Comptes 2021 natures'!N68/'4.1 Comptes 2021 natures'!N2</f>
        <v>0</v>
      </c>
      <c r="O68" s="4">
        <f>'4.1 Comptes 2021 natures'!O68/'4.1 Comptes 2021 natures'!O2</f>
        <v>0</v>
      </c>
      <c r="P68" s="4">
        <f>'4.1 Comptes 2021 natures'!P68/'4.1 Comptes 2021 natures'!P2</f>
        <v>0</v>
      </c>
      <c r="Q68" s="4">
        <f>'4.1 Comptes 2021 natures'!Q68/'4.1 Comptes 2021 natures'!Q2</f>
        <v>0</v>
      </c>
      <c r="R68" s="4">
        <f>'4.1 Comptes 2021 natures'!R68/'4.1 Comptes 2021 natures'!R2</f>
        <v>0</v>
      </c>
      <c r="S68" s="4">
        <f>'4.1 Comptes 2021 natures'!S68/'4.1 Comptes 2021 natures'!S2</f>
        <v>0</v>
      </c>
      <c r="T68" s="4">
        <f>'4.1 Comptes 2021 natures'!T68/'4.1 Comptes 2021 natures'!T2</f>
        <v>0</v>
      </c>
      <c r="U68" s="4">
        <f>'4.1 Comptes 2021 natures'!U68/'4.1 Comptes 2021 natures'!U2</f>
        <v>0</v>
      </c>
      <c r="V68" s="4">
        <f>'4.1 Comptes 2021 natures'!V68/'4.1 Comptes 2021 natures'!V2</f>
        <v>0</v>
      </c>
      <c r="W68" s="4">
        <f>'4.1 Comptes 2021 natures'!W68/'4.1 Comptes 2021 natures'!W2</f>
        <v>1.8581604211830287</v>
      </c>
      <c r="X68" s="4">
        <f>'4.1 Comptes 2021 natures'!X68/'4.1 Comptes 2021 natures'!X2</f>
        <v>0</v>
      </c>
      <c r="Y68" s="4">
        <f>'4.1 Comptes 2021 natures'!Y68/'4.1 Comptes 2021 natures'!Y2</f>
        <v>0</v>
      </c>
      <c r="Z68" s="4">
        <f>'4.1 Comptes 2021 natures'!Z68/'4.1 Comptes 2021 natures'!Z2</f>
        <v>0</v>
      </c>
      <c r="AA68" s="4">
        <f>'4.1 Comptes 2021 natures'!AA68/'4.1 Comptes 2021 natures'!AA2</f>
        <v>0</v>
      </c>
      <c r="AB68" s="4">
        <f>'4.1 Comptes 2021 natures'!AB68/'4.1 Comptes 2021 natures'!AB2</f>
        <v>0</v>
      </c>
      <c r="AC68" s="4">
        <f>'4.1 Comptes 2021 natures'!AC68/'4.1 Comptes 2021 natures'!AC2</f>
        <v>0</v>
      </c>
      <c r="AD68" s="4">
        <f>'4.1 Comptes 2021 natures'!AD68/'4.1 Comptes 2021 natures'!AD2</f>
        <v>0</v>
      </c>
      <c r="AE68" s="4">
        <f>'4.1 Comptes 2021 natures'!AE68/'4.1 Comptes 2021 natures'!AE2</f>
        <v>0</v>
      </c>
      <c r="AF68" s="4">
        <f>'4.1 Comptes 2021 natures'!AF68/'4.1 Comptes 2021 natures'!AF2</f>
        <v>0</v>
      </c>
      <c r="AG68" s="4">
        <f>'4.1 Comptes 2021 natures'!AG68/'4.1 Comptes 2021 natures'!AG2</f>
        <v>0</v>
      </c>
      <c r="AH68" s="4">
        <f>'4.1 Comptes 2021 natures'!AH68/'4.1 Comptes 2021 natures'!AH2</f>
        <v>0</v>
      </c>
      <c r="AI68" s="4">
        <f>'4.1 Comptes 2021 natures'!AI68/'4.1 Comptes 2021 natures'!AI2</f>
        <v>0</v>
      </c>
      <c r="AJ68" s="4">
        <f>'4.1 Comptes 2021 natures'!AJ68/'4.1 Comptes 2021 natures'!AJ2</f>
        <v>0</v>
      </c>
      <c r="AK68" s="4">
        <f>'4.1 Comptes 2021 natures'!AK68/'4.1 Comptes 2021 natures'!AK2</f>
        <v>0</v>
      </c>
      <c r="AL68" s="4">
        <f>'4.1 Comptes 2021 natures'!AL68/'4.1 Comptes 2021 natures'!AL2</f>
        <v>0</v>
      </c>
      <c r="AM68" s="4">
        <f>'4.1 Comptes 2021 natures'!AM68/'4.1 Comptes 2021 natures'!AM2</f>
        <v>0</v>
      </c>
      <c r="AN68" s="4">
        <f>'4.1 Comptes 2021 natures'!AN68/'4.1 Comptes 2021 natures'!AN2</f>
        <v>0</v>
      </c>
      <c r="AO68" s="4">
        <f>'4.1 Comptes 2021 natures'!AO68/'4.1 Comptes 2021 natures'!AO2</f>
        <v>0</v>
      </c>
      <c r="AP68" s="4">
        <f>'4.1 Comptes 2021 natures'!AP68/'4.1 Comptes 2021 natures'!AP2</f>
        <v>0</v>
      </c>
      <c r="AQ68" s="4">
        <f>'4.1 Comptes 2021 natures'!AQ68/'4.1 Comptes 2021 natures'!AQ2</f>
        <v>0</v>
      </c>
      <c r="AR68" s="4">
        <f>'4.1 Comptes 2021 natures'!AR68/'4.1 Comptes 2021 natures'!AR2</f>
        <v>0</v>
      </c>
      <c r="AS68" s="4">
        <f>'4.1 Comptes 2021 natures'!AS68/'4.1 Comptes 2021 natures'!AS2</f>
        <v>22.547045143638851</v>
      </c>
      <c r="AT68" s="4">
        <f>'4.1 Comptes 2021 natures'!AT68/'4.1 Comptes 2021 natures'!AT2</f>
        <v>0</v>
      </c>
      <c r="AU68" s="4">
        <f>'4.1 Comptes 2021 natures'!AU68/'4.1 Comptes 2021 natures'!AU2</f>
        <v>0</v>
      </c>
      <c r="AV68" s="4">
        <f>'4.1 Comptes 2021 natures'!AV68/'4.1 Comptes 2021 natures'!AV2</f>
        <v>0</v>
      </c>
      <c r="AW68" s="4">
        <f>'4.1 Comptes 2021 natures'!AW68/'4.1 Comptes 2021 natures'!AW2</f>
        <v>0</v>
      </c>
      <c r="AX68" s="4">
        <f>'4.1 Comptes 2021 natures'!AX68/'4.1 Comptes 2021 natures'!AX2</f>
        <v>0</v>
      </c>
      <c r="AY68" s="4">
        <f>'4.1 Comptes 2021 natures'!AY68/'4.1 Comptes 2021 natures'!AY2</f>
        <v>0</v>
      </c>
      <c r="AZ68" s="4">
        <f>'4.1 Comptes 2021 natures'!AZ68/'4.1 Comptes 2021 natures'!AZ2</f>
        <v>0</v>
      </c>
      <c r="BA68" s="4">
        <f>'4.1 Comptes 2021 natures'!BA68/'4.1 Comptes 2021 natures'!BA2</f>
        <v>0</v>
      </c>
      <c r="BB68" s="4">
        <f>'4.1 Comptes 2021 natures'!BB68/'4.1 Comptes 2021 natures'!BB2</f>
        <v>0</v>
      </c>
      <c r="BC68" s="4">
        <f>'4.1 Comptes 2021 natures'!BC68/'4.1 Comptes 2021 natures'!BC2</f>
        <v>0</v>
      </c>
      <c r="BD68" s="4">
        <f>'4.1 Comptes 2021 natures'!BD68/'4.1 Comptes 2021 natures'!BD2</f>
        <v>0</v>
      </c>
      <c r="BE68" s="4">
        <f>'4.1 Comptes 2021 natures'!BE68/'4.1 Comptes 2021 natures'!BE2</f>
        <v>0</v>
      </c>
      <c r="BF68" s="4">
        <f t="shared" si="42"/>
        <v>28.035597721684624</v>
      </c>
      <c r="BG68" s="4">
        <f t="shared" si="43"/>
        <v>5.4885525780457733</v>
      </c>
      <c r="BH68" s="4">
        <f t="shared" si="44"/>
        <v>0</v>
      </c>
      <c r="BI68" s="4">
        <f t="shared" si="45"/>
        <v>22.547045143638851</v>
      </c>
    </row>
    <row r="69" spans="1:61" x14ac:dyDescent="0.25">
      <c r="C69">
        <v>394</v>
      </c>
      <c r="D69" t="s">
        <v>133</v>
      </c>
      <c r="E69" s="4">
        <f>'4.1 Comptes 2021 natures'!E69/'4.1 Comptes 2021 natures'!E2</f>
        <v>0</v>
      </c>
      <c r="F69" s="4">
        <f>'4.1 Comptes 2021 natures'!F69/'4.1 Comptes 2021 natures'!F2</f>
        <v>78.95264150943396</v>
      </c>
      <c r="G69" s="4">
        <f>'4.1 Comptes 2021 natures'!G69/'4.1 Comptes 2021 natures'!G2</f>
        <v>6.4343283582089548</v>
      </c>
      <c r="H69" s="4">
        <f>'4.1 Comptes 2021 natures'!H69/'4.1 Comptes 2021 natures'!H2</f>
        <v>0</v>
      </c>
      <c r="I69" s="4">
        <f>'4.1 Comptes 2021 natures'!I69/'4.1 Comptes 2021 natures'!I2</f>
        <v>82.832618025751074</v>
      </c>
      <c r="J69" s="4">
        <f>'4.1 Comptes 2021 natures'!J69/'4.1 Comptes 2021 natures'!J2</f>
        <v>0</v>
      </c>
      <c r="K69" s="4">
        <f>'4.1 Comptes 2021 natures'!K69/'4.1 Comptes 2021 natures'!K2</f>
        <v>21.379656862745097</v>
      </c>
      <c r="L69" s="4">
        <f>'4.1 Comptes 2021 natures'!L69/'4.1 Comptes 2021 natures'!L2</f>
        <v>44.434650212356757</v>
      </c>
      <c r="M69" s="4">
        <f>'4.1 Comptes 2021 natures'!M69/'4.1 Comptes 2021 natures'!M2</f>
        <v>24.928079470198679</v>
      </c>
      <c r="N69" s="4">
        <f>'4.1 Comptes 2021 natures'!N69/'4.1 Comptes 2021 natures'!N2</f>
        <v>0</v>
      </c>
      <c r="O69" s="4">
        <f>'4.1 Comptes 2021 natures'!O69/'4.1 Comptes 2021 natures'!O2</f>
        <v>8.5413854840930998</v>
      </c>
      <c r="P69" s="4">
        <f>'4.1 Comptes 2021 natures'!P69/'4.1 Comptes 2021 natures'!P2</f>
        <v>0</v>
      </c>
      <c r="Q69" s="4">
        <f>'4.1 Comptes 2021 natures'!Q69/'4.1 Comptes 2021 natures'!Q2</f>
        <v>0</v>
      </c>
      <c r="R69" s="4">
        <f>'4.1 Comptes 2021 natures'!R69/'4.1 Comptes 2021 natures'!R2</f>
        <v>0</v>
      </c>
      <c r="S69" s="4">
        <f>'4.1 Comptes 2021 natures'!S69/'4.1 Comptes 2021 natures'!S2</f>
        <v>0</v>
      </c>
      <c r="T69" s="4">
        <f>'4.1 Comptes 2021 natures'!T69/'4.1 Comptes 2021 natures'!T2</f>
        <v>0</v>
      </c>
      <c r="U69" s="4">
        <f>'4.1 Comptes 2021 natures'!U69/'4.1 Comptes 2021 natures'!U2</f>
        <v>0</v>
      </c>
      <c r="V69" s="4">
        <f>'4.1 Comptes 2021 natures'!V69/'4.1 Comptes 2021 natures'!V2</f>
        <v>0</v>
      </c>
      <c r="W69" s="4">
        <f>'4.1 Comptes 2021 natures'!W69/'4.1 Comptes 2021 natures'!W2</f>
        <v>45.244905543511919</v>
      </c>
      <c r="X69" s="4">
        <f>'4.1 Comptes 2021 natures'!X69/'4.1 Comptes 2021 natures'!X2</f>
        <v>0</v>
      </c>
      <c r="Y69" s="4">
        <f>'4.1 Comptes 2021 natures'!Y69/'4.1 Comptes 2021 natures'!Y2</f>
        <v>0</v>
      </c>
      <c r="Z69" s="4">
        <f>'4.1 Comptes 2021 natures'!Z69/'4.1 Comptes 2021 natures'!Z2</f>
        <v>0</v>
      </c>
      <c r="AA69" s="4">
        <f>'4.1 Comptes 2021 natures'!AA69/'4.1 Comptes 2021 natures'!AA2</f>
        <v>0</v>
      </c>
      <c r="AB69" s="4">
        <f>'4.1 Comptes 2021 natures'!AB69/'4.1 Comptes 2021 natures'!AB2</f>
        <v>0</v>
      </c>
      <c r="AC69" s="4">
        <f>'4.1 Comptes 2021 natures'!AC69/'4.1 Comptes 2021 natures'!AC2</f>
        <v>0</v>
      </c>
      <c r="AD69" s="4">
        <f>'4.1 Comptes 2021 natures'!AD69/'4.1 Comptes 2021 natures'!AD2</f>
        <v>0</v>
      </c>
      <c r="AE69" s="4">
        <f>'4.1 Comptes 2021 natures'!AE69/'4.1 Comptes 2021 natures'!AE2</f>
        <v>0</v>
      </c>
      <c r="AF69" s="4">
        <f>'4.1 Comptes 2021 natures'!AF69/'4.1 Comptes 2021 natures'!AF2</f>
        <v>0</v>
      </c>
      <c r="AG69" s="4">
        <f>'4.1 Comptes 2021 natures'!AG69/'4.1 Comptes 2021 natures'!AG2</f>
        <v>0</v>
      </c>
      <c r="AH69" s="4">
        <f>'4.1 Comptes 2021 natures'!AH69/'4.1 Comptes 2021 natures'!AH2</f>
        <v>0</v>
      </c>
      <c r="AI69" s="4">
        <f>'4.1 Comptes 2021 natures'!AI69/'4.1 Comptes 2021 natures'!AI2</f>
        <v>0</v>
      </c>
      <c r="AJ69" s="4">
        <f>'4.1 Comptes 2021 natures'!AJ69/'4.1 Comptes 2021 natures'!AJ2</f>
        <v>5.3709302325581394</v>
      </c>
      <c r="AK69" s="4">
        <f>'4.1 Comptes 2021 natures'!AK69/'4.1 Comptes 2021 natures'!AK2</f>
        <v>0</v>
      </c>
      <c r="AL69" s="4">
        <f>'4.1 Comptes 2021 natures'!AL69/'4.1 Comptes 2021 natures'!AL2</f>
        <v>52.706127886323266</v>
      </c>
      <c r="AM69" s="4">
        <f>'4.1 Comptes 2021 natures'!AM69/'4.1 Comptes 2021 natures'!AM2</f>
        <v>0</v>
      </c>
      <c r="AN69" s="4">
        <f>'4.1 Comptes 2021 natures'!AN69/'4.1 Comptes 2021 natures'!AN2</f>
        <v>0</v>
      </c>
      <c r="AO69" s="4">
        <f>'4.1 Comptes 2021 natures'!AO69/'4.1 Comptes 2021 natures'!AO2</f>
        <v>0</v>
      </c>
      <c r="AP69" s="4">
        <f>'4.1 Comptes 2021 natures'!AP69/'4.1 Comptes 2021 natures'!AP2</f>
        <v>44.334968847352023</v>
      </c>
      <c r="AQ69" s="4">
        <f>'4.1 Comptes 2021 natures'!AQ69/'4.1 Comptes 2021 natures'!AQ2</f>
        <v>0</v>
      </c>
      <c r="AR69" s="4">
        <f>'4.1 Comptes 2021 natures'!AR69/'4.1 Comptes 2021 natures'!AR2</f>
        <v>0</v>
      </c>
      <c r="AS69" s="4">
        <f>'4.1 Comptes 2021 natures'!AS69/'4.1 Comptes 2021 natures'!AS2</f>
        <v>86.384541723666203</v>
      </c>
      <c r="AT69" s="4">
        <f>'4.1 Comptes 2021 natures'!AT69/'4.1 Comptes 2021 natures'!AT2</f>
        <v>0</v>
      </c>
      <c r="AU69" s="4">
        <f>'4.1 Comptes 2021 natures'!AU69/'4.1 Comptes 2021 natures'!AU2</f>
        <v>0</v>
      </c>
      <c r="AV69" s="4">
        <f>'4.1 Comptes 2021 natures'!AV69/'4.1 Comptes 2021 natures'!AV2</f>
        <v>0</v>
      </c>
      <c r="AW69" s="4">
        <f>'4.1 Comptes 2021 natures'!AW69/'4.1 Comptes 2021 natures'!AW2</f>
        <v>0</v>
      </c>
      <c r="AX69" s="4">
        <f>'4.1 Comptes 2021 natures'!AX69/'4.1 Comptes 2021 natures'!AX2</f>
        <v>39.334864864864862</v>
      </c>
      <c r="AY69" s="4">
        <f>'4.1 Comptes 2021 natures'!AY69/'4.1 Comptes 2021 natures'!AY2</f>
        <v>0</v>
      </c>
      <c r="AZ69" s="4">
        <f>'4.1 Comptes 2021 natures'!AZ69/'4.1 Comptes 2021 natures'!AZ2</f>
        <v>0</v>
      </c>
      <c r="BA69" s="4">
        <f>'4.1 Comptes 2021 natures'!BA69/'4.1 Comptes 2021 natures'!BA2</f>
        <v>0</v>
      </c>
      <c r="BB69" s="4">
        <f>'4.1 Comptes 2021 natures'!BB69/'4.1 Comptes 2021 natures'!BB2</f>
        <v>0</v>
      </c>
      <c r="BC69" s="4">
        <f>'4.1 Comptes 2021 natures'!BC69/'4.1 Comptes 2021 natures'!BC2</f>
        <v>13.663586956521739</v>
      </c>
      <c r="BD69" s="4">
        <f>'4.1 Comptes 2021 natures'!BD69/'4.1 Comptes 2021 natures'!BD2</f>
        <v>0</v>
      </c>
      <c r="BE69" s="4">
        <f>'4.1 Comptes 2021 natures'!BE69/'4.1 Comptes 2021 natures'!BE2</f>
        <v>0</v>
      </c>
      <c r="BF69" s="4">
        <f t="shared" si="42"/>
        <v>554.5432859775857</v>
      </c>
      <c r="BG69" s="4">
        <f t="shared" si="43"/>
        <v>312.74826546629959</v>
      </c>
      <c r="BH69" s="4">
        <f t="shared" si="44"/>
        <v>5.3709302325581394</v>
      </c>
      <c r="BI69" s="4">
        <f t="shared" si="45"/>
        <v>236.4240902787281</v>
      </c>
    </row>
    <row r="70" spans="1:61" x14ac:dyDescent="0.25">
      <c r="C70">
        <v>395</v>
      </c>
      <c r="D70" t="s">
        <v>134</v>
      </c>
      <c r="E70" s="4">
        <f>'4.1 Comptes 2021 natures'!E70/'4.1 Comptes 2021 natures'!E2</f>
        <v>0</v>
      </c>
      <c r="F70" s="4">
        <f>'4.1 Comptes 2021 natures'!F70/'4.1 Comptes 2021 natures'!F2</f>
        <v>0</v>
      </c>
      <c r="G70" s="4">
        <f>'4.1 Comptes 2021 natures'!G70/'4.1 Comptes 2021 natures'!G2</f>
        <v>0</v>
      </c>
      <c r="H70" s="4">
        <f>'4.1 Comptes 2021 natures'!H70/'4.1 Comptes 2021 natures'!H2</f>
        <v>0.81093394077448744</v>
      </c>
      <c r="I70" s="4">
        <f>'4.1 Comptes 2021 natures'!I70/'4.1 Comptes 2021 natures'!I2</f>
        <v>0</v>
      </c>
      <c r="J70" s="4">
        <f>'4.1 Comptes 2021 natures'!J70/'4.1 Comptes 2021 natures'!J2</f>
        <v>0</v>
      </c>
      <c r="K70" s="4">
        <f>'4.1 Comptes 2021 natures'!K70/'4.1 Comptes 2021 natures'!K2</f>
        <v>0</v>
      </c>
      <c r="L70" s="4">
        <f>'4.1 Comptes 2021 natures'!L70/'4.1 Comptes 2021 natures'!L2</f>
        <v>0</v>
      </c>
      <c r="M70" s="4">
        <f>'4.1 Comptes 2021 natures'!M70/'4.1 Comptes 2021 natures'!M2</f>
        <v>0</v>
      </c>
      <c r="N70" s="4">
        <f>'4.1 Comptes 2021 natures'!N70/'4.1 Comptes 2021 natures'!N2</f>
        <v>0</v>
      </c>
      <c r="O70" s="4">
        <f>'4.1 Comptes 2021 natures'!O70/'4.1 Comptes 2021 natures'!O2</f>
        <v>0</v>
      </c>
      <c r="P70" s="4">
        <f>'4.1 Comptes 2021 natures'!P70/'4.1 Comptes 2021 natures'!P2</f>
        <v>0</v>
      </c>
      <c r="Q70" s="4">
        <f>'4.1 Comptes 2021 natures'!Q70/'4.1 Comptes 2021 natures'!Q2</f>
        <v>0</v>
      </c>
      <c r="R70" s="4">
        <f>'4.1 Comptes 2021 natures'!R70/'4.1 Comptes 2021 natures'!R2</f>
        <v>0</v>
      </c>
      <c r="S70" s="4">
        <f>'4.1 Comptes 2021 natures'!S70/'4.1 Comptes 2021 natures'!S2</f>
        <v>0</v>
      </c>
      <c r="T70" s="4">
        <f>'4.1 Comptes 2021 natures'!T70/'4.1 Comptes 2021 natures'!T2</f>
        <v>0</v>
      </c>
      <c r="U70" s="4">
        <f>'4.1 Comptes 2021 natures'!U70/'4.1 Comptes 2021 natures'!U2</f>
        <v>0</v>
      </c>
      <c r="V70" s="4">
        <f>'4.1 Comptes 2021 natures'!V70/'4.1 Comptes 2021 natures'!V2</f>
        <v>0</v>
      </c>
      <c r="W70" s="4">
        <f>'4.1 Comptes 2021 natures'!W70/'4.1 Comptes 2021 natures'!W2</f>
        <v>0</v>
      </c>
      <c r="X70" s="4">
        <f>'4.1 Comptes 2021 natures'!X70/'4.1 Comptes 2021 natures'!X2</f>
        <v>0</v>
      </c>
      <c r="Y70" s="4">
        <f>'4.1 Comptes 2021 natures'!Y70/'4.1 Comptes 2021 natures'!Y2</f>
        <v>0</v>
      </c>
      <c r="Z70" s="4">
        <f>'4.1 Comptes 2021 natures'!Z70/'4.1 Comptes 2021 natures'!Z2</f>
        <v>0</v>
      </c>
      <c r="AA70" s="4">
        <f>'4.1 Comptes 2021 natures'!AA70/'4.1 Comptes 2021 natures'!AA2</f>
        <v>0</v>
      </c>
      <c r="AB70" s="4">
        <f>'4.1 Comptes 2021 natures'!AB70/'4.1 Comptes 2021 natures'!AB2</f>
        <v>0</v>
      </c>
      <c r="AC70" s="4">
        <f>'4.1 Comptes 2021 natures'!AC70/'4.1 Comptes 2021 natures'!AC2</f>
        <v>0</v>
      </c>
      <c r="AD70" s="4">
        <f>'4.1 Comptes 2021 natures'!AD70/'4.1 Comptes 2021 natures'!AD2</f>
        <v>0</v>
      </c>
      <c r="AE70" s="4">
        <f>'4.1 Comptes 2021 natures'!AE70/'4.1 Comptes 2021 natures'!AE2</f>
        <v>0</v>
      </c>
      <c r="AF70" s="4">
        <f>'4.1 Comptes 2021 natures'!AF70/'4.1 Comptes 2021 natures'!AF2</f>
        <v>0</v>
      </c>
      <c r="AG70" s="4">
        <f>'4.1 Comptes 2021 natures'!AG70/'4.1 Comptes 2021 natures'!AG2</f>
        <v>0</v>
      </c>
      <c r="AH70" s="4">
        <f>'4.1 Comptes 2021 natures'!AH70/'4.1 Comptes 2021 natures'!AH2</f>
        <v>0</v>
      </c>
      <c r="AI70" s="4">
        <f>'4.1 Comptes 2021 natures'!AI70/'4.1 Comptes 2021 natures'!AI2</f>
        <v>0</v>
      </c>
      <c r="AJ70" s="4">
        <f>'4.1 Comptes 2021 natures'!AJ70/'4.1 Comptes 2021 natures'!AJ2</f>
        <v>0</v>
      </c>
      <c r="AK70" s="4">
        <f>'4.1 Comptes 2021 natures'!AK70/'4.1 Comptes 2021 natures'!AK2</f>
        <v>0</v>
      </c>
      <c r="AL70" s="4">
        <f>'4.1 Comptes 2021 natures'!AL70/'4.1 Comptes 2021 natures'!AL2</f>
        <v>0</v>
      </c>
      <c r="AM70" s="4">
        <f>'4.1 Comptes 2021 natures'!AM70/'4.1 Comptes 2021 natures'!AM2</f>
        <v>0</v>
      </c>
      <c r="AN70" s="4">
        <f>'4.1 Comptes 2021 natures'!AN70/'4.1 Comptes 2021 natures'!AN2</f>
        <v>0</v>
      </c>
      <c r="AO70" s="4">
        <f>'4.1 Comptes 2021 natures'!AO70/'4.1 Comptes 2021 natures'!AO2</f>
        <v>0</v>
      </c>
      <c r="AP70" s="4">
        <f>'4.1 Comptes 2021 natures'!AP70/'4.1 Comptes 2021 natures'!AP2</f>
        <v>0</v>
      </c>
      <c r="AQ70" s="4">
        <f>'4.1 Comptes 2021 natures'!AQ70/'4.1 Comptes 2021 natures'!AQ2</f>
        <v>0</v>
      </c>
      <c r="AR70" s="4">
        <f>'4.1 Comptes 2021 natures'!AR70/'4.1 Comptes 2021 natures'!AR2</f>
        <v>0</v>
      </c>
      <c r="AS70" s="4">
        <f>'4.1 Comptes 2021 natures'!AS70/'4.1 Comptes 2021 natures'!AS2</f>
        <v>0</v>
      </c>
      <c r="AT70" s="4">
        <f>'4.1 Comptes 2021 natures'!AT70/'4.1 Comptes 2021 natures'!AT2</f>
        <v>0</v>
      </c>
      <c r="AU70" s="4">
        <f>'4.1 Comptes 2021 natures'!AU70/'4.1 Comptes 2021 natures'!AU2</f>
        <v>0</v>
      </c>
      <c r="AV70" s="4">
        <f>'4.1 Comptes 2021 natures'!AV70/'4.1 Comptes 2021 natures'!AV2</f>
        <v>0</v>
      </c>
      <c r="AW70" s="4">
        <f>'4.1 Comptes 2021 natures'!AW70/'4.1 Comptes 2021 natures'!AW2</f>
        <v>0</v>
      </c>
      <c r="AX70" s="4">
        <f>'4.1 Comptes 2021 natures'!AX70/'4.1 Comptes 2021 natures'!AX2</f>
        <v>0</v>
      </c>
      <c r="AY70" s="4">
        <f>'4.1 Comptes 2021 natures'!AY70/'4.1 Comptes 2021 natures'!AY2</f>
        <v>0</v>
      </c>
      <c r="AZ70" s="4">
        <f>'4.1 Comptes 2021 natures'!AZ70/'4.1 Comptes 2021 natures'!AZ2</f>
        <v>0</v>
      </c>
      <c r="BA70" s="4">
        <f>'4.1 Comptes 2021 natures'!BA70/'4.1 Comptes 2021 natures'!BA2</f>
        <v>0</v>
      </c>
      <c r="BB70" s="4">
        <f>'4.1 Comptes 2021 natures'!BB70/'4.1 Comptes 2021 natures'!BB2</f>
        <v>0</v>
      </c>
      <c r="BC70" s="4">
        <f>'4.1 Comptes 2021 natures'!BC70/'4.1 Comptes 2021 natures'!BC2</f>
        <v>0</v>
      </c>
      <c r="BD70" s="4">
        <f>'4.1 Comptes 2021 natures'!BD70/'4.1 Comptes 2021 natures'!BD2</f>
        <v>0</v>
      </c>
      <c r="BE70" s="4">
        <f>'4.1 Comptes 2021 natures'!BE70/'4.1 Comptes 2021 natures'!BE2</f>
        <v>0</v>
      </c>
      <c r="BF70" s="4">
        <f t="shared" si="42"/>
        <v>0.81093394077448744</v>
      </c>
      <c r="BG70" s="4">
        <f t="shared" si="43"/>
        <v>0.81093394077448744</v>
      </c>
      <c r="BH70" s="4">
        <f t="shared" si="44"/>
        <v>0</v>
      </c>
      <c r="BI70" s="4">
        <f t="shared" si="45"/>
        <v>0</v>
      </c>
    </row>
    <row r="71" spans="1:61" x14ac:dyDescent="0.25">
      <c r="C71">
        <v>398</v>
      </c>
      <c r="D71" t="s">
        <v>135</v>
      </c>
      <c r="E71" s="4">
        <f>'4.1 Comptes 2021 natures'!E71/'4.1 Comptes 2021 natures'!E2</f>
        <v>0</v>
      </c>
      <c r="F71" s="4">
        <f>'4.1 Comptes 2021 natures'!F71/'4.1 Comptes 2021 natures'!F2</f>
        <v>0</v>
      </c>
      <c r="G71" s="4">
        <f>'4.1 Comptes 2021 natures'!G71/'4.1 Comptes 2021 natures'!G2</f>
        <v>0</v>
      </c>
      <c r="H71" s="4">
        <f>'4.1 Comptes 2021 natures'!H71/'4.1 Comptes 2021 natures'!H2</f>
        <v>0</v>
      </c>
      <c r="I71" s="4">
        <f>'4.1 Comptes 2021 natures'!I71/'4.1 Comptes 2021 natures'!I2</f>
        <v>0</v>
      </c>
      <c r="J71" s="4">
        <f>'4.1 Comptes 2021 natures'!J71/'4.1 Comptes 2021 natures'!J2</f>
        <v>0</v>
      </c>
      <c r="K71" s="4">
        <f>'4.1 Comptes 2021 natures'!K71/'4.1 Comptes 2021 natures'!K2</f>
        <v>0</v>
      </c>
      <c r="L71" s="4">
        <f>'4.1 Comptes 2021 natures'!L71/'4.1 Comptes 2021 natures'!L2</f>
        <v>189.68934530010415</v>
      </c>
      <c r="M71" s="4">
        <f>'4.1 Comptes 2021 natures'!M71/'4.1 Comptes 2021 natures'!M2</f>
        <v>0</v>
      </c>
      <c r="N71" s="4">
        <f>'4.1 Comptes 2021 natures'!N71/'4.1 Comptes 2021 natures'!N2</f>
        <v>0</v>
      </c>
      <c r="O71" s="4">
        <f>'4.1 Comptes 2021 natures'!O71/'4.1 Comptes 2021 natures'!O2</f>
        <v>0</v>
      </c>
      <c r="P71" s="4">
        <f>'4.1 Comptes 2021 natures'!P71/'4.1 Comptes 2021 natures'!P2</f>
        <v>0</v>
      </c>
      <c r="Q71" s="4">
        <f>'4.1 Comptes 2021 natures'!Q71/'4.1 Comptes 2021 natures'!Q2</f>
        <v>0</v>
      </c>
      <c r="R71" s="4">
        <f>'4.1 Comptes 2021 natures'!R71/'4.1 Comptes 2021 natures'!R2</f>
        <v>0</v>
      </c>
      <c r="S71" s="4">
        <f>'4.1 Comptes 2021 natures'!S71/'4.1 Comptes 2021 natures'!S2</f>
        <v>0</v>
      </c>
      <c r="T71" s="4">
        <f>'4.1 Comptes 2021 natures'!T71/'4.1 Comptes 2021 natures'!T2</f>
        <v>0</v>
      </c>
      <c r="U71" s="4">
        <f>'4.1 Comptes 2021 natures'!U71/'4.1 Comptes 2021 natures'!U2</f>
        <v>0</v>
      </c>
      <c r="V71" s="4">
        <f>'4.1 Comptes 2021 natures'!V71/'4.1 Comptes 2021 natures'!V2</f>
        <v>0</v>
      </c>
      <c r="W71" s="4">
        <f>'4.1 Comptes 2021 natures'!W71/'4.1 Comptes 2021 natures'!W2</f>
        <v>0</v>
      </c>
      <c r="X71" s="4">
        <f>'4.1 Comptes 2021 natures'!X71/'4.1 Comptes 2021 natures'!X2</f>
        <v>0</v>
      </c>
      <c r="Y71" s="4">
        <f>'4.1 Comptes 2021 natures'!Y71/'4.1 Comptes 2021 natures'!Y2</f>
        <v>0</v>
      </c>
      <c r="Z71" s="4">
        <f>'4.1 Comptes 2021 natures'!Z71/'4.1 Comptes 2021 natures'!Z2</f>
        <v>0</v>
      </c>
      <c r="AA71" s="4">
        <f>'4.1 Comptes 2021 natures'!AA71/'4.1 Comptes 2021 natures'!AA2</f>
        <v>0</v>
      </c>
      <c r="AB71" s="4">
        <f>'4.1 Comptes 2021 natures'!AB71/'4.1 Comptes 2021 natures'!AB2</f>
        <v>0</v>
      </c>
      <c r="AC71" s="4">
        <f>'4.1 Comptes 2021 natures'!AC71/'4.1 Comptes 2021 natures'!AC2</f>
        <v>0</v>
      </c>
      <c r="AD71" s="4">
        <f>'4.1 Comptes 2021 natures'!AD71/'4.1 Comptes 2021 natures'!AD2</f>
        <v>0</v>
      </c>
      <c r="AE71" s="4">
        <f>'4.1 Comptes 2021 natures'!AE71/'4.1 Comptes 2021 natures'!AE2</f>
        <v>0</v>
      </c>
      <c r="AF71" s="4">
        <f>'4.1 Comptes 2021 natures'!AF71/'4.1 Comptes 2021 natures'!AF2</f>
        <v>198.27342857142858</v>
      </c>
      <c r="AG71" s="4">
        <f>'4.1 Comptes 2021 natures'!AG71/'4.1 Comptes 2021 natures'!AG2</f>
        <v>0</v>
      </c>
      <c r="AH71" s="4">
        <f>'4.1 Comptes 2021 natures'!AH71/'4.1 Comptes 2021 natures'!AH2</f>
        <v>0</v>
      </c>
      <c r="AI71" s="4">
        <f>'4.1 Comptes 2021 natures'!AI71/'4.1 Comptes 2021 natures'!AI2</f>
        <v>0</v>
      </c>
      <c r="AJ71" s="4">
        <f>'4.1 Comptes 2021 natures'!AJ71/'4.1 Comptes 2021 natures'!AJ2</f>
        <v>0</v>
      </c>
      <c r="AK71" s="4">
        <f>'4.1 Comptes 2021 natures'!AK71/'4.1 Comptes 2021 natures'!AK2</f>
        <v>0</v>
      </c>
      <c r="AL71" s="4">
        <f>'4.1 Comptes 2021 natures'!AL71/'4.1 Comptes 2021 natures'!AL2</f>
        <v>0</v>
      </c>
      <c r="AM71" s="4">
        <f>'4.1 Comptes 2021 natures'!AM71/'4.1 Comptes 2021 natures'!AM2</f>
        <v>0</v>
      </c>
      <c r="AN71" s="4">
        <f>'4.1 Comptes 2021 natures'!AN71/'4.1 Comptes 2021 natures'!AN2</f>
        <v>0</v>
      </c>
      <c r="AO71" s="4">
        <f>'4.1 Comptes 2021 natures'!AO71/'4.1 Comptes 2021 natures'!AO2</f>
        <v>0</v>
      </c>
      <c r="AP71" s="4">
        <f>'4.1 Comptes 2021 natures'!AP71/'4.1 Comptes 2021 natures'!AP2</f>
        <v>0</v>
      </c>
      <c r="AQ71" s="4">
        <f>'4.1 Comptes 2021 natures'!AQ71/'4.1 Comptes 2021 natures'!AQ2</f>
        <v>0</v>
      </c>
      <c r="AR71" s="4">
        <f>'4.1 Comptes 2021 natures'!AR71/'4.1 Comptes 2021 natures'!AR2</f>
        <v>0</v>
      </c>
      <c r="AS71" s="4">
        <f>'4.1 Comptes 2021 natures'!AS71/'4.1 Comptes 2021 natures'!AS2</f>
        <v>0</v>
      </c>
      <c r="AT71" s="4">
        <f>'4.1 Comptes 2021 natures'!AT71/'4.1 Comptes 2021 natures'!AT2</f>
        <v>0</v>
      </c>
      <c r="AU71" s="4">
        <f>'4.1 Comptes 2021 natures'!AU71/'4.1 Comptes 2021 natures'!AU2</f>
        <v>0</v>
      </c>
      <c r="AV71" s="4">
        <f>'4.1 Comptes 2021 natures'!AV71/'4.1 Comptes 2021 natures'!AV2</f>
        <v>0</v>
      </c>
      <c r="AW71" s="4">
        <f>'4.1 Comptes 2021 natures'!AW71/'4.1 Comptes 2021 natures'!AW2</f>
        <v>0</v>
      </c>
      <c r="AX71" s="4">
        <f>'4.1 Comptes 2021 natures'!AX71/'4.1 Comptes 2021 natures'!AX2</f>
        <v>0</v>
      </c>
      <c r="AY71" s="4">
        <f>'4.1 Comptes 2021 natures'!AY71/'4.1 Comptes 2021 natures'!AY2</f>
        <v>0</v>
      </c>
      <c r="AZ71" s="4">
        <f>'4.1 Comptes 2021 natures'!AZ71/'4.1 Comptes 2021 natures'!AZ2</f>
        <v>0</v>
      </c>
      <c r="BA71" s="4">
        <f>'4.1 Comptes 2021 natures'!BA71/'4.1 Comptes 2021 natures'!BA2</f>
        <v>0</v>
      </c>
      <c r="BB71" s="4">
        <f>'4.1 Comptes 2021 natures'!BB71/'4.1 Comptes 2021 natures'!BB2</f>
        <v>0</v>
      </c>
      <c r="BC71" s="4">
        <f>'4.1 Comptes 2021 natures'!BC71/'4.1 Comptes 2021 natures'!BC2</f>
        <v>0</v>
      </c>
      <c r="BD71" s="4">
        <f>'4.1 Comptes 2021 natures'!BD71/'4.1 Comptes 2021 natures'!BD2</f>
        <v>0</v>
      </c>
      <c r="BE71" s="4">
        <f>'4.1 Comptes 2021 natures'!BE71/'4.1 Comptes 2021 natures'!BE2</f>
        <v>0</v>
      </c>
      <c r="BF71" s="4">
        <f t="shared" si="42"/>
        <v>387.9627738715327</v>
      </c>
      <c r="BG71" s="4">
        <f t="shared" si="43"/>
        <v>189.68934530010415</v>
      </c>
      <c r="BH71" s="4">
        <f t="shared" si="44"/>
        <v>198.27342857142858</v>
      </c>
      <c r="BI71" s="4">
        <f t="shared" si="45"/>
        <v>0</v>
      </c>
    </row>
    <row r="72" spans="1:61" x14ac:dyDescent="0.25">
      <c r="C72">
        <v>399</v>
      </c>
      <c r="D72" t="s">
        <v>136</v>
      </c>
      <c r="E72" s="4">
        <f>'4.1 Comptes 2021 natures'!E72/'4.1 Comptes 2021 natures'!E2</f>
        <v>0</v>
      </c>
      <c r="F72" s="4">
        <f>'4.1 Comptes 2021 natures'!F72/'4.1 Comptes 2021 natures'!F2</f>
        <v>0</v>
      </c>
      <c r="G72" s="4">
        <f>'4.1 Comptes 2021 natures'!G72/'4.1 Comptes 2021 natures'!G2</f>
        <v>0</v>
      </c>
      <c r="H72" s="4">
        <f>'4.1 Comptes 2021 natures'!H72/'4.1 Comptes 2021 natures'!H2</f>
        <v>0</v>
      </c>
      <c r="I72" s="4">
        <f>'4.1 Comptes 2021 natures'!I72/'4.1 Comptes 2021 natures'!I2</f>
        <v>0</v>
      </c>
      <c r="J72" s="4">
        <f>'4.1 Comptes 2021 natures'!J72/'4.1 Comptes 2021 natures'!J2</f>
        <v>0</v>
      </c>
      <c r="K72" s="4">
        <f>'4.1 Comptes 2021 natures'!K72/'4.1 Comptes 2021 natures'!K2</f>
        <v>0</v>
      </c>
      <c r="L72" s="4">
        <f>'4.1 Comptes 2021 natures'!L72/'4.1 Comptes 2021 natures'!L2</f>
        <v>87.898939017549495</v>
      </c>
      <c r="M72" s="4">
        <f>'4.1 Comptes 2021 natures'!M72/'4.1 Comptes 2021 natures'!M2</f>
        <v>0</v>
      </c>
      <c r="N72" s="4">
        <f>'4.1 Comptes 2021 natures'!N72/'4.1 Comptes 2021 natures'!N2</f>
        <v>0</v>
      </c>
      <c r="O72" s="4">
        <f>'4.1 Comptes 2021 natures'!O72/'4.1 Comptes 2021 natures'!O2</f>
        <v>0</v>
      </c>
      <c r="P72" s="4">
        <f>'4.1 Comptes 2021 natures'!P72/'4.1 Comptes 2021 natures'!P2</f>
        <v>0</v>
      </c>
      <c r="Q72" s="4">
        <f>'4.1 Comptes 2021 natures'!Q72/'4.1 Comptes 2021 natures'!Q2</f>
        <v>0</v>
      </c>
      <c r="R72" s="4">
        <f>'4.1 Comptes 2021 natures'!R72/'4.1 Comptes 2021 natures'!R2</f>
        <v>0</v>
      </c>
      <c r="S72" s="4">
        <f>'4.1 Comptes 2021 natures'!S72/'4.1 Comptes 2021 natures'!S2</f>
        <v>0</v>
      </c>
      <c r="T72" s="4">
        <f>'4.1 Comptes 2021 natures'!T72/'4.1 Comptes 2021 natures'!T2</f>
        <v>0</v>
      </c>
      <c r="U72" s="4">
        <f>'4.1 Comptes 2021 natures'!U72/'4.1 Comptes 2021 natures'!U2</f>
        <v>0</v>
      </c>
      <c r="V72" s="4">
        <f>'4.1 Comptes 2021 natures'!V72/'4.1 Comptes 2021 natures'!V2</f>
        <v>0</v>
      </c>
      <c r="W72" s="4">
        <f>'4.1 Comptes 2021 natures'!W72/'4.1 Comptes 2021 natures'!W2</f>
        <v>1.6723443790647259</v>
      </c>
      <c r="X72" s="4">
        <f>'4.1 Comptes 2021 natures'!X72/'4.1 Comptes 2021 natures'!X2</f>
        <v>0</v>
      </c>
      <c r="Y72" s="4">
        <f>'4.1 Comptes 2021 natures'!Y72/'4.1 Comptes 2021 natures'!Y2</f>
        <v>0</v>
      </c>
      <c r="Z72" s="4">
        <f>'4.1 Comptes 2021 natures'!Z72/'4.1 Comptes 2021 natures'!Z2</f>
        <v>0</v>
      </c>
      <c r="AA72" s="4">
        <f>'4.1 Comptes 2021 natures'!AA72/'4.1 Comptes 2021 natures'!AA2</f>
        <v>0</v>
      </c>
      <c r="AB72" s="4">
        <f>'4.1 Comptes 2021 natures'!AB72/'4.1 Comptes 2021 natures'!AB2</f>
        <v>0</v>
      </c>
      <c r="AC72" s="4">
        <f>'4.1 Comptes 2021 natures'!AC72/'4.1 Comptes 2021 natures'!AC2</f>
        <v>0</v>
      </c>
      <c r="AD72" s="4">
        <f>'4.1 Comptes 2021 natures'!AD72/'4.1 Comptes 2021 natures'!AD2</f>
        <v>0</v>
      </c>
      <c r="AE72" s="4">
        <f>'4.1 Comptes 2021 natures'!AE72/'4.1 Comptes 2021 natures'!AE2</f>
        <v>0</v>
      </c>
      <c r="AF72" s="4">
        <f>'4.1 Comptes 2021 natures'!AF72/'4.1 Comptes 2021 natures'!AF2</f>
        <v>0</v>
      </c>
      <c r="AG72" s="4">
        <f>'4.1 Comptes 2021 natures'!AG72/'4.1 Comptes 2021 natures'!AG2</f>
        <v>0</v>
      </c>
      <c r="AH72" s="4">
        <f>'4.1 Comptes 2021 natures'!AH72/'4.1 Comptes 2021 natures'!AH2</f>
        <v>0</v>
      </c>
      <c r="AI72" s="4">
        <f>'4.1 Comptes 2021 natures'!AI72/'4.1 Comptes 2021 natures'!AI2</f>
        <v>0</v>
      </c>
      <c r="AJ72" s="4">
        <f>'4.1 Comptes 2021 natures'!AJ72/'4.1 Comptes 2021 natures'!AJ2</f>
        <v>0</v>
      </c>
      <c r="AK72" s="4">
        <f>'4.1 Comptes 2021 natures'!AK72/'4.1 Comptes 2021 natures'!AK2</f>
        <v>0</v>
      </c>
      <c r="AL72" s="4">
        <f>'4.1 Comptes 2021 natures'!AL72/'4.1 Comptes 2021 natures'!AL2</f>
        <v>0</v>
      </c>
      <c r="AM72" s="4">
        <f>'4.1 Comptes 2021 natures'!AM72/'4.1 Comptes 2021 natures'!AM2</f>
        <v>0</v>
      </c>
      <c r="AN72" s="4">
        <f>'4.1 Comptes 2021 natures'!AN72/'4.1 Comptes 2021 natures'!AN2</f>
        <v>0</v>
      </c>
      <c r="AO72" s="4">
        <f>'4.1 Comptes 2021 natures'!AO72/'4.1 Comptes 2021 natures'!AO2</f>
        <v>0</v>
      </c>
      <c r="AP72" s="4">
        <f>'4.1 Comptes 2021 natures'!AP72/'4.1 Comptes 2021 natures'!AP2</f>
        <v>0</v>
      </c>
      <c r="AQ72" s="4">
        <f>'4.1 Comptes 2021 natures'!AQ72/'4.1 Comptes 2021 natures'!AQ2</f>
        <v>0</v>
      </c>
      <c r="AR72" s="4">
        <f>'4.1 Comptes 2021 natures'!AR72/'4.1 Comptes 2021 natures'!AR2</f>
        <v>0</v>
      </c>
      <c r="AS72" s="4">
        <f>'4.1 Comptes 2021 natures'!AS72/'4.1 Comptes 2021 natures'!AS2</f>
        <v>0</v>
      </c>
      <c r="AT72" s="4">
        <f>'4.1 Comptes 2021 natures'!AT72/'4.1 Comptes 2021 natures'!AT2</f>
        <v>0</v>
      </c>
      <c r="AU72" s="4">
        <f>'4.1 Comptes 2021 natures'!AU72/'4.1 Comptes 2021 natures'!AU2</f>
        <v>0</v>
      </c>
      <c r="AV72" s="4">
        <f>'4.1 Comptes 2021 natures'!AV72/'4.1 Comptes 2021 natures'!AV2</f>
        <v>0</v>
      </c>
      <c r="AW72" s="4">
        <f>'4.1 Comptes 2021 natures'!AW72/'4.1 Comptes 2021 natures'!AW2</f>
        <v>0</v>
      </c>
      <c r="AX72" s="4">
        <f>'4.1 Comptes 2021 natures'!AX72/'4.1 Comptes 2021 natures'!AX2</f>
        <v>0</v>
      </c>
      <c r="AY72" s="4">
        <f>'4.1 Comptes 2021 natures'!AY72/'4.1 Comptes 2021 natures'!AY2</f>
        <v>0</v>
      </c>
      <c r="AZ72" s="4">
        <f>'4.1 Comptes 2021 natures'!AZ72/'4.1 Comptes 2021 natures'!AZ2</f>
        <v>0.58927519151443719</v>
      </c>
      <c r="BA72" s="4">
        <f>'4.1 Comptes 2021 natures'!BA72/'4.1 Comptes 2021 natures'!BA2</f>
        <v>0</v>
      </c>
      <c r="BB72" s="4">
        <f>'4.1 Comptes 2021 natures'!BB72/'4.1 Comptes 2021 natures'!BB2</f>
        <v>0</v>
      </c>
      <c r="BC72" s="4">
        <f>'4.1 Comptes 2021 natures'!BC72/'4.1 Comptes 2021 natures'!BC2</f>
        <v>0</v>
      </c>
      <c r="BD72" s="4">
        <f>'4.1 Comptes 2021 natures'!BD72/'4.1 Comptes 2021 natures'!BD2</f>
        <v>0</v>
      </c>
      <c r="BE72" s="4">
        <f>'4.1 Comptes 2021 natures'!BE72/'4.1 Comptes 2021 natures'!BE2</f>
        <v>0</v>
      </c>
      <c r="BF72" s="4">
        <f t="shared" si="42"/>
        <v>90.160558588128652</v>
      </c>
      <c r="BG72" s="4">
        <f t="shared" si="43"/>
        <v>89.57128339661422</v>
      </c>
      <c r="BH72" s="4">
        <f t="shared" si="44"/>
        <v>0</v>
      </c>
      <c r="BI72" s="4">
        <f t="shared" si="45"/>
        <v>0.58927519151443719</v>
      </c>
    </row>
    <row r="73" spans="1:61" x14ac:dyDescent="0.25">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f t="shared" si="42"/>
        <v>0</v>
      </c>
      <c r="BG73" s="4">
        <f t="shared" si="43"/>
        <v>0</v>
      </c>
      <c r="BH73" s="4">
        <f t="shared" si="44"/>
        <v>0</v>
      </c>
      <c r="BI73" s="4">
        <f t="shared" si="45"/>
        <v>0</v>
      </c>
    </row>
    <row r="74" spans="1:61" x14ac:dyDescent="0.25">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row>
    <row r="75" spans="1:61" ht="21" x14ac:dyDescent="0.35">
      <c r="A75" s="80">
        <v>4</v>
      </c>
      <c r="B75" s="80"/>
      <c r="C75" s="80"/>
      <c r="D75" s="80" t="s">
        <v>137</v>
      </c>
      <c r="E75" s="79">
        <f>E76+E82+E88+E99+E105+E117+E121+E128+E131+E140</f>
        <v>3793.9346990496297</v>
      </c>
      <c r="F75" s="79">
        <f t="shared" ref="F75:BI75" si="46">F76+F82+F88+F99+F105+F117+F121+F128+F131+F140</f>
        <v>3983.6425283018866</v>
      </c>
      <c r="G75" s="79">
        <f t="shared" si="46"/>
        <v>3288.2091471215358</v>
      </c>
      <c r="H75" s="79">
        <f t="shared" si="46"/>
        <v>4504.7744419134406</v>
      </c>
      <c r="I75" s="79">
        <f t="shared" si="46"/>
        <v>4258.0882457081552</v>
      </c>
      <c r="J75" s="79">
        <f t="shared" si="46"/>
        <v>4044.3207832585945</v>
      </c>
      <c r="K75" s="79">
        <f t="shared" si="46"/>
        <v>3973.7846568627456</v>
      </c>
      <c r="L75" s="79">
        <f t="shared" si="46"/>
        <v>8362.2150124208674</v>
      </c>
      <c r="M75" s="79">
        <f t="shared" si="46"/>
        <v>5717.1080941869022</v>
      </c>
      <c r="N75" s="79">
        <f t="shared" si="46"/>
        <v>4502.4660683760676</v>
      </c>
      <c r="O75" s="79">
        <f t="shared" si="46"/>
        <v>3765.0125079190198</v>
      </c>
      <c r="P75" s="79">
        <f t="shared" si="46"/>
        <v>3511.8114126394062</v>
      </c>
      <c r="Q75" s="79">
        <f t="shared" si="46"/>
        <v>3791.2479279279278</v>
      </c>
      <c r="R75" s="79">
        <f t="shared" si="46"/>
        <v>3675.3552731591458</v>
      </c>
      <c r="S75" s="79">
        <f t="shared" si="46"/>
        <v>3983.2301445086705</v>
      </c>
      <c r="T75" s="79">
        <f t="shared" si="46"/>
        <v>4265.7577183098592</v>
      </c>
      <c r="U75" s="79">
        <f t="shared" si="46"/>
        <v>3501.1935687732343</v>
      </c>
      <c r="V75" s="79">
        <f t="shared" si="46"/>
        <v>5033.9912499999991</v>
      </c>
      <c r="W75" s="79">
        <f t="shared" si="46"/>
        <v>3962.7141313100028</v>
      </c>
      <c r="X75" s="79">
        <f t="shared" si="46"/>
        <v>6260.310096774193</v>
      </c>
      <c r="Y75" s="79">
        <f t="shared" si="46"/>
        <v>5920.3143779527554</v>
      </c>
      <c r="Z75" s="79">
        <f t="shared" si="46"/>
        <v>7659.0997078353248</v>
      </c>
      <c r="AA75" s="79">
        <f t="shared" si="46"/>
        <v>6837.1939583333333</v>
      </c>
      <c r="AB75" s="79">
        <f t="shared" si="46"/>
        <v>5972.0333108108107</v>
      </c>
      <c r="AC75" s="79">
        <f t="shared" si="46"/>
        <v>5004.5623938223926</v>
      </c>
      <c r="AD75" s="79">
        <f t="shared" si="46"/>
        <v>4864.9440370898719</v>
      </c>
      <c r="AE75" s="79">
        <f t="shared" si="46"/>
        <v>4926.488705673758</v>
      </c>
      <c r="AF75" s="79">
        <f t="shared" si="46"/>
        <v>6603.4119809523809</v>
      </c>
      <c r="AG75" s="79">
        <f t="shared" si="46"/>
        <v>5320.8442273441588</v>
      </c>
      <c r="AH75" s="79">
        <f t="shared" si="46"/>
        <v>4922.6403023255825</v>
      </c>
      <c r="AI75" s="79">
        <f t="shared" si="46"/>
        <v>4931.206666666666</v>
      </c>
      <c r="AJ75" s="79">
        <f t="shared" si="46"/>
        <v>5552.0317054263569</v>
      </c>
      <c r="AK75" s="79">
        <f t="shared" si="46"/>
        <v>4597.4995134849287</v>
      </c>
      <c r="AL75" s="79">
        <f t="shared" si="46"/>
        <v>5043.2022380106564</v>
      </c>
      <c r="AM75" s="79">
        <f t="shared" si="46"/>
        <v>4435.1694530612258</v>
      </c>
      <c r="AN75" s="79">
        <f t="shared" si="46"/>
        <v>5222.2115384615381</v>
      </c>
      <c r="AO75" s="79">
        <f t="shared" si="46"/>
        <v>7935.9433755274267</v>
      </c>
      <c r="AP75" s="79">
        <f t="shared" si="46"/>
        <v>6044.9854361370708</v>
      </c>
      <c r="AQ75" s="79">
        <f t="shared" si="46"/>
        <v>3667.8166192733015</v>
      </c>
      <c r="AR75" s="79">
        <f t="shared" si="46"/>
        <v>5155.1555451713393</v>
      </c>
      <c r="AS75" s="79">
        <f t="shared" si="46"/>
        <v>4863.4912311901508</v>
      </c>
      <c r="AT75" s="79">
        <f t="shared" si="46"/>
        <v>4380.3339468503946</v>
      </c>
      <c r="AU75" s="79">
        <f t="shared" si="46"/>
        <v>4771.7176973684218</v>
      </c>
      <c r="AV75" s="79">
        <f t="shared" si="46"/>
        <v>4200.3361484245434</v>
      </c>
      <c r="AW75" s="79">
        <f t="shared" si="46"/>
        <v>4519.5811972789115</v>
      </c>
      <c r="AX75" s="79">
        <f t="shared" si="46"/>
        <v>3535.0156756756755</v>
      </c>
      <c r="AY75" s="79">
        <f t="shared" si="46"/>
        <v>3979.6094705882356</v>
      </c>
      <c r="AZ75" s="79">
        <f t="shared" si="46"/>
        <v>4306.236305244548</v>
      </c>
      <c r="BA75" s="79">
        <f t="shared" si="46"/>
        <v>4448.9925897435896</v>
      </c>
      <c r="BB75" s="79">
        <f t="shared" si="46"/>
        <v>5462.2752096924514</v>
      </c>
      <c r="BC75" s="79">
        <f t="shared" si="46"/>
        <v>4099.135869565217</v>
      </c>
      <c r="BD75" s="79">
        <f t="shared" si="46"/>
        <v>6212.3140798020413</v>
      </c>
      <c r="BE75" s="79">
        <f t="shared" si="46"/>
        <v>4537.6819677996418</v>
      </c>
      <c r="BF75" s="79">
        <f t="shared" si="46"/>
        <v>258112.64419110597</v>
      </c>
      <c r="BG75" s="79">
        <f t="shared" si="46"/>
        <v>81918.857611747095</v>
      </c>
      <c r="BH75" s="79">
        <f t="shared" si="46"/>
        <v>74775.081471007594</v>
      </c>
      <c r="BI75" s="79">
        <f t="shared" si="46"/>
        <v>101418.70510835129</v>
      </c>
    </row>
    <row r="76" spans="1:61" x14ac:dyDescent="0.25">
      <c r="A76" s="7"/>
      <c r="B76" s="78">
        <v>40</v>
      </c>
      <c r="C76" s="78"/>
      <c r="D76" s="78" t="s">
        <v>79</v>
      </c>
      <c r="E76" s="73">
        <f>E77+E78+E79+E80</f>
        <v>2623.704804646251</v>
      </c>
      <c r="F76" s="73">
        <f t="shared" ref="F76:BI76" si="47">F77+F78+F79+F80</f>
        <v>2413.3498490566035</v>
      </c>
      <c r="G76" s="73">
        <f t="shared" si="47"/>
        <v>2340.4307675906184</v>
      </c>
      <c r="H76" s="73">
        <f t="shared" si="47"/>
        <v>2403.587243735763</v>
      </c>
      <c r="I76" s="73">
        <f t="shared" si="47"/>
        <v>2515.8797049356226</v>
      </c>
      <c r="J76" s="73">
        <f t="shared" si="47"/>
        <v>2741.7308101644244</v>
      </c>
      <c r="K76" s="73">
        <f t="shared" si="47"/>
        <v>2724.21435520362</v>
      </c>
      <c r="L76" s="73">
        <f t="shared" si="47"/>
        <v>3289.0487531052163</v>
      </c>
      <c r="M76" s="73">
        <f t="shared" si="47"/>
        <v>2765.266916850625</v>
      </c>
      <c r="N76" s="73">
        <f t="shared" si="47"/>
        <v>1728.3149572649575</v>
      </c>
      <c r="O76" s="73">
        <f t="shared" si="47"/>
        <v>2541.7618303264012</v>
      </c>
      <c r="P76" s="73">
        <f t="shared" si="47"/>
        <v>2178.2271561338293</v>
      </c>
      <c r="Q76" s="73">
        <f t="shared" si="47"/>
        <v>2381.7470270270273</v>
      </c>
      <c r="R76" s="73">
        <f t="shared" si="47"/>
        <v>2420.3870071258916</v>
      </c>
      <c r="S76" s="73">
        <f t="shared" si="47"/>
        <v>2419.4763872832368</v>
      </c>
      <c r="T76" s="73">
        <f t="shared" si="47"/>
        <v>3054.0628309859153</v>
      </c>
      <c r="U76" s="73">
        <f t="shared" si="47"/>
        <v>1932.389219330855</v>
      </c>
      <c r="V76" s="73">
        <f t="shared" si="47"/>
        <v>2877.6104545454541</v>
      </c>
      <c r="W76" s="73">
        <f t="shared" si="47"/>
        <v>2613.4166150510996</v>
      </c>
      <c r="X76" s="73">
        <f t="shared" si="47"/>
        <v>2652.8482580645159</v>
      </c>
      <c r="Y76" s="73">
        <f t="shared" si="47"/>
        <v>4297.213173228346</v>
      </c>
      <c r="Z76" s="73">
        <f t="shared" si="47"/>
        <v>4555.5994621513946</v>
      </c>
      <c r="AA76" s="73">
        <f t="shared" si="47"/>
        <v>2585.3356250000002</v>
      </c>
      <c r="AB76" s="73">
        <f t="shared" si="47"/>
        <v>2386.4858108108106</v>
      </c>
      <c r="AC76" s="73">
        <f t="shared" si="47"/>
        <v>2734.3220270270267</v>
      </c>
      <c r="AD76" s="73">
        <f t="shared" si="47"/>
        <v>2438.1739229671898</v>
      </c>
      <c r="AE76" s="73">
        <f t="shared" si="47"/>
        <v>2667.9533865248222</v>
      </c>
      <c r="AF76" s="73">
        <f t="shared" si="47"/>
        <v>2833.9064952380954</v>
      </c>
      <c r="AG76" s="73">
        <f t="shared" si="47"/>
        <v>3686.1304243059194</v>
      </c>
      <c r="AH76" s="73">
        <f t="shared" si="47"/>
        <v>3039.5962713178296</v>
      </c>
      <c r="AI76" s="73">
        <f t="shared" si="47"/>
        <v>2024.172882882883</v>
      </c>
      <c r="AJ76" s="73">
        <f t="shared" si="47"/>
        <v>3282.5817829457364</v>
      </c>
      <c r="AK76" s="73">
        <f t="shared" si="47"/>
        <v>3112.5259915388688</v>
      </c>
      <c r="AL76" s="73">
        <f t="shared" si="47"/>
        <v>2331.6422735346355</v>
      </c>
      <c r="AM76" s="73">
        <f t="shared" si="47"/>
        <v>2349.3041142857146</v>
      </c>
      <c r="AN76" s="73">
        <f t="shared" si="47"/>
        <v>2929.4637606837605</v>
      </c>
      <c r="AO76" s="73">
        <f t="shared" si="47"/>
        <v>6196.479873417722</v>
      </c>
      <c r="AP76" s="73">
        <f t="shared" si="47"/>
        <v>2989.0339096573211</v>
      </c>
      <c r="AQ76" s="73">
        <f t="shared" si="47"/>
        <v>2746.2212796208532</v>
      </c>
      <c r="AR76" s="73">
        <f t="shared" si="47"/>
        <v>2538.6844314641748</v>
      </c>
      <c r="AS76" s="73">
        <f t="shared" si="47"/>
        <v>2799.7518331053352</v>
      </c>
      <c r="AT76" s="73">
        <f t="shared" si="47"/>
        <v>2496.4010826771655</v>
      </c>
      <c r="AU76" s="73">
        <f t="shared" si="47"/>
        <v>931.36654605263163</v>
      </c>
      <c r="AV76" s="73">
        <f t="shared" si="47"/>
        <v>2819.623030679933</v>
      </c>
      <c r="AW76" s="73">
        <f t="shared" si="47"/>
        <v>3454.0003401360545</v>
      </c>
      <c r="AX76" s="73">
        <f t="shared" si="47"/>
        <v>1997.950972972973</v>
      </c>
      <c r="AY76" s="73">
        <f t="shared" si="47"/>
        <v>2667.2564705882355</v>
      </c>
      <c r="AZ76" s="73">
        <f t="shared" si="47"/>
        <v>2984.2670359457866</v>
      </c>
      <c r="BA76" s="73">
        <f t="shared" si="47"/>
        <v>2452.0571794871794</v>
      </c>
      <c r="BB76" s="73">
        <f t="shared" si="47"/>
        <v>3283.9444454799627</v>
      </c>
      <c r="BC76" s="73">
        <f t="shared" si="47"/>
        <v>2147.2462499999997</v>
      </c>
      <c r="BD76" s="73">
        <f t="shared" si="47"/>
        <v>3400.735408289514</v>
      </c>
      <c r="BE76" s="73">
        <f t="shared" si="47"/>
        <v>2638.7164042933809</v>
      </c>
      <c r="BF76" s="73">
        <f t="shared" si="47"/>
        <v>146415.59884673919</v>
      </c>
      <c r="BG76" s="73">
        <f t="shared" si="47"/>
        <v>47964.606690363406</v>
      </c>
      <c r="BH76" s="73">
        <f t="shared" si="47"/>
        <v>39184.319522464568</v>
      </c>
      <c r="BI76" s="73">
        <f t="shared" si="47"/>
        <v>59266.672633911199</v>
      </c>
    </row>
    <row r="77" spans="1:61" x14ac:dyDescent="0.25">
      <c r="C77">
        <v>400</v>
      </c>
      <c r="D77" t="s">
        <v>138</v>
      </c>
      <c r="E77" s="4">
        <f>'4.1 Comptes 2021 natures'!E77/'4.1 Comptes 2021 natures'!E2</f>
        <v>2206.3866948257655</v>
      </c>
      <c r="F77" s="4">
        <f>'4.1 Comptes 2021 natures'!F77/'4.1 Comptes 2021 natures'!F2</f>
        <v>1857.6709056603772</v>
      </c>
      <c r="G77" s="4">
        <f>'4.1 Comptes 2021 natures'!G77/'4.1 Comptes 2021 natures'!G2</f>
        <v>2025.4097014925374</v>
      </c>
      <c r="H77" s="4">
        <f>'4.1 Comptes 2021 natures'!H77/'4.1 Comptes 2021 natures'!H2</f>
        <v>1916.221366742597</v>
      </c>
      <c r="I77" s="4">
        <f>'4.1 Comptes 2021 natures'!I77/'4.1 Comptes 2021 natures'!I2</f>
        <v>2058.9448390557941</v>
      </c>
      <c r="J77" s="4">
        <f>'4.1 Comptes 2021 natures'!J77/'4.1 Comptes 2021 natures'!J2</f>
        <v>2262.3654917787744</v>
      </c>
      <c r="K77" s="4">
        <f>'4.1 Comptes 2021 natures'!K77/'4.1 Comptes 2021 natures'!K2</f>
        <v>2230.0992948717949</v>
      </c>
      <c r="L77" s="4">
        <f>'4.1 Comptes 2021 natures'!L77/'4.1 Comptes 2021 natures'!L2</f>
        <v>2267.1324849747575</v>
      </c>
      <c r="M77" s="4">
        <f>'4.1 Comptes 2021 natures'!M77/'4.1 Comptes 2021 natures'!M2</f>
        <v>2202.5750331125828</v>
      </c>
      <c r="N77" s="4">
        <f>'4.1 Comptes 2021 natures'!N77/'4.1 Comptes 2021 natures'!N2</f>
        <v>1525.8123931623932</v>
      </c>
      <c r="O77" s="4">
        <f>'4.1 Comptes 2021 natures'!O77/'4.1 Comptes 2021 natures'!O2</f>
        <v>2062.8656727723455</v>
      </c>
      <c r="P77" s="4">
        <f>'4.1 Comptes 2021 natures'!P77/'4.1 Comptes 2021 natures'!P2</f>
        <v>1716.1664498141265</v>
      </c>
      <c r="Q77" s="4">
        <f>'4.1 Comptes 2021 natures'!Q77/'4.1 Comptes 2021 natures'!Q2</f>
        <v>2104.7988288288288</v>
      </c>
      <c r="R77" s="4">
        <f>'4.1 Comptes 2021 natures'!R77/'4.1 Comptes 2021 natures'!R2</f>
        <v>2125.5134679334919</v>
      </c>
      <c r="S77" s="4">
        <f>'4.1 Comptes 2021 natures'!S77/'4.1 Comptes 2021 natures'!S2</f>
        <v>2088.6829190751446</v>
      </c>
      <c r="T77" s="4">
        <f>'4.1 Comptes 2021 natures'!T77/'4.1 Comptes 2021 natures'!T2</f>
        <v>2611.0916197183101</v>
      </c>
      <c r="U77" s="4">
        <f>'4.1 Comptes 2021 natures'!U77/'4.1 Comptes 2021 natures'!U2</f>
        <v>1540.5890334572491</v>
      </c>
      <c r="V77" s="4">
        <f>'4.1 Comptes 2021 natures'!V77/'4.1 Comptes 2021 natures'!V2</f>
        <v>2218.8112499999997</v>
      </c>
      <c r="W77" s="4">
        <f>'4.1 Comptes 2021 natures'!W77/'4.1 Comptes 2021 natures'!W2</f>
        <v>2153.8777949829669</v>
      </c>
      <c r="X77" s="4">
        <f>'4.1 Comptes 2021 natures'!X77/'4.1 Comptes 2021 natures'!X2</f>
        <v>2274.9414193548387</v>
      </c>
      <c r="Y77" s="4">
        <f>'4.1 Comptes 2021 natures'!Y77/'4.1 Comptes 2021 natures'!Y2</f>
        <v>4068.94525984252</v>
      </c>
      <c r="Z77" s="4">
        <f>'4.1 Comptes 2021 natures'!Z77/'4.1 Comptes 2021 natures'!Z2</f>
        <v>1893.435411686587</v>
      </c>
      <c r="AA77" s="4">
        <f>'4.1 Comptes 2021 natures'!AA77/'4.1 Comptes 2021 natures'!AA2</f>
        <v>2096.3875000000003</v>
      </c>
      <c r="AB77" s="4">
        <f>'4.1 Comptes 2021 natures'!AB77/'4.1 Comptes 2021 natures'!AB2</f>
        <v>1839.5533783783785</v>
      </c>
      <c r="AC77" s="4">
        <f>'4.1 Comptes 2021 natures'!AC77/'4.1 Comptes 2021 natures'!AC2</f>
        <v>2268.4645945945945</v>
      </c>
      <c r="AD77" s="4">
        <f>'4.1 Comptes 2021 natures'!AD77/'4.1 Comptes 2021 natures'!AD2</f>
        <v>2019.166904422254</v>
      </c>
      <c r="AE77" s="4">
        <f>'4.1 Comptes 2021 natures'!AE77/'4.1 Comptes 2021 natures'!AE2</f>
        <v>2092.5297163120567</v>
      </c>
      <c r="AF77" s="4">
        <f>'4.1 Comptes 2021 natures'!AF77/'4.1 Comptes 2021 natures'!AF2</f>
        <v>2310.390457142857</v>
      </c>
      <c r="AG77" s="4">
        <f>'4.1 Comptes 2021 natures'!AG77/'4.1 Comptes 2021 natures'!AG2</f>
        <v>2484.2453378732321</v>
      </c>
      <c r="AH77" s="4">
        <f>'4.1 Comptes 2021 natures'!AH77/'4.1 Comptes 2021 natures'!AH2</f>
        <v>2433.9716860465119</v>
      </c>
      <c r="AI77" s="4">
        <f>'4.1 Comptes 2021 natures'!AI77/'4.1 Comptes 2021 natures'!AI2</f>
        <v>1585.1664414414415</v>
      </c>
      <c r="AJ77" s="4">
        <f>'4.1 Comptes 2021 natures'!AJ77/'4.1 Comptes 2021 natures'!AJ2</f>
        <v>1883.9135658914729</v>
      </c>
      <c r="AK77" s="4">
        <f>'4.1 Comptes 2021 natures'!AK77/'4.1 Comptes 2021 natures'!AK2</f>
        <v>2512.4037281861451</v>
      </c>
      <c r="AL77" s="4">
        <f>'4.1 Comptes 2021 natures'!AL77/'4.1 Comptes 2021 natures'!AL2</f>
        <v>1881.3674955595025</v>
      </c>
      <c r="AM77" s="4">
        <f>'4.1 Comptes 2021 natures'!AM77/'4.1 Comptes 2021 natures'!AM2</f>
        <v>1969.5422775510203</v>
      </c>
      <c r="AN77" s="4">
        <f>'4.1 Comptes 2021 natures'!AN77/'4.1 Comptes 2021 natures'!AN2</f>
        <v>2407.8658974358973</v>
      </c>
      <c r="AO77" s="4">
        <f>'4.1 Comptes 2021 natures'!AO77/'4.1 Comptes 2021 natures'!AO2</f>
        <v>2642.7634177215191</v>
      </c>
      <c r="AP77" s="4">
        <f>'4.1 Comptes 2021 natures'!AP77/'4.1 Comptes 2021 natures'!AP2</f>
        <v>2115.0677102803738</v>
      </c>
      <c r="AQ77" s="4">
        <f>'4.1 Comptes 2021 natures'!AQ77/'4.1 Comptes 2021 natures'!AQ2</f>
        <v>2431.5825276461296</v>
      </c>
      <c r="AR77" s="4">
        <f>'4.1 Comptes 2021 natures'!AR77/'4.1 Comptes 2021 natures'!AR2</f>
        <v>1922.7045404984424</v>
      </c>
      <c r="AS77" s="4">
        <f>'4.1 Comptes 2021 natures'!AS77/'4.1 Comptes 2021 natures'!AS2</f>
        <v>2339.7597537619699</v>
      </c>
      <c r="AT77" s="4">
        <f>'4.1 Comptes 2021 natures'!AT77/'4.1 Comptes 2021 natures'!AT2</f>
        <v>2080.1118110236221</v>
      </c>
      <c r="AU77" s="4">
        <f>'4.1 Comptes 2021 natures'!AU77/'4.1 Comptes 2021 natures'!AU2</f>
        <v>344.76322368421052</v>
      </c>
      <c r="AV77" s="4">
        <f>'4.1 Comptes 2021 natures'!AV77/'4.1 Comptes 2021 natures'!AV2</f>
        <v>2147.3900704809284</v>
      </c>
      <c r="AW77" s="4">
        <f>'4.1 Comptes 2021 natures'!AW77/'4.1 Comptes 2021 natures'!AW2</f>
        <v>2789.6099319727891</v>
      </c>
      <c r="AX77" s="4">
        <f>'4.1 Comptes 2021 natures'!AX77/'4.1 Comptes 2021 natures'!AX2</f>
        <v>1694.0470270270271</v>
      </c>
      <c r="AY77" s="4">
        <f>'4.1 Comptes 2021 natures'!AY77/'4.1 Comptes 2021 natures'!AY2</f>
        <v>2100.7831470588235</v>
      </c>
      <c r="AZ77" s="4">
        <f>'4.1 Comptes 2021 natures'!AZ77/'4.1 Comptes 2021 natures'!AZ2</f>
        <v>2487.5147259870359</v>
      </c>
      <c r="BA77" s="4">
        <f>'4.1 Comptes 2021 natures'!BA77/'4.1 Comptes 2021 natures'!BA2</f>
        <v>1951.8356410256411</v>
      </c>
      <c r="BB77" s="4">
        <f>'4.1 Comptes 2021 natures'!BB77/'4.1 Comptes 2021 natures'!BB2</f>
        <v>2325.4943522833178</v>
      </c>
      <c r="BC77" s="4">
        <f>'4.1 Comptes 2021 natures'!BC77/'4.1 Comptes 2021 natures'!BC2</f>
        <v>1778.75875</v>
      </c>
      <c r="BD77" s="4">
        <f>'4.1 Comptes 2021 natures'!BD77/'4.1 Comptes 2021 natures'!BD2</f>
        <v>2543.5984921125887</v>
      </c>
      <c r="BE77" s="4">
        <f>'4.1 Comptes 2021 natures'!BE77/'4.1 Comptes 2021 natures'!BE2</f>
        <v>2199.4901788908765</v>
      </c>
      <c r="BF77" s="4">
        <f t="shared" ref="BF77:BF80" si="48">SUM(E77:BE77)</f>
        <v>113092.58161543445</v>
      </c>
      <c r="BG77" s="4">
        <f t="shared" ref="BG77:BG80" si="49">SUM(E77:W77)</f>
        <v>39175.015242259833</v>
      </c>
      <c r="BH77" s="4">
        <f t="shared" ref="BH77:BH80" si="50">SUM(X77:AJ77)</f>
        <v>29251.111672986743</v>
      </c>
      <c r="BI77" s="4">
        <f t="shared" ref="BI77:BI80" si="51">SUM(AK77:BE77)</f>
        <v>44666.454700187853</v>
      </c>
    </row>
    <row r="78" spans="1:61" x14ac:dyDescent="0.25">
      <c r="C78">
        <v>401</v>
      </c>
      <c r="D78" t="s">
        <v>139</v>
      </c>
      <c r="E78" s="4">
        <f>'4.1 Comptes 2021 natures'!E78/'4.1 Comptes 2021 natures'!E2</f>
        <v>105.4433474128828</v>
      </c>
      <c r="F78" s="4">
        <f>'4.1 Comptes 2021 natures'!F78/'4.1 Comptes 2021 natures'!F2</f>
        <v>14.021018867924528</v>
      </c>
      <c r="G78" s="4">
        <f>'4.1 Comptes 2021 natures'!G78/'4.1 Comptes 2021 natures'!G2</f>
        <v>67.09398720682303</v>
      </c>
      <c r="H78" s="4">
        <f>'4.1 Comptes 2021 natures'!H78/'4.1 Comptes 2021 natures'!H2</f>
        <v>93.03826879271071</v>
      </c>
      <c r="I78" s="4">
        <f>'4.1 Comptes 2021 natures'!I78/'4.1 Comptes 2021 natures'!I2</f>
        <v>82.530158261802569</v>
      </c>
      <c r="J78" s="4">
        <f>'4.1 Comptes 2021 natures'!J78/'4.1 Comptes 2021 natures'!J2</f>
        <v>132.57869656203289</v>
      </c>
      <c r="K78" s="4">
        <f>'4.1 Comptes 2021 natures'!K78/'4.1 Comptes 2021 natures'!K2</f>
        <v>229.70086349924583</v>
      </c>
      <c r="L78" s="4">
        <f>'4.1 Comptes 2021 natures'!L78/'4.1 Comptes 2021 natures'!L2</f>
        <v>621.61039987178458</v>
      </c>
      <c r="M78" s="4">
        <f>'4.1 Comptes 2021 natures'!M78/'4.1 Comptes 2021 natures'!M2</f>
        <v>217.9724944812362</v>
      </c>
      <c r="N78" s="4">
        <f>'4.1 Comptes 2021 natures'!N78/'4.1 Comptes 2021 natures'!N2</f>
        <v>45.386324786324785</v>
      </c>
      <c r="O78" s="4">
        <f>'4.1 Comptes 2021 natures'!O78/'4.1 Comptes 2021 natures'!O2</f>
        <v>169.58199972455583</v>
      </c>
      <c r="P78" s="4">
        <f>'4.1 Comptes 2021 natures'!P78/'4.1 Comptes 2021 natures'!P2</f>
        <v>46.117193308550185</v>
      </c>
      <c r="Q78" s="4">
        <f>'4.1 Comptes 2021 natures'!Q78/'4.1 Comptes 2021 natures'!Q2</f>
        <v>2.7693693693693691</v>
      </c>
      <c r="R78" s="4">
        <f>'4.1 Comptes 2021 natures'!R78/'4.1 Comptes 2021 natures'!R2</f>
        <v>25.194774346793348</v>
      </c>
      <c r="S78" s="4">
        <f>'4.1 Comptes 2021 natures'!S78/'4.1 Comptes 2021 natures'!S2</f>
        <v>25.814421965317923</v>
      </c>
      <c r="T78" s="4">
        <f>'4.1 Comptes 2021 natures'!T78/'4.1 Comptes 2021 natures'!T2</f>
        <v>58.243619718309859</v>
      </c>
      <c r="U78" s="4">
        <f>'4.1 Comptes 2021 natures'!U78/'4.1 Comptes 2021 natures'!U2</f>
        <v>33.156877323420076</v>
      </c>
      <c r="V78" s="4">
        <f>'4.1 Comptes 2021 natures'!V78/'4.1 Comptes 2021 natures'!V2</f>
        <v>301.22761363636363</v>
      </c>
      <c r="W78" s="4">
        <f>'4.1 Comptes 2021 natures'!W78/'4.1 Comptes 2021 natures'!W2</f>
        <v>125.75274078662123</v>
      </c>
      <c r="X78" s="4">
        <f>'4.1 Comptes 2021 natures'!X78/'4.1 Comptes 2021 natures'!X2</f>
        <v>-6.0947741935483872</v>
      </c>
      <c r="Y78" s="4">
        <f>'4.1 Comptes 2021 natures'!Y78/'4.1 Comptes 2021 natures'!Y2</f>
        <v>12.919921259842519</v>
      </c>
      <c r="Z78" s="4">
        <f>'4.1 Comptes 2021 natures'!Z78/'4.1 Comptes 2021 natures'!Z2</f>
        <v>2080.2689442231076</v>
      </c>
      <c r="AA78" s="4">
        <f>'4.1 Comptes 2021 natures'!AA78/'4.1 Comptes 2021 natures'!AA2</f>
        <v>0</v>
      </c>
      <c r="AB78" s="4">
        <f>'4.1 Comptes 2021 natures'!AB78/'4.1 Comptes 2021 natures'!AB2</f>
        <v>50.427364864864863</v>
      </c>
      <c r="AC78" s="4">
        <f>'4.1 Comptes 2021 natures'!AC78/'4.1 Comptes 2021 natures'!AC2</f>
        <v>157.21447876447877</v>
      </c>
      <c r="AD78" s="4">
        <f>'4.1 Comptes 2021 natures'!AD78/'4.1 Comptes 2021 natures'!AD2</f>
        <v>83.701940085592014</v>
      </c>
      <c r="AE78" s="4">
        <f>'4.1 Comptes 2021 natures'!AE78/'4.1 Comptes 2021 natures'!AE2</f>
        <v>43.208741134751776</v>
      </c>
      <c r="AF78" s="4">
        <f>'4.1 Comptes 2021 natures'!AF78/'4.1 Comptes 2021 natures'!AF2</f>
        <v>59.535771428571429</v>
      </c>
      <c r="AG78" s="4">
        <f>'4.1 Comptes 2021 natures'!AG78/'4.1 Comptes 2021 natures'!AG2</f>
        <v>801.7688737558932</v>
      </c>
      <c r="AH78" s="4">
        <f>'4.1 Comptes 2021 natures'!AH78/'4.1 Comptes 2021 natures'!AH2</f>
        <v>259.43685271317827</v>
      </c>
      <c r="AI78" s="4">
        <f>'4.1 Comptes 2021 natures'!AI78/'4.1 Comptes 2021 natures'!AI2</f>
        <v>97.818018018018009</v>
      </c>
      <c r="AJ78" s="4">
        <f>'4.1 Comptes 2021 natures'!AJ78/'4.1 Comptes 2021 natures'!AJ2</f>
        <v>28.426356589147286</v>
      </c>
      <c r="AK78" s="4">
        <f>'4.1 Comptes 2021 natures'!AK78/'4.1 Comptes 2021 natures'!AK2</f>
        <v>197.74175039661557</v>
      </c>
      <c r="AL78" s="4">
        <f>'4.1 Comptes 2021 natures'!AL78/'4.1 Comptes 2021 natures'!AL2</f>
        <v>42.876865008880991</v>
      </c>
      <c r="AM78" s="4">
        <f>'4.1 Comptes 2021 natures'!AM78/'4.1 Comptes 2021 natures'!AM2</f>
        <v>53.833265306122449</v>
      </c>
      <c r="AN78" s="4">
        <f>'4.1 Comptes 2021 natures'!AN78/'4.1 Comptes 2021 natures'!AN2</f>
        <v>88.620940170940173</v>
      </c>
      <c r="AO78" s="4">
        <f>'4.1 Comptes 2021 natures'!AO78/'4.1 Comptes 2021 natures'!AO2</f>
        <v>3250.359071729958</v>
      </c>
      <c r="AP78" s="4">
        <f>'4.1 Comptes 2021 natures'!AP78/'4.1 Comptes 2021 natures'!AP2</f>
        <v>457.38247663551402</v>
      </c>
      <c r="AQ78" s="4">
        <f>'4.1 Comptes 2021 natures'!AQ78/'4.1 Comptes 2021 natures'!AQ2</f>
        <v>16.343254344391788</v>
      </c>
      <c r="AR78" s="4">
        <f>'4.1 Comptes 2021 natures'!AR78/'4.1 Comptes 2021 natures'!AR2</f>
        <v>72.684127725856698</v>
      </c>
      <c r="AS78" s="4">
        <f>'4.1 Comptes 2021 natures'!AS78/'4.1 Comptes 2021 natures'!AS2</f>
        <v>20.497647058823532</v>
      </c>
      <c r="AT78" s="4">
        <f>'4.1 Comptes 2021 natures'!AT78/'4.1 Comptes 2021 natures'!AT2</f>
        <v>60.371456692913384</v>
      </c>
      <c r="AU78" s="4">
        <f>'4.1 Comptes 2021 natures'!AU78/'4.1 Comptes 2021 natures'!AU2</f>
        <v>429.88967105263163</v>
      </c>
      <c r="AV78" s="4">
        <f>'4.1 Comptes 2021 natures'!AV78/'4.1 Comptes 2021 natures'!AV2</f>
        <v>296.74993781094526</v>
      </c>
      <c r="AW78" s="4">
        <f>'4.1 Comptes 2021 natures'!AW78/'4.1 Comptes 2021 natures'!AW2</f>
        <v>184.8074149659864</v>
      </c>
      <c r="AX78" s="4">
        <f>'4.1 Comptes 2021 natures'!AX78/'4.1 Comptes 2021 natures'!AX2</f>
        <v>32.951729729729728</v>
      </c>
      <c r="AY78" s="4">
        <f>'4.1 Comptes 2021 natures'!AY78/'4.1 Comptes 2021 natures'!AY2</f>
        <v>110.12023529411763</v>
      </c>
      <c r="AZ78" s="4">
        <f>'4.1 Comptes 2021 natures'!AZ78/'4.1 Comptes 2021 natures'!AZ2</f>
        <v>183.14727165586328</v>
      </c>
      <c r="BA78" s="4">
        <f>'4.1 Comptes 2021 natures'!BA78/'4.1 Comptes 2021 natures'!BA2</f>
        <v>38.322051282051284</v>
      </c>
      <c r="BB78" s="4">
        <f>'4.1 Comptes 2021 natures'!BB78/'4.1 Comptes 2021 natures'!BB2</f>
        <v>481.62845293569433</v>
      </c>
      <c r="BC78" s="4">
        <f>'4.1 Comptes 2021 natures'!BC78/'4.1 Comptes 2021 natures'!BC2</f>
        <v>7.6910326086956529</v>
      </c>
      <c r="BD78" s="4">
        <f>'4.1 Comptes 2021 natures'!BD78/'4.1 Comptes 2021 natures'!BD2</f>
        <v>391.36207856480053</v>
      </c>
      <c r="BE78" s="4">
        <f>'4.1 Comptes 2021 natures'!BE78/'4.1 Comptes 2021 natures'!BE2</f>
        <v>59.912504472271905</v>
      </c>
      <c r="BF78" s="4">
        <f t="shared" si="48"/>
        <v>12543.159894008772</v>
      </c>
      <c r="BG78" s="4">
        <f t="shared" si="49"/>
        <v>2397.2341699220697</v>
      </c>
      <c r="BH78" s="4">
        <f t="shared" si="50"/>
        <v>3668.6324886438974</v>
      </c>
      <c r="BI78" s="4">
        <f t="shared" si="51"/>
        <v>6477.293235442804</v>
      </c>
    </row>
    <row r="79" spans="1:61" x14ac:dyDescent="0.25">
      <c r="C79">
        <v>402</v>
      </c>
      <c r="D79" t="s">
        <v>140</v>
      </c>
      <c r="E79" s="4">
        <f>'4.1 Comptes 2021 natures'!E79/'4.1 Comptes 2021 natures'!E2</f>
        <v>296.85681098204861</v>
      </c>
      <c r="F79" s="4">
        <f>'4.1 Comptes 2021 natures'!F79/'4.1 Comptes 2021 natures'!F2</f>
        <v>521.74471698113211</v>
      </c>
      <c r="G79" s="4">
        <f>'4.1 Comptes 2021 natures'!G79/'4.1 Comptes 2021 natures'!G2</f>
        <v>235.77100213219617</v>
      </c>
      <c r="H79" s="4">
        <f>'4.1 Comptes 2021 natures'!H79/'4.1 Comptes 2021 natures'!H2</f>
        <v>388.2683826879271</v>
      </c>
      <c r="I79" s="4">
        <f>'4.1 Comptes 2021 natures'!I79/'4.1 Comptes 2021 natures'!I2</f>
        <v>358.28453594420603</v>
      </c>
      <c r="J79" s="4">
        <f>'4.1 Comptes 2021 natures'!J79/'4.1 Comptes 2021 natures'!J2</f>
        <v>340.62614349775782</v>
      </c>
      <c r="K79" s="4">
        <f>'4.1 Comptes 2021 natures'!K79/'4.1 Comptes 2021 natures'!K2</f>
        <v>257.62518853695326</v>
      </c>
      <c r="L79" s="4">
        <f>'4.1 Comptes 2021 natures'!L79/'4.1 Comptes 2021 natures'!L2</f>
        <v>393.63140716403558</v>
      </c>
      <c r="M79" s="4">
        <f>'4.1 Comptes 2021 natures'!M79/'4.1 Comptes 2021 natures'!M2</f>
        <v>340.36412803532005</v>
      </c>
      <c r="N79" s="4">
        <f>'4.1 Comptes 2021 natures'!N79/'4.1 Comptes 2021 natures'!N2</f>
        <v>140.40170940170941</v>
      </c>
      <c r="O79" s="4">
        <f>'4.1 Comptes 2021 natures'!O79/'4.1 Comptes 2021 natures'!O2</f>
        <v>302.20296102465227</v>
      </c>
      <c r="P79" s="4">
        <f>'4.1 Comptes 2021 natures'!P79/'4.1 Comptes 2021 natures'!P2</f>
        <v>409.23524163568771</v>
      </c>
      <c r="Q79" s="4">
        <f>'4.1 Comptes 2021 natures'!Q79/'4.1 Comptes 2021 natures'!Q2</f>
        <v>231.36261261261262</v>
      </c>
      <c r="R79" s="4">
        <f>'4.1 Comptes 2021 natures'!R79/'4.1 Comptes 2021 natures'!R2</f>
        <v>228.28410926365797</v>
      </c>
      <c r="S79" s="4">
        <f>'4.1 Comptes 2021 natures'!S79/'4.1 Comptes 2021 natures'!S2</f>
        <v>272.0258670520231</v>
      </c>
      <c r="T79" s="4">
        <f>'4.1 Comptes 2021 natures'!T79/'4.1 Comptes 2021 natures'!T2</f>
        <v>380.33322535211272</v>
      </c>
      <c r="U79" s="4">
        <f>'4.1 Comptes 2021 natures'!U79/'4.1 Comptes 2021 natures'!U2</f>
        <v>313.83289962825279</v>
      </c>
      <c r="V79" s="4">
        <f>'4.1 Comptes 2021 natures'!V79/'4.1 Comptes 2021 natures'!V2</f>
        <v>343.82386363636363</v>
      </c>
      <c r="W79" s="4">
        <f>'4.1 Comptes 2021 natures'!W79/'4.1 Comptes 2021 natures'!W2</f>
        <v>320.99202539485907</v>
      </c>
      <c r="X79" s="4">
        <f>'4.1 Comptes 2021 natures'!X79/'4.1 Comptes 2021 natures'!X2</f>
        <v>308.77258064516127</v>
      </c>
      <c r="Y79" s="4">
        <f>'4.1 Comptes 2021 natures'!Y79/'4.1 Comptes 2021 natures'!Y2</f>
        <v>204.28921259842519</v>
      </c>
      <c r="Z79" s="4">
        <f>'4.1 Comptes 2021 natures'!Z79/'4.1 Comptes 2021 natures'!Z2</f>
        <v>574.38693891102253</v>
      </c>
      <c r="AA79" s="4">
        <f>'4.1 Comptes 2021 natures'!AA79/'4.1 Comptes 2021 natures'!AA2</f>
        <v>407.44395833333334</v>
      </c>
      <c r="AB79" s="4">
        <f>'4.1 Comptes 2021 natures'!AB79/'4.1 Comptes 2021 natures'!AB2</f>
        <v>473.52668918918914</v>
      </c>
      <c r="AC79" s="4">
        <f>'4.1 Comptes 2021 natures'!AC79/'4.1 Comptes 2021 natures'!AC2</f>
        <v>290.72712355212354</v>
      </c>
      <c r="AD79" s="4">
        <f>'4.1 Comptes 2021 natures'!AD79/'4.1 Comptes 2021 natures'!AD2</f>
        <v>312.26092724679029</v>
      </c>
      <c r="AE79" s="4">
        <f>'4.1 Comptes 2021 natures'!AE79/'4.1 Comptes 2021 natures'!AE2</f>
        <v>473.23212765957442</v>
      </c>
      <c r="AF79" s="4">
        <f>'4.1 Comptes 2021 natures'!AF79/'4.1 Comptes 2021 natures'!AF2</f>
        <v>447.41721904761908</v>
      </c>
      <c r="AG79" s="4">
        <f>'4.1 Comptes 2021 natures'!AG79/'4.1 Comptes 2021 natures'!AG2</f>
        <v>387.33475641697225</v>
      </c>
      <c r="AH79" s="4">
        <f>'4.1 Comptes 2021 natures'!AH79/'4.1 Comptes 2021 natures'!AH2</f>
        <v>313.17889534883722</v>
      </c>
      <c r="AI79" s="4">
        <f>'4.1 Comptes 2021 natures'!AI79/'4.1 Comptes 2021 natures'!AI2</f>
        <v>301.7494594594595</v>
      </c>
      <c r="AJ79" s="4">
        <f>'4.1 Comptes 2021 natures'!AJ79/'4.1 Comptes 2021 natures'!AJ2</f>
        <v>1043.2054263565892</v>
      </c>
      <c r="AK79" s="4">
        <f>'4.1 Comptes 2021 natures'!AK79/'4.1 Comptes 2021 natures'!AK2</f>
        <v>397.62112638815444</v>
      </c>
      <c r="AL79" s="4">
        <f>'4.1 Comptes 2021 natures'!AL79/'4.1 Comptes 2021 natures'!AL2</f>
        <v>363.9051509769094</v>
      </c>
      <c r="AM79" s="4">
        <f>'4.1 Comptes 2021 natures'!AM79/'4.1 Comptes 2021 natures'!AM2</f>
        <v>308.22191836734692</v>
      </c>
      <c r="AN79" s="4">
        <f>'4.1 Comptes 2021 natures'!AN79/'4.1 Comptes 2021 natures'!AN2</f>
        <v>391.29273504273505</v>
      </c>
      <c r="AO79" s="4">
        <f>'4.1 Comptes 2021 natures'!AO79/'4.1 Comptes 2021 natures'!AO2</f>
        <v>301.428776371308</v>
      </c>
      <c r="AP79" s="4">
        <f>'4.1 Comptes 2021 natures'!AP79/'4.1 Comptes 2021 natures'!AP2</f>
        <v>397.26908099688472</v>
      </c>
      <c r="AQ79" s="4">
        <f>'4.1 Comptes 2021 natures'!AQ79/'4.1 Comptes 2021 natures'!AQ2</f>
        <v>286.70813586097944</v>
      </c>
      <c r="AR79" s="4">
        <f>'4.1 Comptes 2021 natures'!AR79/'4.1 Comptes 2021 natures'!AR2</f>
        <v>455.74323208722745</v>
      </c>
      <c r="AS79" s="4">
        <f>'4.1 Comptes 2021 natures'!AS79/'4.1 Comptes 2021 natures'!AS2</f>
        <v>429.28376196990422</v>
      </c>
      <c r="AT79" s="4">
        <f>'4.1 Comptes 2021 natures'!AT79/'4.1 Comptes 2021 natures'!AT2</f>
        <v>349.07234251968504</v>
      </c>
      <c r="AU79" s="4">
        <f>'4.1 Comptes 2021 natures'!AU79/'4.1 Comptes 2021 natures'!AU2</f>
        <v>141.58075657894739</v>
      </c>
      <c r="AV79" s="4">
        <f>'4.1 Comptes 2021 natures'!AV79/'4.1 Comptes 2021 natures'!AV2</f>
        <v>369.87431592039798</v>
      </c>
      <c r="AW79" s="4">
        <f>'4.1 Comptes 2021 natures'!AW79/'4.1 Comptes 2021 natures'!AW2</f>
        <v>473.26653061224494</v>
      </c>
      <c r="AX79" s="4">
        <f>'4.1 Comptes 2021 natures'!AX79/'4.1 Comptes 2021 natures'!AX2</f>
        <v>266.00464864864864</v>
      </c>
      <c r="AY79" s="4">
        <f>'4.1 Comptes 2021 natures'!AY79/'4.1 Comptes 2021 natures'!AY2</f>
        <v>442.54029411764708</v>
      </c>
      <c r="AZ79" s="4">
        <f>'4.1 Comptes 2021 natures'!AZ79/'4.1 Comptes 2021 natures'!AZ2</f>
        <v>300.25701237477904</v>
      </c>
      <c r="BA79" s="4">
        <f>'4.1 Comptes 2021 natures'!BA79/'4.1 Comptes 2021 natures'!BA2</f>
        <v>424.64333333333332</v>
      </c>
      <c r="BB79" s="4">
        <f>'4.1 Comptes 2021 natures'!BB79/'4.1 Comptes 2021 natures'!BB2</f>
        <v>412.55369990680333</v>
      </c>
      <c r="BC79" s="4">
        <f>'4.1 Comptes 2021 natures'!BC79/'4.1 Comptes 2021 natures'!BC2</f>
        <v>348.6703804347826</v>
      </c>
      <c r="BD79" s="4">
        <f>'4.1 Comptes 2021 natures'!BD79/'4.1 Comptes 2021 natures'!BD2</f>
        <v>457.74663625115994</v>
      </c>
      <c r="BE79" s="4">
        <f>'4.1 Comptes 2021 natures'!BE79/'4.1 Comptes 2021 natures'!BE2</f>
        <v>367.90763864042935</v>
      </c>
      <c r="BF79" s="4">
        <f t="shared" si="48"/>
        <v>19298.783653128907</v>
      </c>
      <c r="BG79" s="4">
        <f t="shared" si="49"/>
        <v>6075.6668309635088</v>
      </c>
      <c r="BH79" s="4">
        <f t="shared" si="50"/>
        <v>5537.5253147650965</v>
      </c>
      <c r="BI79" s="4">
        <f t="shared" si="51"/>
        <v>7685.5915074003096</v>
      </c>
    </row>
    <row r="80" spans="1:61" x14ac:dyDescent="0.25">
      <c r="C80">
        <v>403</v>
      </c>
      <c r="D80" t="s">
        <v>141</v>
      </c>
      <c r="E80" s="4">
        <f>'4.1 Comptes 2021 natures'!E80/'4.1 Comptes 2021 natures'!E2</f>
        <v>15.017951425554383</v>
      </c>
      <c r="F80" s="4">
        <f>'4.1 Comptes 2021 natures'!F80/'4.1 Comptes 2021 natures'!F2</f>
        <v>19.913207547169812</v>
      </c>
      <c r="G80" s="4">
        <f>'4.1 Comptes 2021 natures'!G80/'4.1 Comptes 2021 natures'!G2</f>
        <v>12.156076759061833</v>
      </c>
      <c r="H80" s="4">
        <f>'4.1 Comptes 2021 natures'!H80/'4.1 Comptes 2021 natures'!H2</f>
        <v>6.0592255125284735</v>
      </c>
      <c r="I80" s="4">
        <f>'4.1 Comptes 2021 natures'!I80/'4.1 Comptes 2021 natures'!I2</f>
        <v>16.120171673819744</v>
      </c>
      <c r="J80" s="4">
        <f>'4.1 Comptes 2021 natures'!J80/'4.1 Comptes 2021 natures'!J2</f>
        <v>6.1604783258594917</v>
      </c>
      <c r="K80" s="4">
        <f>'4.1 Comptes 2021 natures'!K80/'4.1 Comptes 2021 natures'!K2</f>
        <v>6.7890082956259432</v>
      </c>
      <c r="L80" s="4">
        <f>'4.1 Comptes 2021 natures'!L80/'4.1 Comptes 2021 natures'!L2</f>
        <v>6.6744610946389944</v>
      </c>
      <c r="M80" s="4">
        <f>'4.1 Comptes 2021 natures'!M80/'4.1 Comptes 2021 natures'!M2</f>
        <v>4.3552612214863871</v>
      </c>
      <c r="N80" s="4">
        <f>'4.1 Comptes 2021 natures'!N80/'4.1 Comptes 2021 natures'!N2</f>
        <v>16.714529914529912</v>
      </c>
      <c r="O80" s="4">
        <f>'4.1 Comptes 2021 natures'!O80/'4.1 Comptes 2021 natures'!O2</f>
        <v>7.1111968048478174</v>
      </c>
      <c r="P80" s="4">
        <f>'4.1 Comptes 2021 natures'!P80/'4.1 Comptes 2021 natures'!P2</f>
        <v>6.7082713754646841</v>
      </c>
      <c r="Q80" s="4">
        <f>'4.1 Comptes 2021 natures'!Q80/'4.1 Comptes 2021 natures'!Q2</f>
        <v>42.816216216216219</v>
      </c>
      <c r="R80" s="4">
        <f>'4.1 Comptes 2021 natures'!R80/'4.1 Comptes 2021 natures'!R2</f>
        <v>41.394655581947745</v>
      </c>
      <c r="S80" s="4">
        <f>'4.1 Comptes 2021 natures'!S80/'4.1 Comptes 2021 natures'!S2</f>
        <v>32.953179190751442</v>
      </c>
      <c r="T80" s="4">
        <f>'4.1 Comptes 2021 natures'!T80/'4.1 Comptes 2021 natures'!T2</f>
        <v>4.394366197183099</v>
      </c>
      <c r="U80" s="4">
        <f>'4.1 Comptes 2021 natures'!U80/'4.1 Comptes 2021 natures'!U2</f>
        <v>44.810408921933089</v>
      </c>
      <c r="V80" s="4">
        <f>'4.1 Comptes 2021 natures'!V80/'4.1 Comptes 2021 natures'!V2</f>
        <v>13.747727272727273</v>
      </c>
      <c r="W80" s="4">
        <f>'4.1 Comptes 2021 natures'!W80/'4.1 Comptes 2021 natures'!W2</f>
        <v>12.794053886652215</v>
      </c>
      <c r="X80" s="4">
        <f>'4.1 Comptes 2021 natures'!X80/'4.1 Comptes 2021 natures'!X2</f>
        <v>75.229032258064521</v>
      </c>
      <c r="Y80" s="4">
        <f>'4.1 Comptes 2021 natures'!Y80/'4.1 Comptes 2021 natures'!Y2</f>
        <v>11.058779527559055</v>
      </c>
      <c r="Z80" s="4">
        <f>'4.1 Comptes 2021 natures'!Z80/'4.1 Comptes 2021 natures'!Z2</f>
        <v>7.5081673306772903</v>
      </c>
      <c r="AA80" s="4">
        <f>'4.1 Comptes 2021 natures'!AA80/'4.1 Comptes 2021 natures'!AA2</f>
        <v>81.504166666666663</v>
      </c>
      <c r="AB80" s="4">
        <f>'4.1 Comptes 2021 natures'!AB80/'4.1 Comptes 2021 natures'!AB2</f>
        <v>22.97837837837838</v>
      </c>
      <c r="AC80" s="4">
        <f>'4.1 Comptes 2021 natures'!AC80/'4.1 Comptes 2021 natures'!AC2</f>
        <v>17.915830115830115</v>
      </c>
      <c r="AD80" s="4">
        <f>'4.1 Comptes 2021 natures'!AD80/'4.1 Comptes 2021 natures'!AD2</f>
        <v>23.044151212553498</v>
      </c>
      <c r="AE80" s="4">
        <f>'4.1 Comptes 2021 natures'!AE80/'4.1 Comptes 2021 natures'!AE2</f>
        <v>58.98280141843972</v>
      </c>
      <c r="AF80" s="4">
        <f>'4.1 Comptes 2021 natures'!AF80/'4.1 Comptes 2021 natures'!AF2</f>
        <v>16.563047619047619</v>
      </c>
      <c r="AG80" s="4">
        <f>'4.1 Comptes 2021 natures'!AG80/'4.1 Comptes 2021 natures'!AG2</f>
        <v>12.781456259821896</v>
      </c>
      <c r="AH80" s="4">
        <f>'4.1 Comptes 2021 natures'!AH80/'4.1 Comptes 2021 natures'!AH2</f>
        <v>33.008837209302328</v>
      </c>
      <c r="AI80" s="4">
        <f>'4.1 Comptes 2021 natures'!AI80/'4.1 Comptes 2021 natures'!AI2</f>
        <v>39.438963963963964</v>
      </c>
      <c r="AJ80" s="4">
        <f>'4.1 Comptes 2021 natures'!AJ80/'4.1 Comptes 2021 natures'!AJ2</f>
        <v>327.03643410852709</v>
      </c>
      <c r="AK80" s="4">
        <f>'4.1 Comptes 2021 natures'!AK80/'4.1 Comptes 2021 natures'!AK2</f>
        <v>4.7593865679534639</v>
      </c>
      <c r="AL80" s="4">
        <f>'4.1 Comptes 2021 natures'!AL80/'4.1 Comptes 2021 natures'!AL2</f>
        <v>43.492761989342803</v>
      </c>
      <c r="AM80" s="4">
        <f>'4.1 Comptes 2021 natures'!AM80/'4.1 Comptes 2021 natures'!AM2</f>
        <v>17.70665306122449</v>
      </c>
      <c r="AN80" s="4">
        <f>'4.1 Comptes 2021 natures'!AN80/'4.1 Comptes 2021 natures'!AN2</f>
        <v>41.684188034188033</v>
      </c>
      <c r="AO80" s="4">
        <f>'4.1 Comptes 2021 natures'!AO80/'4.1 Comptes 2021 natures'!AO2</f>
        <v>1.928607594936709</v>
      </c>
      <c r="AP80" s="4">
        <f>'4.1 Comptes 2021 natures'!AP80/'4.1 Comptes 2021 natures'!AP2</f>
        <v>19.314641744548286</v>
      </c>
      <c r="AQ80" s="4">
        <f>'4.1 Comptes 2021 natures'!AQ80/'4.1 Comptes 2021 natures'!AQ2</f>
        <v>11.587361769352292</v>
      </c>
      <c r="AR80" s="4">
        <f>'4.1 Comptes 2021 natures'!AR80/'4.1 Comptes 2021 natures'!AR2</f>
        <v>87.552531152647973</v>
      </c>
      <c r="AS80" s="4">
        <f>'4.1 Comptes 2021 natures'!AS80/'4.1 Comptes 2021 natures'!AS2</f>
        <v>10.210670314637483</v>
      </c>
      <c r="AT80" s="4">
        <f>'4.1 Comptes 2021 natures'!AT80/'4.1 Comptes 2021 natures'!AT2</f>
        <v>6.8454724409448815</v>
      </c>
      <c r="AU80" s="4">
        <f>'4.1 Comptes 2021 natures'!AU80/'4.1 Comptes 2021 natures'!AU2</f>
        <v>15.132894736842104</v>
      </c>
      <c r="AV80" s="4">
        <f>'4.1 Comptes 2021 natures'!AV80/'4.1 Comptes 2021 natures'!AV2</f>
        <v>5.6087064676616922</v>
      </c>
      <c r="AW80" s="4">
        <f>'4.1 Comptes 2021 natures'!AW80/'4.1 Comptes 2021 natures'!AW2</f>
        <v>6.3164625850340137</v>
      </c>
      <c r="AX80" s="4">
        <f>'4.1 Comptes 2021 natures'!AX80/'4.1 Comptes 2021 natures'!AX2</f>
        <v>4.9475675675675674</v>
      </c>
      <c r="AY80" s="4">
        <f>'4.1 Comptes 2021 natures'!AY80/'4.1 Comptes 2021 natures'!AY2</f>
        <v>13.81279411764706</v>
      </c>
      <c r="AZ80" s="4">
        <f>'4.1 Comptes 2021 natures'!AZ80/'4.1 Comptes 2021 natures'!AZ2</f>
        <v>13.348025928108425</v>
      </c>
      <c r="BA80" s="4">
        <f>'4.1 Comptes 2021 natures'!BA80/'4.1 Comptes 2021 natures'!BA2</f>
        <v>37.256153846153843</v>
      </c>
      <c r="BB80" s="4">
        <f>'4.1 Comptes 2021 natures'!BB80/'4.1 Comptes 2021 natures'!BB2</f>
        <v>64.267940354147257</v>
      </c>
      <c r="BC80" s="4">
        <f>'4.1 Comptes 2021 natures'!BC80/'4.1 Comptes 2021 natures'!BC2</f>
        <v>12.126086956521737</v>
      </c>
      <c r="BD80" s="4">
        <f>'4.1 Comptes 2021 natures'!BD80/'4.1 Comptes 2021 natures'!BD2</f>
        <v>8.0282013609650473</v>
      </c>
      <c r="BE80" s="4">
        <f>'4.1 Comptes 2021 natures'!BE80/'4.1 Comptes 2021 natures'!BE2</f>
        <v>11.406082289803219</v>
      </c>
      <c r="BF80" s="4">
        <f t="shared" si="48"/>
        <v>1481.0736841670596</v>
      </c>
      <c r="BG80" s="4">
        <f t="shared" si="49"/>
        <v>316.6904472179985</v>
      </c>
      <c r="BH80" s="4">
        <f t="shared" si="50"/>
        <v>727.0500460688321</v>
      </c>
      <c r="BI80" s="4">
        <f t="shared" si="51"/>
        <v>437.33319088022841</v>
      </c>
    </row>
    <row r="81" spans="2:61" x14ac:dyDescent="0.25">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row>
    <row r="82" spans="2:61" x14ac:dyDescent="0.25">
      <c r="B82" s="78">
        <v>41</v>
      </c>
      <c r="C82" s="78"/>
      <c r="D82" s="78" t="s">
        <v>142</v>
      </c>
      <c r="E82" s="73">
        <f>E83+E84+E85+E86</f>
        <v>0</v>
      </c>
      <c r="F82" s="73">
        <f t="shared" ref="F82:BI82" si="52">F83+F84+F85+F86</f>
        <v>42.115094339622644</v>
      </c>
      <c r="G82" s="73">
        <f t="shared" si="52"/>
        <v>0</v>
      </c>
      <c r="H82" s="73">
        <f t="shared" si="52"/>
        <v>0</v>
      </c>
      <c r="I82" s="73">
        <f t="shared" si="52"/>
        <v>0.12795064377682402</v>
      </c>
      <c r="J82" s="73">
        <f t="shared" si="52"/>
        <v>0</v>
      </c>
      <c r="K82" s="73">
        <f t="shared" si="52"/>
        <v>0</v>
      </c>
      <c r="L82" s="73">
        <f t="shared" si="52"/>
        <v>0</v>
      </c>
      <c r="M82" s="73">
        <f t="shared" si="52"/>
        <v>38.229065489330395</v>
      </c>
      <c r="N82" s="73">
        <f t="shared" si="52"/>
        <v>0</v>
      </c>
      <c r="O82" s="73">
        <f t="shared" si="52"/>
        <v>19.839360969563423</v>
      </c>
      <c r="P82" s="73">
        <f t="shared" si="52"/>
        <v>75.715613382899633</v>
      </c>
      <c r="Q82" s="73">
        <f t="shared" si="52"/>
        <v>0</v>
      </c>
      <c r="R82" s="73">
        <f t="shared" si="52"/>
        <v>0</v>
      </c>
      <c r="S82" s="73">
        <f t="shared" si="52"/>
        <v>0</v>
      </c>
      <c r="T82" s="73">
        <f t="shared" si="52"/>
        <v>0</v>
      </c>
      <c r="U82" s="73">
        <f t="shared" si="52"/>
        <v>0</v>
      </c>
      <c r="V82" s="73">
        <f t="shared" si="52"/>
        <v>0</v>
      </c>
      <c r="W82" s="73">
        <f t="shared" si="52"/>
        <v>2.2400123877361411</v>
      </c>
      <c r="X82" s="73">
        <f t="shared" si="52"/>
        <v>1.0706451612903225</v>
      </c>
      <c r="Y82" s="73">
        <f t="shared" si="52"/>
        <v>0</v>
      </c>
      <c r="Z82" s="73">
        <f t="shared" si="52"/>
        <v>222.84717795484727</v>
      </c>
      <c r="AA82" s="73">
        <f t="shared" si="52"/>
        <v>0</v>
      </c>
      <c r="AB82" s="73">
        <f t="shared" si="52"/>
        <v>1.972972972972973</v>
      </c>
      <c r="AC82" s="73">
        <f t="shared" si="52"/>
        <v>1.3899613899613901</v>
      </c>
      <c r="AD82" s="73">
        <f t="shared" si="52"/>
        <v>0</v>
      </c>
      <c r="AE82" s="73">
        <f t="shared" si="52"/>
        <v>2.1737588652482271</v>
      </c>
      <c r="AF82" s="73">
        <f t="shared" si="52"/>
        <v>31.86095238095238</v>
      </c>
      <c r="AG82" s="73">
        <f t="shared" si="52"/>
        <v>3.7840230487166053</v>
      </c>
      <c r="AH82" s="73">
        <f t="shared" si="52"/>
        <v>0</v>
      </c>
      <c r="AI82" s="73">
        <f t="shared" si="52"/>
        <v>128.5867117117117</v>
      </c>
      <c r="AJ82" s="73">
        <f t="shared" si="52"/>
        <v>52.713178294573645</v>
      </c>
      <c r="AK82" s="73">
        <f t="shared" si="52"/>
        <v>46.25919090428345</v>
      </c>
      <c r="AL82" s="73">
        <f t="shared" si="52"/>
        <v>0</v>
      </c>
      <c r="AM82" s="73">
        <f t="shared" si="52"/>
        <v>0</v>
      </c>
      <c r="AN82" s="73">
        <f t="shared" si="52"/>
        <v>0</v>
      </c>
      <c r="AO82" s="73">
        <f t="shared" si="52"/>
        <v>0</v>
      </c>
      <c r="AP82" s="73">
        <f t="shared" si="52"/>
        <v>0</v>
      </c>
      <c r="AQ82" s="73">
        <f t="shared" si="52"/>
        <v>0</v>
      </c>
      <c r="AR82" s="73">
        <f t="shared" si="52"/>
        <v>15.496417445482868</v>
      </c>
      <c r="AS82" s="73">
        <f t="shared" si="52"/>
        <v>0</v>
      </c>
      <c r="AT82" s="73">
        <f t="shared" si="52"/>
        <v>13.998228346456694</v>
      </c>
      <c r="AU82" s="73">
        <f t="shared" si="52"/>
        <v>0</v>
      </c>
      <c r="AV82" s="73">
        <f t="shared" si="52"/>
        <v>2.6948590381426203</v>
      </c>
      <c r="AW82" s="73">
        <f t="shared" si="52"/>
        <v>0</v>
      </c>
      <c r="AX82" s="73">
        <f t="shared" si="52"/>
        <v>43.621621621621621</v>
      </c>
      <c r="AY82" s="73">
        <f t="shared" si="52"/>
        <v>0</v>
      </c>
      <c r="AZ82" s="73">
        <f t="shared" si="52"/>
        <v>3.3772539776075425</v>
      </c>
      <c r="BA82" s="73">
        <f t="shared" si="52"/>
        <v>0</v>
      </c>
      <c r="BB82" s="73">
        <f t="shared" si="52"/>
        <v>37.997576887232064</v>
      </c>
      <c r="BC82" s="73">
        <f t="shared" si="52"/>
        <v>0</v>
      </c>
      <c r="BD82" s="73">
        <f t="shared" si="52"/>
        <v>43.801422827095578</v>
      </c>
      <c r="BE82" s="73">
        <f t="shared" si="52"/>
        <v>0</v>
      </c>
      <c r="BF82" s="73">
        <f t="shared" si="52"/>
        <v>831.91305004112587</v>
      </c>
      <c r="BG82" s="73">
        <f t="shared" si="52"/>
        <v>178.26709721292903</v>
      </c>
      <c r="BH82" s="73">
        <f t="shared" si="52"/>
        <v>446.39938178027455</v>
      </c>
      <c r="BI82" s="73">
        <f t="shared" si="52"/>
        <v>207.24657104792243</v>
      </c>
    </row>
    <row r="83" spans="2:61" x14ac:dyDescent="0.25">
      <c r="C83">
        <v>410</v>
      </c>
      <c r="D83" t="s">
        <v>143</v>
      </c>
      <c r="E83" s="4">
        <f>'4.1 Comptes 2021 natures'!E83/'4.1 Comptes 2021 natures'!E2</f>
        <v>0</v>
      </c>
      <c r="F83" s="4">
        <f>'4.1 Comptes 2021 natures'!F83/'4.1 Comptes 2021 natures'!F2</f>
        <v>0</v>
      </c>
      <c r="G83" s="4">
        <f>'4.1 Comptes 2021 natures'!G83/'4.1 Comptes 2021 natures'!G2</f>
        <v>0</v>
      </c>
      <c r="H83" s="4">
        <f>'4.1 Comptes 2021 natures'!H83/'4.1 Comptes 2021 natures'!H2</f>
        <v>0</v>
      </c>
      <c r="I83" s="4">
        <f>'4.1 Comptes 2021 natures'!I83/'4.1 Comptes 2021 natures'!I2</f>
        <v>0</v>
      </c>
      <c r="J83" s="4">
        <f>'4.1 Comptes 2021 natures'!J83/'4.1 Comptes 2021 natures'!J2</f>
        <v>0</v>
      </c>
      <c r="K83" s="4">
        <f>'4.1 Comptes 2021 natures'!K83/'4.1 Comptes 2021 natures'!K2</f>
        <v>0</v>
      </c>
      <c r="L83" s="4">
        <f>'4.1 Comptes 2021 natures'!L83/'4.1 Comptes 2021 natures'!L2</f>
        <v>0</v>
      </c>
      <c r="M83" s="4">
        <f>'4.1 Comptes 2021 natures'!M83/'4.1 Comptes 2021 natures'!M2</f>
        <v>0</v>
      </c>
      <c r="N83" s="4">
        <f>'4.1 Comptes 2021 natures'!N83/'4.1 Comptes 2021 natures'!N2</f>
        <v>0</v>
      </c>
      <c r="O83" s="4">
        <f>'4.1 Comptes 2021 natures'!O83/'4.1 Comptes 2021 natures'!O2</f>
        <v>0</v>
      </c>
      <c r="P83" s="4">
        <f>'4.1 Comptes 2021 natures'!P83/'4.1 Comptes 2021 natures'!P2</f>
        <v>0</v>
      </c>
      <c r="Q83" s="4">
        <f>'4.1 Comptes 2021 natures'!Q83/'4.1 Comptes 2021 natures'!Q2</f>
        <v>0</v>
      </c>
      <c r="R83" s="4">
        <f>'4.1 Comptes 2021 natures'!R83/'4.1 Comptes 2021 natures'!R2</f>
        <v>0</v>
      </c>
      <c r="S83" s="4">
        <f>'4.1 Comptes 2021 natures'!S83/'4.1 Comptes 2021 natures'!S2</f>
        <v>0</v>
      </c>
      <c r="T83" s="4">
        <f>'4.1 Comptes 2021 natures'!T83/'4.1 Comptes 2021 natures'!T2</f>
        <v>0</v>
      </c>
      <c r="U83" s="4">
        <f>'4.1 Comptes 2021 natures'!U83/'4.1 Comptes 2021 natures'!U2</f>
        <v>0</v>
      </c>
      <c r="V83" s="4">
        <f>'4.1 Comptes 2021 natures'!V83/'4.1 Comptes 2021 natures'!V2</f>
        <v>0</v>
      </c>
      <c r="W83" s="4">
        <f>'4.1 Comptes 2021 natures'!W83/'4.1 Comptes 2021 natures'!W2</f>
        <v>0</v>
      </c>
      <c r="X83" s="4">
        <f>'4.1 Comptes 2021 natures'!X83/'4.1 Comptes 2021 natures'!X2</f>
        <v>0</v>
      </c>
      <c r="Y83" s="4">
        <f>'4.1 Comptes 2021 natures'!Y83/'4.1 Comptes 2021 natures'!Y2</f>
        <v>0</v>
      </c>
      <c r="Z83" s="4">
        <f>'4.1 Comptes 2021 natures'!Z83/'4.1 Comptes 2021 natures'!Z2</f>
        <v>0</v>
      </c>
      <c r="AA83" s="4">
        <f>'4.1 Comptes 2021 natures'!AA83/'4.1 Comptes 2021 natures'!AA2</f>
        <v>0</v>
      </c>
      <c r="AB83" s="4">
        <f>'4.1 Comptes 2021 natures'!AB83/'4.1 Comptes 2021 natures'!AB2</f>
        <v>0</v>
      </c>
      <c r="AC83" s="4">
        <f>'4.1 Comptes 2021 natures'!AC83/'4.1 Comptes 2021 natures'!AC2</f>
        <v>0</v>
      </c>
      <c r="AD83" s="4">
        <f>'4.1 Comptes 2021 natures'!AD83/'4.1 Comptes 2021 natures'!AD2</f>
        <v>0</v>
      </c>
      <c r="AE83" s="4">
        <f>'4.1 Comptes 2021 natures'!AE83/'4.1 Comptes 2021 natures'!AE2</f>
        <v>0</v>
      </c>
      <c r="AF83" s="4">
        <f>'4.1 Comptes 2021 natures'!AF83/'4.1 Comptes 2021 natures'!AF2</f>
        <v>0</v>
      </c>
      <c r="AG83" s="4">
        <f>'4.1 Comptes 2021 natures'!AG83/'4.1 Comptes 2021 natures'!AG2</f>
        <v>0</v>
      </c>
      <c r="AH83" s="4">
        <f>'4.1 Comptes 2021 natures'!AH83/'4.1 Comptes 2021 natures'!AH2</f>
        <v>0</v>
      </c>
      <c r="AI83" s="4">
        <f>'4.1 Comptes 2021 natures'!AI83/'4.1 Comptes 2021 natures'!AI2</f>
        <v>0</v>
      </c>
      <c r="AJ83" s="4">
        <f>'4.1 Comptes 2021 natures'!AJ83/'4.1 Comptes 2021 natures'!AJ2</f>
        <v>0</v>
      </c>
      <c r="AK83" s="4">
        <f>'4.1 Comptes 2021 natures'!AK83/'4.1 Comptes 2021 natures'!AK2</f>
        <v>0</v>
      </c>
      <c r="AL83" s="4">
        <f>'4.1 Comptes 2021 natures'!AL83/'4.1 Comptes 2021 natures'!AL2</f>
        <v>0</v>
      </c>
      <c r="AM83" s="4">
        <f>'4.1 Comptes 2021 natures'!AM83/'4.1 Comptes 2021 natures'!AM2</f>
        <v>0</v>
      </c>
      <c r="AN83" s="4">
        <f>'4.1 Comptes 2021 natures'!AN83/'4.1 Comptes 2021 natures'!AN2</f>
        <v>0</v>
      </c>
      <c r="AO83" s="4">
        <f>'4.1 Comptes 2021 natures'!AO83/'4.1 Comptes 2021 natures'!AO2</f>
        <v>0</v>
      </c>
      <c r="AP83" s="4">
        <f>'4.1 Comptes 2021 natures'!AP83/'4.1 Comptes 2021 natures'!AP2</f>
        <v>0</v>
      </c>
      <c r="AQ83" s="4">
        <f>'4.1 Comptes 2021 natures'!AQ83/'4.1 Comptes 2021 natures'!AQ2</f>
        <v>0</v>
      </c>
      <c r="AR83" s="4">
        <f>'4.1 Comptes 2021 natures'!AR83/'4.1 Comptes 2021 natures'!AR2</f>
        <v>0</v>
      </c>
      <c r="AS83" s="4">
        <f>'4.1 Comptes 2021 natures'!AS83/'4.1 Comptes 2021 natures'!AS2</f>
        <v>0</v>
      </c>
      <c r="AT83" s="4">
        <f>'4.1 Comptes 2021 natures'!AT83/'4.1 Comptes 2021 natures'!AT2</f>
        <v>0</v>
      </c>
      <c r="AU83" s="4">
        <f>'4.1 Comptes 2021 natures'!AU83/'4.1 Comptes 2021 natures'!AU2</f>
        <v>0</v>
      </c>
      <c r="AV83" s="4">
        <f>'4.1 Comptes 2021 natures'!AV83/'4.1 Comptes 2021 natures'!AV2</f>
        <v>0</v>
      </c>
      <c r="AW83" s="4">
        <f>'4.1 Comptes 2021 natures'!AW83/'4.1 Comptes 2021 natures'!AW2</f>
        <v>0</v>
      </c>
      <c r="AX83" s="4">
        <f>'4.1 Comptes 2021 natures'!AX83/'4.1 Comptes 2021 natures'!AX2</f>
        <v>0</v>
      </c>
      <c r="AY83" s="4">
        <f>'4.1 Comptes 2021 natures'!AY83/'4.1 Comptes 2021 natures'!AY2</f>
        <v>0</v>
      </c>
      <c r="AZ83" s="4">
        <f>'4.1 Comptes 2021 natures'!AZ83/'4.1 Comptes 2021 natures'!AZ2</f>
        <v>0</v>
      </c>
      <c r="BA83" s="4">
        <f>'4.1 Comptes 2021 natures'!BA83/'4.1 Comptes 2021 natures'!BA2</f>
        <v>0</v>
      </c>
      <c r="BB83" s="4">
        <f>'4.1 Comptes 2021 natures'!BB83/'4.1 Comptes 2021 natures'!BB2</f>
        <v>0</v>
      </c>
      <c r="BC83" s="4">
        <f>'4.1 Comptes 2021 natures'!BC83/'4.1 Comptes 2021 natures'!BC2</f>
        <v>0</v>
      </c>
      <c r="BD83" s="4">
        <f>'4.1 Comptes 2021 natures'!BD83/'4.1 Comptes 2021 natures'!BD2</f>
        <v>0</v>
      </c>
      <c r="BE83" s="4">
        <f>'4.1 Comptes 2021 natures'!BE83/'4.1 Comptes 2021 natures'!BE2</f>
        <v>0</v>
      </c>
      <c r="BF83" s="4">
        <f t="shared" ref="BF83:BF86" si="53">SUM(E83:BE83)</f>
        <v>0</v>
      </c>
      <c r="BG83" s="4">
        <f t="shared" ref="BG83:BG86" si="54">SUM(E83:W83)</f>
        <v>0</v>
      </c>
      <c r="BH83" s="4">
        <f t="shared" ref="BH83:BH86" si="55">SUM(X83:AJ83)</f>
        <v>0</v>
      </c>
      <c r="BI83" s="4">
        <f t="shared" ref="BI83:BI86" si="56">SUM(AK83:BE83)</f>
        <v>0</v>
      </c>
    </row>
    <row r="84" spans="2:61" x14ac:dyDescent="0.25">
      <c r="C84">
        <v>411</v>
      </c>
      <c r="D84" t="s">
        <v>144</v>
      </c>
      <c r="E84" s="4">
        <f>'4.1 Comptes 2021 natures'!E84/'4.1 Comptes 2021 natures'!E2</f>
        <v>0</v>
      </c>
      <c r="F84" s="4">
        <f>'4.1 Comptes 2021 natures'!F84/'4.1 Comptes 2021 natures'!F2</f>
        <v>0</v>
      </c>
      <c r="G84" s="4">
        <f>'4.1 Comptes 2021 natures'!G84/'4.1 Comptes 2021 natures'!G2</f>
        <v>0</v>
      </c>
      <c r="H84" s="4">
        <f>'4.1 Comptes 2021 natures'!H84/'4.1 Comptes 2021 natures'!H2</f>
        <v>0</v>
      </c>
      <c r="I84" s="4">
        <f>'4.1 Comptes 2021 natures'!I84/'4.1 Comptes 2021 natures'!I2</f>
        <v>0</v>
      </c>
      <c r="J84" s="4">
        <f>'4.1 Comptes 2021 natures'!J84/'4.1 Comptes 2021 natures'!J2</f>
        <v>0</v>
      </c>
      <c r="K84" s="4">
        <f>'4.1 Comptes 2021 natures'!K84/'4.1 Comptes 2021 natures'!K2</f>
        <v>0</v>
      </c>
      <c r="L84" s="4">
        <f>'4.1 Comptes 2021 natures'!L84/'4.1 Comptes 2021 natures'!L2</f>
        <v>0</v>
      </c>
      <c r="M84" s="4">
        <f>'4.1 Comptes 2021 natures'!M84/'4.1 Comptes 2021 natures'!M2</f>
        <v>0</v>
      </c>
      <c r="N84" s="4">
        <f>'4.1 Comptes 2021 natures'!N84/'4.1 Comptes 2021 natures'!N2</f>
        <v>0</v>
      </c>
      <c r="O84" s="4">
        <f>'4.1 Comptes 2021 natures'!O84/'4.1 Comptes 2021 natures'!O2</f>
        <v>0</v>
      </c>
      <c r="P84" s="4">
        <f>'4.1 Comptes 2021 natures'!P84/'4.1 Comptes 2021 natures'!P2</f>
        <v>0</v>
      </c>
      <c r="Q84" s="4">
        <f>'4.1 Comptes 2021 natures'!Q84/'4.1 Comptes 2021 natures'!Q2</f>
        <v>0</v>
      </c>
      <c r="R84" s="4">
        <f>'4.1 Comptes 2021 natures'!R84/'4.1 Comptes 2021 natures'!R2</f>
        <v>0</v>
      </c>
      <c r="S84" s="4">
        <f>'4.1 Comptes 2021 natures'!S84/'4.1 Comptes 2021 natures'!S2</f>
        <v>0</v>
      </c>
      <c r="T84" s="4">
        <f>'4.1 Comptes 2021 natures'!T84/'4.1 Comptes 2021 natures'!T2</f>
        <v>0</v>
      </c>
      <c r="U84" s="4">
        <f>'4.1 Comptes 2021 natures'!U84/'4.1 Comptes 2021 natures'!U2</f>
        <v>0</v>
      </c>
      <c r="V84" s="4">
        <f>'4.1 Comptes 2021 natures'!V84/'4.1 Comptes 2021 natures'!V2</f>
        <v>0</v>
      </c>
      <c r="W84" s="4">
        <f>'4.1 Comptes 2021 natures'!W84/'4.1 Comptes 2021 natures'!W2</f>
        <v>0</v>
      </c>
      <c r="X84" s="4">
        <f>'4.1 Comptes 2021 natures'!X84/'4.1 Comptes 2021 natures'!X2</f>
        <v>0</v>
      </c>
      <c r="Y84" s="4">
        <f>'4.1 Comptes 2021 natures'!Y84/'4.1 Comptes 2021 natures'!Y2</f>
        <v>0</v>
      </c>
      <c r="Z84" s="4">
        <f>'4.1 Comptes 2021 natures'!Z84/'4.1 Comptes 2021 natures'!Z2</f>
        <v>0</v>
      </c>
      <c r="AA84" s="4">
        <f>'4.1 Comptes 2021 natures'!AA84/'4.1 Comptes 2021 natures'!AA2</f>
        <v>0</v>
      </c>
      <c r="AB84" s="4">
        <f>'4.1 Comptes 2021 natures'!AB84/'4.1 Comptes 2021 natures'!AB2</f>
        <v>0</v>
      </c>
      <c r="AC84" s="4">
        <f>'4.1 Comptes 2021 natures'!AC84/'4.1 Comptes 2021 natures'!AC2</f>
        <v>0</v>
      </c>
      <c r="AD84" s="4">
        <f>'4.1 Comptes 2021 natures'!AD84/'4.1 Comptes 2021 natures'!AD2</f>
        <v>0</v>
      </c>
      <c r="AE84" s="4">
        <f>'4.1 Comptes 2021 natures'!AE84/'4.1 Comptes 2021 natures'!AE2</f>
        <v>0</v>
      </c>
      <c r="AF84" s="4">
        <f>'4.1 Comptes 2021 natures'!AF84/'4.1 Comptes 2021 natures'!AF2</f>
        <v>0</v>
      </c>
      <c r="AG84" s="4">
        <f>'4.1 Comptes 2021 natures'!AG84/'4.1 Comptes 2021 natures'!AG2</f>
        <v>0</v>
      </c>
      <c r="AH84" s="4">
        <f>'4.1 Comptes 2021 natures'!AH84/'4.1 Comptes 2021 natures'!AH2</f>
        <v>0</v>
      </c>
      <c r="AI84" s="4">
        <f>'4.1 Comptes 2021 natures'!AI84/'4.1 Comptes 2021 natures'!AI2</f>
        <v>0</v>
      </c>
      <c r="AJ84" s="4">
        <f>'4.1 Comptes 2021 natures'!AJ84/'4.1 Comptes 2021 natures'!AJ2</f>
        <v>0</v>
      </c>
      <c r="AK84" s="4">
        <f>'4.1 Comptes 2021 natures'!AK84/'4.1 Comptes 2021 natures'!AK2</f>
        <v>0</v>
      </c>
      <c r="AL84" s="4">
        <f>'4.1 Comptes 2021 natures'!AL84/'4.1 Comptes 2021 natures'!AL2</f>
        <v>0</v>
      </c>
      <c r="AM84" s="4">
        <f>'4.1 Comptes 2021 natures'!AM84/'4.1 Comptes 2021 natures'!AM2</f>
        <v>0</v>
      </c>
      <c r="AN84" s="4">
        <f>'4.1 Comptes 2021 natures'!AN84/'4.1 Comptes 2021 natures'!AN2</f>
        <v>0</v>
      </c>
      <c r="AO84" s="4">
        <f>'4.1 Comptes 2021 natures'!AO84/'4.1 Comptes 2021 natures'!AO2</f>
        <v>0</v>
      </c>
      <c r="AP84" s="4">
        <f>'4.1 Comptes 2021 natures'!AP84/'4.1 Comptes 2021 natures'!AP2</f>
        <v>0</v>
      </c>
      <c r="AQ84" s="4">
        <f>'4.1 Comptes 2021 natures'!AQ84/'4.1 Comptes 2021 natures'!AQ2</f>
        <v>0</v>
      </c>
      <c r="AR84" s="4">
        <f>'4.1 Comptes 2021 natures'!AR84/'4.1 Comptes 2021 natures'!AR2</f>
        <v>0</v>
      </c>
      <c r="AS84" s="4">
        <f>'4.1 Comptes 2021 natures'!AS84/'4.1 Comptes 2021 natures'!AS2</f>
        <v>0</v>
      </c>
      <c r="AT84" s="4">
        <f>'4.1 Comptes 2021 natures'!AT84/'4.1 Comptes 2021 natures'!AT2</f>
        <v>0</v>
      </c>
      <c r="AU84" s="4">
        <f>'4.1 Comptes 2021 natures'!AU84/'4.1 Comptes 2021 natures'!AU2</f>
        <v>0</v>
      </c>
      <c r="AV84" s="4">
        <f>'4.1 Comptes 2021 natures'!AV84/'4.1 Comptes 2021 natures'!AV2</f>
        <v>0</v>
      </c>
      <c r="AW84" s="4">
        <f>'4.1 Comptes 2021 natures'!AW84/'4.1 Comptes 2021 natures'!AW2</f>
        <v>0</v>
      </c>
      <c r="AX84" s="4">
        <f>'4.1 Comptes 2021 natures'!AX84/'4.1 Comptes 2021 natures'!AX2</f>
        <v>0</v>
      </c>
      <c r="AY84" s="4">
        <f>'4.1 Comptes 2021 natures'!AY84/'4.1 Comptes 2021 natures'!AY2</f>
        <v>0</v>
      </c>
      <c r="AZ84" s="4">
        <f>'4.1 Comptes 2021 natures'!AZ84/'4.1 Comptes 2021 natures'!AZ2</f>
        <v>0</v>
      </c>
      <c r="BA84" s="4">
        <f>'4.1 Comptes 2021 natures'!BA84/'4.1 Comptes 2021 natures'!BA2</f>
        <v>0</v>
      </c>
      <c r="BB84" s="4">
        <f>'4.1 Comptes 2021 natures'!BB84/'4.1 Comptes 2021 natures'!BB2</f>
        <v>0</v>
      </c>
      <c r="BC84" s="4">
        <f>'4.1 Comptes 2021 natures'!BC84/'4.1 Comptes 2021 natures'!BC2</f>
        <v>0</v>
      </c>
      <c r="BD84" s="4">
        <f>'4.1 Comptes 2021 natures'!BD84/'4.1 Comptes 2021 natures'!BD2</f>
        <v>0</v>
      </c>
      <c r="BE84" s="4">
        <f>'4.1 Comptes 2021 natures'!BE84/'4.1 Comptes 2021 natures'!BE2</f>
        <v>0</v>
      </c>
      <c r="BF84" s="4">
        <f t="shared" si="53"/>
        <v>0</v>
      </c>
      <c r="BG84" s="4">
        <f t="shared" si="54"/>
        <v>0</v>
      </c>
      <c r="BH84" s="4">
        <f t="shared" si="55"/>
        <v>0</v>
      </c>
      <c r="BI84" s="4">
        <f t="shared" si="56"/>
        <v>0</v>
      </c>
    </row>
    <row r="85" spans="2:61" x14ac:dyDescent="0.25">
      <c r="C85">
        <v>412</v>
      </c>
      <c r="D85" t="s">
        <v>145</v>
      </c>
      <c r="E85" s="4">
        <f>'4.1 Comptes 2021 natures'!E85/'4.1 Comptes 2021 natures'!E2</f>
        <v>0</v>
      </c>
      <c r="F85" s="4">
        <f>'4.1 Comptes 2021 natures'!F85/'4.1 Comptes 2021 natures'!F2</f>
        <v>42.115094339622644</v>
      </c>
      <c r="G85" s="4">
        <f>'4.1 Comptes 2021 natures'!G85/'4.1 Comptes 2021 natures'!G2</f>
        <v>0</v>
      </c>
      <c r="H85" s="4">
        <f>'4.1 Comptes 2021 natures'!H85/'4.1 Comptes 2021 natures'!H2</f>
        <v>0</v>
      </c>
      <c r="I85" s="4">
        <f>'4.1 Comptes 2021 natures'!I85/'4.1 Comptes 2021 natures'!I2</f>
        <v>0.12795064377682402</v>
      </c>
      <c r="J85" s="4">
        <f>'4.1 Comptes 2021 natures'!J85/'4.1 Comptes 2021 natures'!J2</f>
        <v>0</v>
      </c>
      <c r="K85" s="4">
        <f>'4.1 Comptes 2021 natures'!K85/'4.1 Comptes 2021 natures'!K2</f>
        <v>0</v>
      </c>
      <c r="L85" s="4">
        <f>'4.1 Comptes 2021 natures'!L85/'4.1 Comptes 2021 natures'!L2</f>
        <v>0</v>
      </c>
      <c r="M85" s="4">
        <f>'4.1 Comptes 2021 natures'!M85/'4.1 Comptes 2021 natures'!M2</f>
        <v>38.229065489330395</v>
      </c>
      <c r="N85" s="4">
        <f>'4.1 Comptes 2021 natures'!N85/'4.1 Comptes 2021 natures'!N2</f>
        <v>0</v>
      </c>
      <c r="O85" s="4">
        <f>'4.1 Comptes 2021 natures'!O85/'4.1 Comptes 2021 natures'!O2</f>
        <v>19.839360969563423</v>
      </c>
      <c r="P85" s="4">
        <f>'4.1 Comptes 2021 natures'!P85/'4.1 Comptes 2021 natures'!P2</f>
        <v>75.715613382899633</v>
      </c>
      <c r="Q85" s="4">
        <f>'4.1 Comptes 2021 natures'!Q85/'4.1 Comptes 2021 natures'!Q2</f>
        <v>0</v>
      </c>
      <c r="R85" s="4">
        <f>'4.1 Comptes 2021 natures'!R85/'4.1 Comptes 2021 natures'!R2</f>
        <v>0</v>
      </c>
      <c r="S85" s="4">
        <f>'4.1 Comptes 2021 natures'!S85/'4.1 Comptes 2021 natures'!S2</f>
        <v>0</v>
      </c>
      <c r="T85" s="4">
        <f>'4.1 Comptes 2021 natures'!T85/'4.1 Comptes 2021 natures'!T2</f>
        <v>0</v>
      </c>
      <c r="U85" s="4">
        <f>'4.1 Comptes 2021 natures'!U85/'4.1 Comptes 2021 natures'!U2</f>
        <v>0</v>
      </c>
      <c r="V85" s="4">
        <f>'4.1 Comptes 2021 natures'!V85/'4.1 Comptes 2021 natures'!V2</f>
        <v>0</v>
      </c>
      <c r="W85" s="4">
        <f>'4.1 Comptes 2021 natures'!W85/'4.1 Comptes 2021 natures'!W2</f>
        <v>2.2400123877361411</v>
      </c>
      <c r="X85" s="4">
        <f>'4.1 Comptes 2021 natures'!X85/'4.1 Comptes 2021 natures'!X2</f>
        <v>1.0706451612903225</v>
      </c>
      <c r="Y85" s="4">
        <f>'4.1 Comptes 2021 natures'!Y85/'4.1 Comptes 2021 natures'!Y2</f>
        <v>0</v>
      </c>
      <c r="Z85" s="4">
        <f>'4.1 Comptes 2021 natures'!Z85/'4.1 Comptes 2021 natures'!Z2</f>
        <v>222.84717795484727</v>
      </c>
      <c r="AA85" s="4">
        <f>'4.1 Comptes 2021 natures'!AA85/'4.1 Comptes 2021 natures'!AA2</f>
        <v>0</v>
      </c>
      <c r="AB85" s="4">
        <f>'4.1 Comptes 2021 natures'!AB85/'4.1 Comptes 2021 natures'!AB2</f>
        <v>1.972972972972973</v>
      </c>
      <c r="AC85" s="4">
        <f>'4.1 Comptes 2021 natures'!AC85/'4.1 Comptes 2021 natures'!AC2</f>
        <v>1.3899613899613901</v>
      </c>
      <c r="AD85" s="4">
        <f>'4.1 Comptes 2021 natures'!AD85/'4.1 Comptes 2021 natures'!AD2</f>
        <v>0</v>
      </c>
      <c r="AE85" s="4">
        <f>'4.1 Comptes 2021 natures'!AE85/'4.1 Comptes 2021 natures'!AE2</f>
        <v>2.1737588652482271</v>
      </c>
      <c r="AF85" s="4">
        <f>'4.1 Comptes 2021 natures'!AF85/'4.1 Comptes 2021 natures'!AF2</f>
        <v>31.86095238095238</v>
      </c>
      <c r="AG85" s="4">
        <f>'4.1 Comptes 2021 natures'!AG85/'4.1 Comptes 2021 natures'!AG2</f>
        <v>3.7840230487166053</v>
      </c>
      <c r="AH85" s="4">
        <f>'4.1 Comptes 2021 natures'!AH85/'4.1 Comptes 2021 natures'!AH2</f>
        <v>0</v>
      </c>
      <c r="AI85" s="4">
        <f>'4.1 Comptes 2021 natures'!AI85/'4.1 Comptes 2021 natures'!AI2</f>
        <v>128.5867117117117</v>
      </c>
      <c r="AJ85" s="4">
        <f>'4.1 Comptes 2021 natures'!AJ85/'4.1 Comptes 2021 natures'!AJ2</f>
        <v>52.713178294573645</v>
      </c>
      <c r="AK85" s="4">
        <f>'4.1 Comptes 2021 natures'!AK85/'4.1 Comptes 2021 natures'!AK2</f>
        <v>46.25919090428345</v>
      </c>
      <c r="AL85" s="4">
        <f>'4.1 Comptes 2021 natures'!AL85/'4.1 Comptes 2021 natures'!AL2</f>
        <v>0</v>
      </c>
      <c r="AM85" s="4">
        <f>'4.1 Comptes 2021 natures'!AM85/'4.1 Comptes 2021 natures'!AM2</f>
        <v>0</v>
      </c>
      <c r="AN85" s="4">
        <f>'4.1 Comptes 2021 natures'!AN85/'4.1 Comptes 2021 natures'!AN2</f>
        <v>0</v>
      </c>
      <c r="AO85" s="4">
        <f>'4.1 Comptes 2021 natures'!AO85/'4.1 Comptes 2021 natures'!AO2</f>
        <v>0</v>
      </c>
      <c r="AP85" s="4">
        <f>'4.1 Comptes 2021 natures'!AP85/'4.1 Comptes 2021 natures'!AP2</f>
        <v>0</v>
      </c>
      <c r="AQ85" s="4">
        <f>'4.1 Comptes 2021 natures'!AQ85/'4.1 Comptes 2021 natures'!AQ2</f>
        <v>0</v>
      </c>
      <c r="AR85" s="4">
        <f>'4.1 Comptes 2021 natures'!AR85/'4.1 Comptes 2021 natures'!AR2</f>
        <v>15.496417445482868</v>
      </c>
      <c r="AS85" s="4">
        <f>'4.1 Comptes 2021 natures'!AS85/'4.1 Comptes 2021 natures'!AS2</f>
        <v>0</v>
      </c>
      <c r="AT85" s="4">
        <f>'4.1 Comptes 2021 natures'!AT85/'4.1 Comptes 2021 natures'!AT2</f>
        <v>13.998228346456694</v>
      </c>
      <c r="AU85" s="4">
        <f>'4.1 Comptes 2021 natures'!AU85/'4.1 Comptes 2021 natures'!AU2</f>
        <v>0</v>
      </c>
      <c r="AV85" s="4">
        <f>'4.1 Comptes 2021 natures'!AV85/'4.1 Comptes 2021 natures'!AV2</f>
        <v>2.6948590381426203</v>
      </c>
      <c r="AW85" s="4">
        <f>'4.1 Comptes 2021 natures'!AW85/'4.1 Comptes 2021 natures'!AW2</f>
        <v>0</v>
      </c>
      <c r="AX85" s="4">
        <f>'4.1 Comptes 2021 natures'!AX85/'4.1 Comptes 2021 natures'!AX2</f>
        <v>43.621621621621621</v>
      </c>
      <c r="AY85" s="4">
        <f>'4.1 Comptes 2021 natures'!AY85/'4.1 Comptes 2021 natures'!AY2</f>
        <v>0</v>
      </c>
      <c r="AZ85" s="4">
        <f>'4.1 Comptes 2021 natures'!AZ85/'4.1 Comptes 2021 natures'!AZ2</f>
        <v>3.3772539776075425</v>
      </c>
      <c r="BA85" s="4">
        <f>'4.1 Comptes 2021 natures'!BA85/'4.1 Comptes 2021 natures'!BA2</f>
        <v>0</v>
      </c>
      <c r="BB85" s="4">
        <f>'4.1 Comptes 2021 natures'!BB85/'4.1 Comptes 2021 natures'!BB2</f>
        <v>37.997576887232064</v>
      </c>
      <c r="BC85" s="4">
        <f>'4.1 Comptes 2021 natures'!BC85/'4.1 Comptes 2021 natures'!BC2</f>
        <v>0</v>
      </c>
      <c r="BD85" s="4">
        <f>'4.1 Comptes 2021 natures'!BD85/'4.1 Comptes 2021 natures'!BD2</f>
        <v>43.801422827095578</v>
      </c>
      <c r="BE85" s="4">
        <f>'4.1 Comptes 2021 natures'!BE85/'4.1 Comptes 2021 natures'!BE2</f>
        <v>0</v>
      </c>
      <c r="BF85" s="4">
        <f t="shared" si="53"/>
        <v>831.91305004112587</v>
      </c>
      <c r="BG85" s="4">
        <f t="shared" si="54"/>
        <v>178.26709721292903</v>
      </c>
      <c r="BH85" s="4">
        <f t="shared" si="55"/>
        <v>446.39938178027455</v>
      </c>
      <c r="BI85" s="4">
        <f t="shared" si="56"/>
        <v>207.24657104792243</v>
      </c>
    </row>
    <row r="86" spans="2:61" x14ac:dyDescent="0.25">
      <c r="C86">
        <v>413</v>
      </c>
      <c r="D86" t="s">
        <v>146</v>
      </c>
      <c r="E86" s="4">
        <f>'4.1 Comptes 2021 natures'!E86/'4.1 Comptes 2021 natures'!E2</f>
        <v>0</v>
      </c>
      <c r="F86" s="4">
        <f>'4.1 Comptes 2021 natures'!F86/'4.1 Comptes 2021 natures'!F2</f>
        <v>0</v>
      </c>
      <c r="G86" s="4">
        <f>'4.1 Comptes 2021 natures'!G86/'4.1 Comptes 2021 natures'!G2</f>
        <v>0</v>
      </c>
      <c r="H86" s="4">
        <f>'4.1 Comptes 2021 natures'!H86/'4.1 Comptes 2021 natures'!H2</f>
        <v>0</v>
      </c>
      <c r="I86" s="4">
        <f>'4.1 Comptes 2021 natures'!I86/'4.1 Comptes 2021 natures'!I2</f>
        <v>0</v>
      </c>
      <c r="J86" s="4">
        <f>'4.1 Comptes 2021 natures'!J86/'4.1 Comptes 2021 natures'!J2</f>
        <v>0</v>
      </c>
      <c r="K86" s="4">
        <f>'4.1 Comptes 2021 natures'!K86/'4.1 Comptes 2021 natures'!K2</f>
        <v>0</v>
      </c>
      <c r="L86" s="4">
        <f>'4.1 Comptes 2021 natures'!L86/'4.1 Comptes 2021 natures'!L2</f>
        <v>0</v>
      </c>
      <c r="M86" s="4">
        <f>'4.1 Comptes 2021 natures'!M86/'4.1 Comptes 2021 natures'!M2</f>
        <v>0</v>
      </c>
      <c r="N86" s="4">
        <f>'4.1 Comptes 2021 natures'!N86/'4.1 Comptes 2021 natures'!N2</f>
        <v>0</v>
      </c>
      <c r="O86" s="4">
        <f>'4.1 Comptes 2021 natures'!O86/'4.1 Comptes 2021 natures'!O2</f>
        <v>0</v>
      </c>
      <c r="P86" s="4">
        <f>'4.1 Comptes 2021 natures'!P86/'4.1 Comptes 2021 natures'!P2</f>
        <v>0</v>
      </c>
      <c r="Q86" s="4">
        <f>'4.1 Comptes 2021 natures'!Q86/'4.1 Comptes 2021 natures'!Q2</f>
        <v>0</v>
      </c>
      <c r="R86" s="4">
        <f>'4.1 Comptes 2021 natures'!R86/'4.1 Comptes 2021 natures'!R2</f>
        <v>0</v>
      </c>
      <c r="S86" s="4">
        <f>'4.1 Comptes 2021 natures'!S86/'4.1 Comptes 2021 natures'!S2</f>
        <v>0</v>
      </c>
      <c r="T86" s="4">
        <f>'4.1 Comptes 2021 natures'!T86/'4.1 Comptes 2021 natures'!T2</f>
        <v>0</v>
      </c>
      <c r="U86" s="4">
        <f>'4.1 Comptes 2021 natures'!U86/'4.1 Comptes 2021 natures'!U2</f>
        <v>0</v>
      </c>
      <c r="V86" s="4">
        <f>'4.1 Comptes 2021 natures'!V86/'4.1 Comptes 2021 natures'!V2</f>
        <v>0</v>
      </c>
      <c r="W86" s="4">
        <f>'4.1 Comptes 2021 natures'!W86/'4.1 Comptes 2021 natures'!W2</f>
        <v>0</v>
      </c>
      <c r="X86" s="4">
        <f>'4.1 Comptes 2021 natures'!X86/'4.1 Comptes 2021 natures'!X2</f>
        <v>0</v>
      </c>
      <c r="Y86" s="4">
        <f>'4.1 Comptes 2021 natures'!Y86/'4.1 Comptes 2021 natures'!Y2</f>
        <v>0</v>
      </c>
      <c r="Z86" s="4">
        <f>'4.1 Comptes 2021 natures'!Z86/'4.1 Comptes 2021 natures'!Z2</f>
        <v>0</v>
      </c>
      <c r="AA86" s="4">
        <f>'4.1 Comptes 2021 natures'!AA86/'4.1 Comptes 2021 natures'!AA2</f>
        <v>0</v>
      </c>
      <c r="AB86" s="4">
        <f>'4.1 Comptes 2021 natures'!AB86/'4.1 Comptes 2021 natures'!AB2</f>
        <v>0</v>
      </c>
      <c r="AC86" s="4">
        <f>'4.1 Comptes 2021 natures'!AC86/'4.1 Comptes 2021 natures'!AC2</f>
        <v>0</v>
      </c>
      <c r="AD86" s="4">
        <f>'4.1 Comptes 2021 natures'!AD86/'4.1 Comptes 2021 natures'!AD2</f>
        <v>0</v>
      </c>
      <c r="AE86" s="4">
        <f>'4.1 Comptes 2021 natures'!AE86/'4.1 Comptes 2021 natures'!AE2</f>
        <v>0</v>
      </c>
      <c r="AF86" s="4">
        <f>'4.1 Comptes 2021 natures'!AF86/'4.1 Comptes 2021 natures'!AF2</f>
        <v>0</v>
      </c>
      <c r="AG86" s="4">
        <f>'4.1 Comptes 2021 natures'!AG86/'4.1 Comptes 2021 natures'!AG2</f>
        <v>0</v>
      </c>
      <c r="AH86" s="4">
        <f>'4.1 Comptes 2021 natures'!AH86/'4.1 Comptes 2021 natures'!AH2</f>
        <v>0</v>
      </c>
      <c r="AI86" s="4">
        <f>'4.1 Comptes 2021 natures'!AI86/'4.1 Comptes 2021 natures'!AI2</f>
        <v>0</v>
      </c>
      <c r="AJ86" s="4">
        <f>'4.1 Comptes 2021 natures'!AJ86/'4.1 Comptes 2021 natures'!AJ2</f>
        <v>0</v>
      </c>
      <c r="AK86" s="4">
        <f>'4.1 Comptes 2021 natures'!AK86/'4.1 Comptes 2021 natures'!AK2</f>
        <v>0</v>
      </c>
      <c r="AL86" s="4">
        <f>'4.1 Comptes 2021 natures'!AL86/'4.1 Comptes 2021 natures'!AL2</f>
        <v>0</v>
      </c>
      <c r="AM86" s="4">
        <f>'4.1 Comptes 2021 natures'!AM86/'4.1 Comptes 2021 natures'!AM2</f>
        <v>0</v>
      </c>
      <c r="AN86" s="4">
        <f>'4.1 Comptes 2021 natures'!AN86/'4.1 Comptes 2021 natures'!AN2</f>
        <v>0</v>
      </c>
      <c r="AO86" s="4">
        <f>'4.1 Comptes 2021 natures'!AO86/'4.1 Comptes 2021 natures'!AO2</f>
        <v>0</v>
      </c>
      <c r="AP86" s="4">
        <f>'4.1 Comptes 2021 natures'!AP86/'4.1 Comptes 2021 natures'!AP2</f>
        <v>0</v>
      </c>
      <c r="AQ86" s="4">
        <f>'4.1 Comptes 2021 natures'!AQ86/'4.1 Comptes 2021 natures'!AQ2</f>
        <v>0</v>
      </c>
      <c r="AR86" s="4">
        <f>'4.1 Comptes 2021 natures'!AR86/'4.1 Comptes 2021 natures'!AR2</f>
        <v>0</v>
      </c>
      <c r="AS86" s="4">
        <f>'4.1 Comptes 2021 natures'!AS86/'4.1 Comptes 2021 natures'!AS2</f>
        <v>0</v>
      </c>
      <c r="AT86" s="4">
        <f>'4.1 Comptes 2021 natures'!AT86/'4.1 Comptes 2021 natures'!AT2</f>
        <v>0</v>
      </c>
      <c r="AU86" s="4">
        <f>'4.1 Comptes 2021 natures'!AU86/'4.1 Comptes 2021 natures'!AU2</f>
        <v>0</v>
      </c>
      <c r="AV86" s="4">
        <f>'4.1 Comptes 2021 natures'!AV86/'4.1 Comptes 2021 natures'!AV2</f>
        <v>0</v>
      </c>
      <c r="AW86" s="4">
        <f>'4.1 Comptes 2021 natures'!AW86/'4.1 Comptes 2021 natures'!AW2</f>
        <v>0</v>
      </c>
      <c r="AX86" s="4">
        <f>'4.1 Comptes 2021 natures'!AX86/'4.1 Comptes 2021 natures'!AX2</f>
        <v>0</v>
      </c>
      <c r="AY86" s="4">
        <f>'4.1 Comptes 2021 natures'!AY86/'4.1 Comptes 2021 natures'!AY2</f>
        <v>0</v>
      </c>
      <c r="AZ86" s="4">
        <f>'4.1 Comptes 2021 natures'!AZ86/'4.1 Comptes 2021 natures'!AZ2</f>
        <v>0</v>
      </c>
      <c r="BA86" s="4">
        <f>'4.1 Comptes 2021 natures'!BA86/'4.1 Comptes 2021 natures'!BA2</f>
        <v>0</v>
      </c>
      <c r="BB86" s="4">
        <f>'4.1 Comptes 2021 natures'!BB86/'4.1 Comptes 2021 natures'!BB2</f>
        <v>0</v>
      </c>
      <c r="BC86" s="4">
        <f>'4.1 Comptes 2021 natures'!BC86/'4.1 Comptes 2021 natures'!BC2</f>
        <v>0</v>
      </c>
      <c r="BD86" s="4">
        <f>'4.1 Comptes 2021 natures'!BD86/'4.1 Comptes 2021 natures'!BD2</f>
        <v>0</v>
      </c>
      <c r="BE86" s="4">
        <f>'4.1 Comptes 2021 natures'!BE86/'4.1 Comptes 2021 natures'!BE2</f>
        <v>0</v>
      </c>
      <c r="BF86" s="4">
        <f t="shared" si="53"/>
        <v>0</v>
      </c>
      <c r="BG86" s="4">
        <f t="shared" si="54"/>
        <v>0</v>
      </c>
      <c r="BH86" s="4">
        <f t="shared" si="55"/>
        <v>0</v>
      </c>
      <c r="BI86" s="4">
        <f t="shared" si="56"/>
        <v>0</v>
      </c>
    </row>
    <row r="87" spans="2:61" x14ac:dyDescent="0.25">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row>
    <row r="88" spans="2:61" x14ac:dyDescent="0.25">
      <c r="B88" s="78">
        <v>42</v>
      </c>
      <c r="C88" s="78"/>
      <c r="D88" s="78" t="s">
        <v>147</v>
      </c>
      <c r="E88" s="73">
        <f>E89+E90+E91+E92+E93+E94+E95+E96+E97</f>
        <v>654.45691657866951</v>
      </c>
      <c r="F88" s="73">
        <f t="shared" ref="F88:BI88" si="57">F89+F90+F91+F92+F93+F94+F95+F96+F97</f>
        <v>718.28226415094343</v>
      </c>
      <c r="G88" s="73">
        <f t="shared" si="57"/>
        <v>390.24392324093822</v>
      </c>
      <c r="H88" s="73">
        <f t="shared" si="57"/>
        <v>1273.3945558086562</v>
      </c>
      <c r="I88" s="73">
        <f t="shared" si="57"/>
        <v>902.71764753218895</v>
      </c>
      <c r="J88" s="73">
        <f t="shared" si="57"/>
        <v>780.40246337817632</v>
      </c>
      <c r="K88" s="73">
        <f t="shared" si="57"/>
        <v>678.1260444947211</v>
      </c>
      <c r="L88" s="73">
        <f t="shared" si="57"/>
        <v>2378.1511010497638</v>
      </c>
      <c r="M88" s="73">
        <f t="shared" si="57"/>
        <v>1696.5685430463575</v>
      </c>
      <c r="N88" s="73">
        <f t="shared" si="57"/>
        <v>394.74316239316238</v>
      </c>
      <c r="O88" s="73">
        <f t="shared" si="57"/>
        <v>660.02657347472802</v>
      </c>
      <c r="P88" s="73">
        <f t="shared" si="57"/>
        <v>411.70723048327142</v>
      </c>
      <c r="Q88" s="73">
        <f t="shared" si="57"/>
        <v>782.48918918918935</v>
      </c>
      <c r="R88" s="73">
        <f t="shared" si="57"/>
        <v>540.23361045130639</v>
      </c>
      <c r="S88" s="73">
        <f t="shared" si="57"/>
        <v>765.77745664739882</v>
      </c>
      <c r="T88" s="73">
        <f t="shared" si="57"/>
        <v>1044.9210422535211</v>
      </c>
      <c r="U88" s="73">
        <f t="shared" si="57"/>
        <v>698.35297397769511</v>
      </c>
      <c r="V88" s="73">
        <f t="shared" si="57"/>
        <v>719.11595454545466</v>
      </c>
      <c r="W88" s="73">
        <f t="shared" si="57"/>
        <v>523.97400123877355</v>
      </c>
      <c r="X88" s="73">
        <f t="shared" si="57"/>
        <v>1224.1544838709679</v>
      </c>
      <c r="Y88" s="73">
        <f t="shared" si="57"/>
        <v>913.33421259842532</v>
      </c>
      <c r="Z88" s="73">
        <f t="shared" si="57"/>
        <v>1163.3436254980081</v>
      </c>
      <c r="AA88" s="73">
        <f t="shared" si="57"/>
        <v>1044.0776041666668</v>
      </c>
      <c r="AB88" s="73">
        <f t="shared" si="57"/>
        <v>1111.2895270270271</v>
      </c>
      <c r="AC88" s="73">
        <f t="shared" si="57"/>
        <v>1080.5272200772201</v>
      </c>
      <c r="AD88" s="73">
        <f t="shared" si="57"/>
        <v>1041.2185164051357</v>
      </c>
      <c r="AE88" s="73">
        <f t="shared" si="57"/>
        <v>975.84969858156023</v>
      </c>
      <c r="AF88" s="73">
        <f t="shared" si="57"/>
        <v>1323.333142857143</v>
      </c>
      <c r="AG88" s="73">
        <f t="shared" si="57"/>
        <v>825.07235201676281</v>
      </c>
      <c r="AH88" s="73">
        <f t="shared" si="57"/>
        <v>1218.6080387596899</v>
      </c>
      <c r="AI88" s="73">
        <f t="shared" si="57"/>
        <v>1186.6497747747749</v>
      </c>
      <c r="AJ88" s="73">
        <f t="shared" si="57"/>
        <v>1054.1232558139534</v>
      </c>
      <c r="AK88" s="73">
        <f t="shared" si="57"/>
        <v>641.65123215230028</v>
      </c>
      <c r="AL88" s="73">
        <f t="shared" si="57"/>
        <v>838.01003552397856</v>
      </c>
      <c r="AM88" s="73">
        <f t="shared" si="57"/>
        <v>500.63706122448986</v>
      </c>
      <c r="AN88" s="73">
        <f t="shared" si="57"/>
        <v>1318.1187179487181</v>
      </c>
      <c r="AO88" s="73">
        <f t="shared" si="57"/>
        <v>1179.7852067510548</v>
      </c>
      <c r="AP88" s="73">
        <f t="shared" si="57"/>
        <v>1307.8228971962617</v>
      </c>
      <c r="AQ88" s="73">
        <f t="shared" si="57"/>
        <v>576.50805687203797</v>
      </c>
      <c r="AR88" s="73">
        <f t="shared" si="57"/>
        <v>723.54207943925223</v>
      </c>
      <c r="AS88" s="73">
        <f t="shared" si="57"/>
        <v>762.57835841313272</v>
      </c>
      <c r="AT88" s="73">
        <f t="shared" si="57"/>
        <v>790.61437007874019</v>
      </c>
      <c r="AU88" s="73">
        <f t="shared" si="57"/>
        <v>805.02539473684203</v>
      </c>
      <c r="AV88" s="73">
        <f t="shared" si="57"/>
        <v>532.85652985074637</v>
      </c>
      <c r="AW88" s="73">
        <f t="shared" si="57"/>
        <v>652.11878911564622</v>
      </c>
      <c r="AX88" s="73">
        <f t="shared" si="57"/>
        <v>931.13437837837853</v>
      </c>
      <c r="AY88" s="73">
        <f t="shared" si="57"/>
        <v>712.04429411764715</v>
      </c>
      <c r="AZ88" s="73">
        <f t="shared" si="57"/>
        <v>549.81679434295802</v>
      </c>
      <c r="BA88" s="73">
        <f t="shared" si="57"/>
        <v>823.08307692307699</v>
      </c>
      <c r="BB88" s="73">
        <f t="shared" si="57"/>
        <v>985.75177073625355</v>
      </c>
      <c r="BC88" s="73">
        <f t="shared" si="57"/>
        <v>755.44157608695639</v>
      </c>
      <c r="BD88" s="73">
        <f t="shared" si="57"/>
        <v>891.97530157748224</v>
      </c>
      <c r="BE88" s="73">
        <f t="shared" si="57"/>
        <v>713.31772808586766</v>
      </c>
      <c r="BF88" s="73">
        <f t="shared" si="57"/>
        <v>47167.099755934069</v>
      </c>
      <c r="BG88" s="73">
        <f t="shared" si="57"/>
        <v>16013.684653934917</v>
      </c>
      <c r="BH88" s="73">
        <f t="shared" si="57"/>
        <v>14161.581452447334</v>
      </c>
      <c r="BI88" s="73">
        <f t="shared" si="57"/>
        <v>16991.83364955182</v>
      </c>
    </row>
    <row r="89" spans="2:61" x14ac:dyDescent="0.25">
      <c r="C89">
        <v>420</v>
      </c>
      <c r="D89" t="s">
        <v>148</v>
      </c>
      <c r="E89" s="4">
        <f>'4.1 Comptes 2021 natures'!E89/'4.1 Comptes 2021 natures'!E2</f>
        <v>40.84112988384372</v>
      </c>
      <c r="F89" s="4">
        <f>'4.1 Comptes 2021 natures'!F89/'4.1 Comptes 2021 natures'!F2</f>
        <v>30.090566037735851</v>
      </c>
      <c r="G89" s="4">
        <f>'4.1 Comptes 2021 natures'!G89/'4.1 Comptes 2021 natures'!G2</f>
        <v>45.653837953091688</v>
      </c>
      <c r="H89" s="4">
        <f>'4.1 Comptes 2021 natures'!H89/'4.1 Comptes 2021 natures'!H2</f>
        <v>36.233940774487472</v>
      </c>
      <c r="I89" s="4">
        <f>'4.1 Comptes 2021 natures'!I89/'4.1 Comptes 2021 natures'!I2</f>
        <v>45.070708154506441</v>
      </c>
      <c r="J89" s="4">
        <f>'4.1 Comptes 2021 natures'!J89/'4.1 Comptes 2021 natures'!J2</f>
        <v>45.852032884902833</v>
      </c>
      <c r="K89" s="4">
        <f>'4.1 Comptes 2021 natures'!K89/'4.1 Comptes 2021 natures'!K2</f>
        <v>50.749585218702862</v>
      </c>
      <c r="L89" s="4">
        <f>'4.1 Comptes 2021 natures'!L89/'4.1 Comptes 2021 natures'!L2</f>
        <v>41.563602852792691</v>
      </c>
      <c r="M89" s="4">
        <f>'4.1 Comptes 2021 natures'!M89/'4.1 Comptes 2021 natures'!M2</f>
        <v>41.920971302428256</v>
      </c>
      <c r="N89" s="4">
        <f>'4.1 Comptes 2021 natures'!N89/'4.1 Comptes 2021 natures'!N2</f>
        <v>9.1397435897435884</v>
      </c>
      <c r="O89" s="4">
        <f>'4.1 Comptes 2021 natures'!O89/'4.1 Comptes 2021 natures'!O2</f>
        <v>39.467277234540703</v>
      </c>
      <c r="P89" s="4">
        <f>'4.1 Comptes 2021 natures'!P89/'4.1 Comptes 2021 natures'!P2</f>
        <v>31.828717472118957</v>
      </c>
      <c r="Q89" s="4">
        <f>'4.1 Comptes 2021 natures'!Q89/'4.1 Comptes 2021 natures'!Q2</f>
        <v>27.973423423423426</v>
      </c>
      <c r="R89" s="4">
        <f>'4.1 Comptes 2021 natures'!R89/'4.1 Comptes 2021 natures'!R2</f>
        <v>37.432541567695964</v>
      </c>
      <c r="S89" s="4">
        <f>'4.1 Comptes 2021 natures'!S89/'4.1 Comptes 2021 natures'!S2</f>
        <v>32.418930635838151</v>
      </c>
      <c r="T89" s="4">
        <f>'4.1 Comptes 2021 natures'!T89/'4.1 Comptes 2021 natures'!T2</f>
        <v>56.132253521126763</v>
      </c>
      <c r="U89" s="4">
        <f>'4.1 Comptes 2021 natures'!U89/'4.1 Comptes 2021 natures'!U2</f>
        <v>41.398884758364311</v>
      </c>
      <c r="V89" s="4">
        <f>'4.1 Comptes 2021 natures'!V89/'4.1 Comptes 2021 natures'!V2</f>
        <v>37.794318181818184</v>
      </c>
      <c r="W89" s="4">
        <f>'4.1 Comptes 2021 natures'!W89/'4.1 Comptes 2021 natures'!W2</f>
        <v>34.23618767420254</v>
      </c>
      <c r="X89" s="4">
        <f>'4.1 Comptes 2021 natures'!X89/'4.1 Comptes 2021 natures'!X2</f>
        <v>25.777258064516129</v>
      </c>
      <c r="Y89" s="4">
        <f>'4.1 Comptes 2021 natures'!Y89/'4.1 Comptes 2021 natures'!Y2</f>
        <v>40.883385826771658</v>
      </c>
      <c r="Z89" s="4">
        <f>'4.1 Comptes 2021 natures'!Z89/'4.1 Comptes 2021 natures'!Z2</f>
        <v>42.270883134130145</v>
      </c>
      <c r="AA89" s="4">
        <f>'4.1 Comptes 2021 natures'!AA89/'4.1 Comptes 2021 natures'!AA2</f>
        <v>30.085416666666664</v>
      </c>
      <c r="AB89" s="4">
        <f>'4.1 Comptes 2021 natures'!AB89/'4.1 Comptes 2021 natures'!AB2</f>
        <v>30.924662162162164</v>
      </c>
      <c r="AC89" s="4">
        <f>'4.1 Comptes 2021 natures'!AC89/'4.1 Comptes 2021 natures'!AC2</f>
        <v>32.381563706563711</v>
      </c>
      <c r="AD89" s="4">
        <f>'4.1 Comptes 2021 natures'!AD89/'4.1 Comptes 2021 natures'!AD2</f>
        <v>59.483452211126966</v>
      </c>
      <c r="AE89" s="4">
        <f>'4.1 Comptes 2021 natures'!AE89/'4.1 Comptes 2021 natures'!AE2</f>
        <v>42.4040780141844</v>
      </c>
      <c r="AF89" s="4">
        <f>'4.1 Comptes 2021 natures'!AF89/'4.1 Comptes 2021 natures'!AF2</f>
        <v>23.390190476190476</v>
      </c>
      <c r="AG89" s="4">
        <f>'4.1 Comptes 2021 natures'!AG89/'4.1 Comptes 2021 natures'!AG2</f>
        <v>48.707569408067052</v>
      </c>
      <c r="AH89" s="4">
        <f>'4.1 Comptes 2021 natures'!AH89/'4.1 Comptes 2021 natures'!AH2</f>
        <v>44.352422480620156</v>
      </c>
      <c r="AI89" s="4">
        <f>'4.1 Comptes 2021 natures'!AI89/'4.1 Comptes 2021 natures'!AI2</f>
        <v>25.751351351351353</v>
      </c>
      <c r="AJ89" s="4">
        <f>'4.1 Comptes 2021 natures'!AJ89/'4.1 Comptes 2021 natures'!AJ2</f>
        <v>22.868992248062014</v>
      </c>
      <c r="AK89" s="4">
        <f>'4.1 Comptes 2021 natures'!AK89/'4.1 Comptes 2021 natures'!AK2</f>
        <v>40.20925436277102</v>
      </c>
      <c r="AL89" s="4">
        <f>'4.1 Comptes 2021 natures'!AL89/'4.1 Comptes 2021 natures'!AL2</f>
        <v>23.964431616341031</v>
      </c>
      <c r="AM89" s="4">
        <f>'4.1 Comptes 2021 natures'!AM89/'4.1 Comptes 2021 natures'!AM2</f>
        <v>22.461755102040819</v>
      </c>
      <c r="AN89" s="4">
        <f>'4.1 Comptes 2021 natures'!AN89/'4.1 Comptes 2021 natures'!AN2</f>
        <v>27.222649572649573</v>
      </c>
      <c r="AO89" s="4">
        <f>'4.1 Comptes 2021 natures'!AO89/'4.1 Comptes 2021 natures'!AO2</f>
        <v>27.061223628691984</v>
      </c>
      <c r="AP89" s="4">
        <f>'4.1 Comptes 2021 natures'!AP89/'4.1 Comptes 2021 natures'!AP2</f>
        <v>22.242990654205606</v>
      </c>
      <c r="AQ89" s="4">
        <f>'4.1 Comptes 2021 natures'!AQ89/'4.1 Comptes 2021 natures'!AQ2</f>
        <v>29.498736176935232</v>
      </c>
      <c r="AR89" s="4">
        <f>'4.1 Comptes 2021 natures'!AR89/'4.1 Comptes 2021 natures'!AR2</f>
        <v>28.325817757009343</v>
      </c>
      <c r="AS89" s="4">
        <f>'4.1 Comptes 2021 natures'!AS89/'4.1 Comptes 2021 natures'!AS2</f>
        <v>40.265321477428181</v>
      </c>
      <c r="AT89" s="4">
        <f>'4.1 Comptes 2021 natures'!AT89/'4.1 Comptes 2021 natures'!AT2</f>
        <v>37.230659448818898</v>
      </c>
      <c r="AU89" s="4">
        <f>'4.1 Comptes 2021 natures'!AU89/'4.1 Comptes 2021 natures'!AU2</f>
        <v>31.348190789473687</v>
      </c>
      <c r="AV89" s="4">
        <f>'4.1 Comptes 2021 natures'!AV89/'4.1 Comptes 2021 natures'!AV2</f>
        <v>0</v>
      </c>
      <c r="AW89" s="4">
        <f>'4.1 Comptes 2021 natures'!AW89/'4.1 Comptes 2021 natures'!AW2</f>
        <v>28.72659863945578</v>
      </c>
      <c r="AX89" s="4">
        <f>'4.1 Comptes 2021 natures'!AX89/'4.1 Comptes 2021 natures'!AX2</f>
        <v>25.711891891891892</v>
      </c>
      <c r="AY89" s="4">
        <f>'4.1 Comptes 2021 natures'!AY89/'4.1 Comptes 2021 natures'!AY2</f>
        <v>23.261029411764707</v>
      </c>
      <c r="AZ89" s="4">
        <f>'4.1 Comptes 2021 natures'!AZ89/'4.1 Comptes 2021 natures'!AZ2</f>
        <v>31.751355332940484</v>
      </c>
      <c r="BA89" s="4">
        <f>'4.1 Comptes 2021 natures'!BA89/'4.1 Comptes 2021 natures'!BA2</f>
        <v>19.747307692307693</v>
      </c>
      <c r="BB89" s="4">
        <f>'4.1 Comptes 2021 natures'!BB89/'4.1 Comptes 2021 natures'!BB2</f>
        <v>24.862255358807083</v>
      </c>
      <c r="BC89" s="4">
        <f>'4.1 Comptes 2021 natures'!BC89/'4.1 Comptes 2021 natures'!BC2</f>
        <v>32.374728260869567</v>
      </c>
      <c r="BD89" s="4">
        <f>'4.1 Comptes 2021 natures'!BD89/'4.1 Comptes 2021 natures'!BD2</f>
        <v>33.425139189607179</v>
      </c>
      <c r="BE89" s="4">
        <f>'4.1 Comptes 2021 natures'!BE89/'4.1 Comptes 2021 natures'!BE2</f>
        <v>22.76520572450805</v>
      </c>
      <c r="BF89" s="4">
        <f t="shared" ref="BF89:BF97" si="58">SUM(E89:BE89)</f>
        <v>1767.5364209602944</v>
      </c>
      <c r="BG89" s="4">
        <f t="shared" ref="BG89:BG97" si="59">SUM(E89:W89)</f>
        <v>725.7986531213644</v>
      </c>
      <c r="BH89" s="4">
        <f t="shared" ref="BH89:BH97" si="60">SUM(X89:AJ89)</f>
        <v>469.28122575041283</v>
      </c>
      <c r="BI89" s="4">
        <f t="shared" ref="BI89:BI97" si="61">SUM(AK89:BE89)</f>
        <v>572.45654208851772</v>
      </c>
    </row>
    <row r="90" spans="2:61" x14ac:dyDescent="0.25">
      <c r="C90">
        <v>421</v>
      </c>
      <c r="D90" t="s">
        <v>149</v>
      </c>
      <c r="E90" s="4">
        <f>'4.1 Comptes 2021 natures'!E90/'4.1 Comptes 2021 natures'!E2</f>
        <v>19.779039070749736</v>
      </c>
      <c r="F90" s="4">
        <f>'4.1 Comptes 2021 natures'!F90/'4.1 Comptes 2021 natures'!F2</f>
        <v>12.28679245283019</v>
      </c>
      <c r="G90" s="4">
        <f>'4.1 Comptes 2021 natures'!G90/'4.1 Comptes 2021 natures'!G2</f>
        <v>6.0015991471215351</v>
      </c>
      <c r="H90" s="4">
        <f>'4.1 Comptes 2021 natures'!H90/'4.1 Comptes 2021 natures'!H2</f>
        <v>32.785330296127562</v>
      </c>
      <c r="I90" s="4">
        <f>'4.1 Comptes 2021 natures'!I90/'4.1 Comptes 2021 natures'!I2</f>
        <v>25.88806330472103</v>
      </c>
      <c r="J90" s="4">
        <f>'4.1 Comptes 2021 natures'!J90/'4.1 Comptes 2021 natures'!J2</f>
        <v>13.51514798206278</v>
      </c>
      <c r="K90" s="4">
        <f>'4.1 Comptes 2021 natures'!K90/'4.1 Comptes 2021 natures'!K2</f>
        <v>12.045230015082957</v>
      </c>
      <c r="L90" s="4">
        <f>'4.1 Comptes 2021 natures'!L90/'4.1 Comptes 2021 natures'!L2</f>
        <v>76.737757833159705</v>
      </c>
      <c r="M90" s="4">
        <f>'4.1 Comptes 2021 natures'!M90/'4.1 Comptes 2021 natures'!M2</f>
        <v>14.590103016924209</v>
      </c>
      <c r="N90" s="4">
        <f>'4.1 Comptes 2021 natures'!N90/'4.1 Comptes 2021 natures'!N2</f>
        <v>8.7179487179487172</v>
      </c>
      <c r="O90" s="4">
        <f>'4.1 Comptes 2021 natures'!O90/'4.1 Comptes 2021 natures'!O2</f>
        <v>27.480257540283706</v>
      </c>
      <c r="P90" s="4">
        <f>'4.1 Comptes 2021 natures'!P90/'4.1 Comptes 2021 natures'!P2</f>
        <v>45.388197026022304</v>
      </c>
      <c r="Q90" s="4">
        <f>'4.1 Comptes 2021 natures'!Q90/'4.1 Comptes 2021 natures'!Q2</f>
        <v>47.556756756756755</v>
      </c>
      <c r="R90" s="4">
        <f>'4.1 Comptes 2021 natures'!R90/'4.1 Comptes 2021 natures'!R2</f>
        <v>19.419714964370545</v>
      </c>
      <c r="S90" s="4">
        <f>'4.1 Comptes 2021 natures'!S90/'4.1 Comptes 2021 natures'!S2</f>
        <v>79.890028901734112</v>
      </c>
      <c r="T90" s="4">
        <f>'4.1 Comptes 2021 natures'!T90/'4.1 Comptes 2021 natures'!T2</f>
        <v>10.594647887323944</v>
      </c>
      <c r="U90" s="4">
        <f>'4.1 Comptes 2021 natures'!U90/'4.1 Comptes 2021 natures'!U2</f>
        <v>12.795167286245354</v>
      </c>
      <c r="V90" s="4">
        <f>'4.1 Comptes 2021 natures'!V90/'4.1 Comptes 2021 natures'!V2</f>
        <v>19.608068181818179</v>
      </c>
      <c r="W90" s="4">
        <f>'4.1 Comptes 2021 natures'!W90/'4.1 Comptes 2021 natures'!W2</f>
        <v>17.736899969030659</v>
      </c>
      <c r="X90" s="4">
        <f>'4.1 Comptes 2021 natures'!X90/'4.1 Comptes 2021 natures'!X2</f>
        <v>10.730645161290322</v>
      </c>
      <c r="Y90" s="4">
        <f>'4.1 Comptes 2021 natures'!Y90/'4.1 Comptes 2021 natures'!Y2</f>
        <v>16.501102362204726</v>
      </c>
      <c r="Z90" s="4">
        <f>'4.1 Comptes 2021 natures'!Z90/'4.1 Comptes 2021 natures'!Z2</f>
        <v>7.9243359893758294</v>
      </c>
      <c r="AA90" s="4">
        <f>'4.1 Comptes 2021 natures'!AA90/'4.1 Comptes 2021 natures'!AA2</f>
        <v>0</v>
      </c>
      <c r="AB90" s="4">
        <f>'4.1 Comptes 2021 natures'!AB90/'4.1 Comptes 2021 natures'!AB2</f>
        <v>15.011824324324325</v>
      </c>
      <c r="AC90" s="4">
        <f>'4.1 Comptes 2021 natures'!AC90/'4.1 Comptes 2021 natures'!AC2</f>
        <v>1.4295366795366795</v>
      </c>
      <c r="AD90" s="4">
        <f>'4.1 Comptes 2021 natures'!AD90/'4.1 Comptes 2021 natures'!AD2</f>
        <v>61.964950071326676</v>
      </c>
      <c r="AE90" s="4">
        <f>'4.1 Comptes 2021 natures'!AE90/'4.1 Comptes 2021 natures'!AE2</f>
        <v>16.746010638297872</v>
      </c>
      <c r="AF90" s="4">
        <f>'4.1 Comptes 2021 natures'!AF90/'4.1 Comptes 2021 natures'!AF2</f>
        <v>8.5669523809523795</v>
      </c>
      <c r="AG90" s="4">
        <f>'4.1 Comptes 2021 natures'!AG90/'4.1 Comptes 2021 natures'!AG2</f>
        <v>10.849738082765846</v>
      </c>
      <c r="AH90" s="4">
        <f>'4.1 Comptes 2021 natures'!AH90/'4.1 Comptes 2021 natures'!AH2</f>
        <v>7.7103682170542633</v>
      </c>
      <c r="AI90" s="4">
        <f>'4.1 Comptes 2021 natures'!AI90/'4.1 Comptes 2021 natures'!AI2</f>
        <v>10.256756756756756</v>
      </c>
      <c r="AJ90" s="4">
        <f>'4.1 Comptes 2021 natures'!AJ90/'4.1 Comptes 2021 natures'!AJ2</f>
        <v>20.967054263565892</v>
      </c>
      <c r="AK90" s="4">
        <f>'4.1 Comptes 2021 natures'!AK90/'4.1 Comptes 2021 natures'!AK2</f>
        <v>12.992030671602327</v>
      </c>
      <c r="AL90" s="4">
        <f>'4.1 Comptes 2021 natures'!AL90/'4.1 Comptes 2021 natures'!AL2</f>
        <v>10.365452930728242</v>
      </c>
      <c r="AM90" s="4">
        <f>'4.1 Comptes 2021 natures'!AM90/'4.1 Comptes 2021 natures'!AM2</f>
        <v>13.270122448979592</v>
      </c>
      <c r="AN90" s="4">
        <f>'4.1 Comptes 2021 natures'!AN90/'4.1 Comptes 2021 natures'!AN2</f>
        <v>7.2756410256410255</v>
      </c>
      <c r="AO90" s="4">
        <f>'4.1 Comptes 2021 natures'!AO90/'4.1 Comptes 2021 natures'!AO2</f>
        <v>47.495240506329111</v>
      </c>
      <c r="AP90" s="4">
        <f>'4.1 Comptes 2021 natures'!AP90/'4.1 Comptes 2021 natures'!AP2</f>
        <v>17.613551401869159</v>
      </c>
      <c r="AQ90" s="4">
        <f>'4.1 Comptes 2021 natures'!AQ90/'4.1 Comptes 2021 natures'!AQ2</f>
        <v>9.4672195892575033</v>
      </c>
      <c r="AR90" s="4">
        <f>'4.1 Comptes 2021 natures'!AR90/'4.1 Comptes 2021 natures'!AR2</f>
        <v>26.472274143302183</v>
      </c>
      <c r="AS90" s="4">
        <f>'4.1 Comptes 2021 natures'!AS90/'4.1 Comptes 2021 natures'!AS2</f>
        <v>7.5486320109439129</v>
      </c>
      <c r="AT90" s="4">
        <f>'4.1 Comptes 2021 natures'!AT90/'4.1 Comptes 2021 natures'!AT2</f>
        <v>19.892224409448819</v>
      </c>
      <c r="AU90" s="4">
        <f>'4.1 Comptes 2021 natures'!AU90/'4.1 Comptes 2021 natures'!AU2</f>
        <v>17.540296052631579</v>
      </c>
      <c r="AV90" s="4">
        <f>'4.1 Comptes 2021 natures'!AV90/'4.1 Comptes 2021 natures'!AV2</f>
        <v>13.434639303482587</v>
      </c>
      <c r="AW90" s="4">
        <f>'4.1 Comptes 2021 natures'!AW90/'4.1 Comptes 2021 natures'!AW2</f>
        <v>18.226136054421769</v>
      </c>
      <c r="AX90" s="4">
        <f>'4.1 Comptes 2021 natures'!AX90/'4.1 Comptes 2021 natures'!AX2</f>
        <v>14.814864864864864</v>
      </c>
      <c r="AY90" s="4">
        <f>'4.1 Comptes 2021 natures'!AY90/'4.1 Comptes 2021 natures'!AY2</f>
        <v>3.1133823529411764</v>
      </c>
      <c r="AZ90" s="4">
        <f>'4.1 Comptes 2021 natures'!AZ90/'4.1 Comptes 2021 natures'!AZ2</f>
        <v>17.747908073070125</v>
      </c>
      <c r="BA90" s="4">
        <f>'4.1 Comptes 2021 natures'!BA90/'4.1 Comptes 2021 natures'!BA2</f>
        <v>12.623076923076923</v>
      </c>
      <c r="BB90" s="4">
        <f>'4.1 Comptes 2021 natures'!BB90/'4.1 Comptes 2021 natures'!BB2</f>
        <v>14.604715750232993</v>
      </c>
      <c r="BC90" s="4">
        <f>'4.1 Comptes 2021 natures'!BC90/'4.1 Comptes 2021 natures'!BC2</f>
        <v>1.28125</v>
      </c>
      <c r="BD90" s="4">
        <f>'4.1 Comptes 2021 natures'!BD90/'4.1 Comptes 2021 natures'!BD2</f>
        <v>71.021497061552736</v>
      </c>
      <c r="BE90" s="4">
        <f>'4.1 Comptes 2021 natures'!BE90/'4.1 Comptes 2021 natures'!BE2</f>
        <v>15.382379248658319</v>
      </c>
      <c r="BF90" s="4">
        <f t="shared" si="58"/>
        <v>1063.6585601008005</v>
      </c>
      <c r="BG90" s="4">
        <f t="shared" si="59"/>
        <v>502.81675035031407</v>
      </c>
      <c r="BH90" s="4">
        <f t="shared" si="60"/>
        <v>188.65927492745155</v>
      </c>
      <c r="BI90" s="4">
        <f t="shared" si="61"/>
        <v>372.18253482303498</v>
      </c>
    </row>
    <row r="91" spans="2:61" x14ac:dyDescent="0.25">
      <c r="C91">
        <v>422</v>
      </c>
      <c r="D91" t="s">
        <v>150</v>
      </c>
      <c r="E91" s="4">
        <f>'4.1 Comptes 2021 natures'!E91/'4.1 Comptes 2021 natures'!E2</f>
        <v>0</v>
      </c>
      <c r="F91" s="4">
        <f>'4.1 Comptes 2021 natures'!F91/'4.1 Comptes 2021 natures'!F2</f>
        <v>0</v>
      </c>
      <c r="G91" s="4">
        <f>'4.1 Comptes 2021 natures'!G91/'4.1 Comptes 2021 natures'!G2</f>
        <v>0</v>
      </c>
      <c r="H91" s="4">
        <f>'4.1 Comptes 2021 natures'!H91/'4.1 Comptes 2021 natures'!H2</f>
        <v>0</v>
      </c>
      <c r="I91" s="4">
        <f>'4.1 Comptes 2021 natures'!I91/'4.1 Comptes 2021 natures'!I2</f>
        <v>0</v>
      </c>
      <c r="J91" s="4">
        <f>'4.1 Comptes 2021 natures'!J91/'4.1 Comptes 2021 natures'!J2</f>
        <v>0</v>
      </c>
      <c r="K91" s="4">
        <f>'4.1 Comptes 2021 natures'!K91/'4.1 Comptes 2021 natures'!K2</f>
        <v>0</v>
      </c>
      <c r="L91" s="4">
        <f>'4.1 Comptes 2021 natures'!L91/'4.1 Comptes 2021 natures'!L2</f>
        <v>0</v>
      </c>
      <c r="M91" s="4">
        <f>'4.1 Comptes 2021 natures'!M91/'4.1 Comptes 2021 natures'!M2</f>
        <v>0</v>
      </c>
      <c r="N91" s="4">
        <f>'4.1 Comptes 2021 natures'!N91/'4.1 Comptes 2021 natures'!N2</f>
        <v>0</v>
      </c>
      <c r="O91" s="4">
        <f>'4.1 Comptes 2021 natures'!O91/'4.1 Comptes 2021 natures'!O2</f>
        <v>0</v>
      </c>
      <c r="P91" s="4">
        <f>'4.1 Comptes 2021 natures'!P91/'4.1 Comptes 2021 natures'!P2</f>
        <v>0</v>
      </c>
      <c r="Q91" s="4">
        <f>'4.1 Comptes 2021 natures'!Q91/'4.1 Comptes 2021 natures'!Q2</f>
        <v>0</v>
      </c>
      <c r="R91" s="4">
        <f>'4.1 Comptes 2021 natures'!R91/'4.1 Comptes 2021 natures'!R2</f>
        <v>0</v>
      </c>
      <c r="S91" s="4">
        <f>'4.1 Comptes 2021 natures'!S91/'4.1 Comptes 2021 natures'!S2</f>
        <v>0</v>
      </c>
      <c r="T91" s="4">
        <f>'4.1 Comptes 2021 natures'!T91/'4.1 Comptes 2021 natures'!T2</f>
        <v>0</v>
      </c>
      <c r="U91" s="4">
        <f>'4.1 Comptes 2021 natures'!U91/'4.1 Comptes 2021 natures'!U2</f>
        <v>0</v>
      </c>
      <c r="V91" s="4">
        <f>'4.1 Comptes 2021 natures'!V91/'4.1 Comptes 2021 natures'!V2</f>
        <v>0</v>
      </c>
      <c r="W91" s="4">
        <f>'4.1 Comptes 2021 natures'!W91/'4.1 Comptes 2021 natures'!W2</f>
        <v>0</v>
      </c>
      <c r="X91" s="4">
        <f>'4.1 Comptes 2021 natures'!X91/'4.1 Comptes 2021 natures'!X2</f>
        <v>0</v>
      </c>
      <c r="Y91" s="4">
        <f>'4.1 Comptes 2021 natures'!Y91/'4.1 Comptes 2021 natures'!Y2</f>
        <v>0</v>
      </c>
      <c r="Z91" s="4">
        <f>'4.1 Comptes 2021 natures'!Z91/'4.1 Comptes 2021 natures'!Z2</f>
        <v>0</v>
      </c>
      <c r="AA91" s="4">
        <f>'4.1 Comptes 2021 natures'!AA91/'4.1 Comptes 2021 natures'!AA2</f>
        <v>0</v>
      </c>
      <c r="AB91" s="4">
        <f>'4.1 Comptes 2021 natures'!AB91/'4.1 Comptes 2021 natures'!AB2</f>
        <v>0</v>
      </c>
      <c r="AC91" s="4">
        <f>'4.1 Comptes 2021 natures'!AC91/'4.1 Comptes 2021 natures'!AC2</f>
        <v>0</v>
      </c>
      <c r="AD91" s="4">
        <f>'4.1 Comptes 2021 natures'!AD91/'4.1 Comptes 2021 natures'!AD2</f>
        <v>0</v>
      </c>
      <c r="AE91" s="4">
        <f>'4.1 Comptes 2021 natures'!AE91/'4.1 Comptes 2021 natures'!AE2</f>
        <v>0</v>
      </c>
      <c r="AF91" s="4">
        <f>'4.1 Comptes 2021 natures'!AF91/'4.1 Comptes 2021 natures'!AF2</f>
        <v>0</v>
      </c>
      <c r="AG91" s="4">
        <f>'4.1 Comptes 2021 natures'!AG91/'4.1 Comptes 2021 natures'!AG2</f>
        <v>0</v>
      </c>
      <c r="AH91" s="4">
        <f>'4.1 Comptes 2021 natures'!AH91/'4.1 Comptes 2021 natures'!AH2</f>
        <v>0</v>
      </c>
      <c r="AI91" s="4">
        <f>'4.1 Comptes 2021 natures'!AI91/'4.1 Comptes 2021 natures'!AI2</f>
        <v>0</v>
      </c>
      <c r="AJ91" s="4">
        <f>'4.1 Comptes 2021 natures'!AJ91/'4.1 Comptes 2021 natures'!AJ2</f>
        <v>0</v>
      </c>
      <c r="AK91" s="4">
        <f>'4.1 Comptes 2021 natures'!AK91/'4.1 Comptes 2021 natures'!AK2</f>
        <v>0</v>
      </c>
      <c r="AL91" s="4">
        <f>'4.1 Comptes 2021 natures'!AL91/'4.1 Comptes 2021 natures'!AL2</f>
        <v>0</v>
      </c>
      <c r="AM91" s="4">
        <f>'4.1 Comptes 2021 natures'!AM91/'4.1 Comptes 2021 natures'!AM2</f>
        <v>0</v>
      </c>
      <c r="AN91" s="4">
        <f>'4.1 Comptes 2021 natures'!AN91/'4.1 Comptes 2021 natures'!AN2</f>
        <v>0</v>
      </c>
      <c r="AO91" s="4">
        <f>'4.1 Comptes 2021 natures'!AO91/'4.1 Comptes 2021 natures'!AO2</f>
        <v>0</v>
      </c>
      <c r="AP91" s="4">
        <f>'4.1 Comptes 2021 natures'!AP91/'4.1 Comptes 2021 natures'!AP2</f>
        <v>0</v>
      </c>
      <c r="AQ91" s="4">
        <f>'4.1 Comptes 2021 natures'!AQ91/'4.1 Comptes 2021 natures'!AQ2</f>
        <v>0</v>
      </c>
      <c r="AR91" s="4">
        <f>'4.1 Comptes 2021 natures'!AR91/'4.1 Comptes 2021 natures'!AR2</f>
        <v>0</v>
      </c>
      <c r="AS91" s="4">
        <f>'4.1 Comptes 2021 natures'!AS91/'4.1 Comptes 2021 natures'!AS2</f>
        <v>0</v>
      </c>
      <c r="AT91" s="4">
        <f>'4.1 Comptes 2021 natures'!AT91/'4.1 Comptes 2021 natures'!AT2</f>
        <v>0</v>
      </c>
      <c r="AU91" s="4">
        <f>'4.1 Comptes 2021 natures'!AU91/'4.1 Comptes 2021 natures'!AU2</f>
        <v>0</v>
      </c>
      <c r="AV91" s="4">
        <f>'4.1 Comptes 2021 natures'!AV91/'4.1 Comptes 2021 natures'!AV2</f>
        <v>0</v>
      </c>
      <c r="AW91" s="4">
        <f>'4.1 Comptes 2021 natures'!AW91/'4.1 Comptes 2021 natures'!AW2</f>
        <v>0</v>
      </c>
      <c r="AX91" s="4">
        <f>'4.1 Comptes 2021 natures'!AX91/'4.1 Comptes 2021 natures'!AX2</f>
        <v>0</v>
      </c>
      <c r="AY91" s="4">
        <f>'4.1 Comptes 2021 natures'!AY91/'4.1 Comptes 2021 natures'!AY2</f>
        <v>0</v>
      </c>
      <c r="AZ91" s="4">
        <f>'4.1 Comptes 2021 natures'!AZ91/'4.1 Comptes 2021 natures'!AZ2</f>
        <v>0</v>
      </c>
      <c r="BA91" s="4">
        <f>'4.1 Comptes 2021 natures'!BA91/'4.1 Comptes 2021 natures'!BA2</f>
        <v>0</v>
      </c>
      <c r="BB91" s="4">
        <f>'4.1 Comptes 2021 natures'!BB91/'4.1 Comptes 2021 natures'!BB2</f>
        <v>0</v>
      </c>
      <c r="BC91" s="4">
        <f>'4.1 Comptes 2021 natures'!BC91/'4.1 Comptes 2021 natures'!BC2</f>
        <v>0</v>
      </c>
      <c r="BD91" s="4">
        <f>'4.1 Comptes 2021 natures'!BD91/'4.1 Comptes 2021 natures'!BD2</f>
        <v>0</v>
      </c>
      <c r="BE91" s="4">
        <f>'4.1 Comptes 2021 natures'!BE91/'4.1 Comptes 2021 natures'!BE2</f>
        <v>0</v>
      </c>
      <c r="BF91" s="4">
        <f t="shared" si="58"/>
        <v>0</v>
      </c>
      <c r="BG91" s="4">
        <f t="shared" si="59"/>
        <v>0</v>
      </c>
      <c r="BH91" s="4">
        <f t="shared" si="60"/>
        <v>0</v>
      </c>
      <c r="BI91" s="4">
        <f t="shared" si="61"/>
        <v>0</v>
      </c>
    </row>
    <row r="92" spans="2:61" x14ac:dyDescent="0.25">
      <c r="C92">
        <v>423</v>
      </c>
      <c r="D92" t="s">
        <v>151</v>
      </c>
      <c r="E92" s="4">
        <f>'4.1 Comptes 2021 natures'!E92/'4.1 Comptes 2021 natures'!E2</f>
        <v>2.8722280887011618</v>
      </c>
      <c r="F92" s="4">
        <f>'4.1 Comptes 2021 natures'!F92/'4.1 Comptes 2021 natures'!F2</f>
        <v>0</v>
      </c>
      <c r="G92" s="4">
        <f>'4.1 Comptes 2021 natures'!G92/'4.1 Comptes 2021 natures'!G2</f>
        <v>0</v>
      </c>
      <c r="H92" s="4">
        <f>'4.1 Comptes 2021 natures'!H92/'4.1 Comptes 2021 natures'!H2</f>
        <v>0</v>
      </c>
      <c r="I92" s="4">
        <f>'4.1 Comptes 2021 natures'!I92/'4.1 Comptes 2021 natures'!I2</f>
        <v>1.5853004291845494</v>
      </c>
      <c r="J92" s="4">
        <f>'4.1 Comptes 2021 natures'!J92/'4.1 Comptes 2021 natures'!J2</f>
        <v>0</v>
      </c>
      <c r="K92" s="4">
        <f>'4.1 Comptes 2021 natures'!K92/'4.1 Comptes 2021 natures'!K2</f>
        <v>0</v>
      </c>
      <c r="L92" s="4">
        <f>'4.1 Comptes 2021 natures'!L92/'4.1 Comptes 2021 natures'!L2</f>
        <v>3.268450997676096</v>
      </c>
      <c r="M92" s="4">
        <f>'4.1 Comptes 2021 natures'!M92/'4.1 Comptes 2021 natures'!M2</f>
        <v>0.34459161147902873</v>
      </c>
      <c r="N92" s="4">
        <f>'4.1 Comptes 2021 natures'!N92/'4.1 Comptes 2021 natures'!N2</f>
        <v>0</v>
      </c>
      <c r="O92" s="4">
        <f>'4.1 Comptes 2021 natures'!O92/'4.1 Comptes 2021 natures'!O2</f>
        <v>0</v>
      </c>
      <c r="P92" s="4">
        <f>'4.1 Comptes 2021 natures'!P92/'4.1 Comptes 2021 natures'!P2</f>
        <v>0</v>
      </c>
      <c r="Q92" s="4">
        <f>'4.1 Comptes 2021 natures'!Q92/'4.1 Comptes 2021 natures'!Q2</f>
        <v>12.823423423423424</v>
      </c>
      <c r="R92" s="4">
        <f>'4.1 Comptes 2021 natures'!R92/'4.1 Comptes 2021 natures'!R2</f>
        <v>0</v>
      </c>
      <c r="S92" s="4">
        <f>'4.1 Comptes 2021 natures'!S92/'4.1 Comptes 2021 natures'!S2</f>
        <v>0</v>
      </c>
      <c r="T92" s="4">
        <f>'4.1 Comptes 2021 natures'!T92/'4.1 Comptes 2021 natures'!T2</f>
        <v>0</v>
      </c>
      <c r="U92" s="4">
        <f>'4.1 Comptes 2021 natures'!U92/'4.1 Comptes 2021 natures'!U2</f>
        <v>0</v>
      </c>
      <c r="V92" s="4">
        <f>'4.1 Comptes 2021 natures'!V92/'4.1 Comptes 2021 natures'!V2</f>
        <v>18.636363636363637</v>
      </c>
      <c r="W92" s="4">
        <f>'4.1 Comptes 2021 natures'!W92/'4.1 Comptes 2021 natures'!W2</f>
        <v>1.8581604211830287</v>
      </c>
      <c r="X92" s="4">
        <f>'4.1 Comptes 2021 natures'!X92/'4.1 Comptes 2021 natures'!X2</f>
        <v>110.80596774193548</v>
      </c>
      <c r="Y92" s="4">
        <f>'4.1 Comptes 2021 natures'!Y92/'4.1 Comptes 2021 natures'!Y2</f>
        <v>0</v>
      </c>
      <c r="Z92" s="4">
        <f>'4.1 Comptes 2021 natures'!Z92/'4.1 Comptes 2021 natures'!Z2</f>
        <v>175.06022576361224</v>
      </c>
      <c r="AA92" s="4">
        <f>'4.1 Comptes 2021 natures'!AA92/'4.1 Comptes 2021 natures'!AA2</f>
        <v>0</v>
      </c>
      <c r="AB92" s="4">
        <f>'4.1 Comptes 2021 natures'!AB92/'4.1 Comptes 2021 natures'!AB2</f>
        <v>0</v>
      </c>
      <c r="AC92" s="4">
        <f>'4.1 Comptes 2021 natures'!AC92/'4.1 Comptes 2021 natures'!AC2</f>
        <v>0</v>
      </c>
      <c r="AD92" s="4">
        <f>'4.1 Comptes 2021 natures'!AD92/'4.1 Comptes 2021 natures'!AD2</f>
        <v>0</v>
      </c>
      <c r="AE92" s="4">
        <f>'4.1 Comptes 2021 natures'!AE92/'4.1 Comptes 2021 natures'!AE2</f>
        <v>0</v>
      </c>
      <c r="AF92" s="4">
        <f>'4.1 Comptes 2021 natures'!AF92/'4.1 Comptes 2021 natures'!AF2</f>
        <v>0</v>
      </c>
      <c r="AG92" s="4">
        <f>'4.1 Comptes 2021 natures'!AG92/'4.1 Comptes 2021 natures'!AG2</f>
        <v>1.4552121529596647</v>
      </c>
      <c r="AH92" s="4">
        <f>'4.1 Comptes 2021 natures'!AH92/'4.1 Comptes 2021 natures'!AH2</f>
        <v>40.394864341085274</v>
      </c>
      <c r="AI92" s="4">
        <f>'4.1 Comptes 2021 natures'!AI92/'4.1 Comptes 2021 natures'!AI2</f>
        <v>0</v>
      </c>
      <c r="AJ92" s="4">
        <f>'4.1 Comptes 2021 natures'!AJ92/'4.1 Comptes 2021 natures'!AJ2</f>
        <v>0</v>
      </c>
      <c r="AK92" s="4">
        <f>'4.1 Comptes 2021 natures'!AK92/'4.1 Comptes 2021 natures'!AK2</f>
        <v>0</v>
      </c>
      <c r="AL92" s="4">
        <f>'4.1 Comptes 2021 natures'!AL92/'4.1 Comptes 2021 natures'!AL2</f>
        <v>0</v>
      </c>
      <c r="AM92" s="4">
        <f>'4.1 Comptes 2021 natures'!AM92/'4.1 Comptes 2021 natures'!AM2</f>
        <v>6.4104081632653065</v>
      </c>
      <c r="AN92" s="4">
        <f>'4.1 Comptes 2021 natures'!AN92/'4.1 Comptes 2021 natures'!AN2</f>
        <v>0</v>
      </c>
      <c r="AO92" s="4">
        <f>'4.1 Comptes 2021 natures'!AO92/'4.1 Comptes 2021 natures'!AO2</f>
        <v>0</v>
      </c>
      <c r="AP92" s="4">
        <f>'4.1 Comptes 2021 natures'!AP92/'4.1 Comptes 2021 natures'!AP2</f>
        <v>0</v>
      </c>
      <c r="AQ92" s="4">
        <f>'4.1 Comptes 2021 natures'!AQ92/'4.1 Comptes 2021 natures'!AQ2</f>
        <v>0</v>
      </c>
      <c r="AR92" s="4">
        <f>'4.1 Comptes 2021 natures'!AR92/'4.1 Comptes 2021 natures'!AR2</f>
        <v>2.4672897196261681</v>
      </c>
      <c r="AS92" s="4">
        <f>'4.1 Comptes 2021 natures'!AS92/'4.1 Comptes 2021 natures'!AS2</f>
        <v>49.418604651162788</v>
      </c>
      <c r="AT92" s="4">
        <f>'4.1 Comptes 2021 natures'!AT92/'4.1 Comptes 2021 natures'!AT2</f>
        <v>0</v>
      </c>
      <c r="AU92" s="4">
        <f>'4.1 Comptes 2021 natures'!AU92/'4.1 Comptes 2021 natures'!AU2</f>
        <v>0</v>
      </c>
      <c r="AV92" s="4">
        <f>'4.1 Comptes 2021 natures'!AV92/'4.1 Comptes 2021 natures'!AV2</f>
        <v>0</v>
      </c>
      <c r="AW92" s="4">
        <f>'4.1 Comptes 2021 natures'!AW92/'4.1 Comptes 2021 natures'!AW2</f>
        <v>0</v>
      </c>
      <c r="AX92" s="4">
        <f>'4.1 Comptes 2021 natures'!AX92/'4.1 Comptes 2021 natures'!AX2</f>
        <v>0</v>
      </c>
      <c r="AY92" s="4">
        <f>'4.1 Comptes 2021 natures'!AY92/'4.1 Comptes 2021 natures'!AY2</f>
        <v>0</v>
      </c>
      <c r="AZ92" s="4">
        <f>'4.1 Comptes 2021 natures'!AZ92/'4.1 Comptes 2021 natures'!AZ2</f>
        <v>0</v>
      </c>
      <c r="BA92" s="4">
        <f>'4.1 Comptes 2021 natures'!BA92/'4.1 Comptes 2021 natures'!BA2</f>
        <v>17.011666666666667</v>
      </c>
      <c r="BB92" s="4">
        <f>'4.1 Comptes 2021 natures'!BB92/'4.1 Comptes 2021 natures'!BB2</f>
        <v>11.513513513513514</v>
      </c>
      <c r="BC92" s="4">
        <f>'4.1 Comptes 2021 natures'!BC92/'4.1 Comptes 2021 natures'!BC2</f>
        <v>0</v>
      </c>
      <c r="BD92" s="4">
        <f>'4.1 Comptes 2021 natures'!BD92/'4.1 Comptes 2021 natures'!BD2</f>
        <v>14.073615836684194</v>
      </c>
      <c r="BE92" s="4">
        <f>'4.1 Comptes 2021 natures'!BE92/'4.1 Comptes 2021 natures'!BE2</f>
        <v>0</v>
      </c>
      <c r="BF92" s="4">
        <f t="shared" si="58"/>
        <v>469.99988715852226</v>
      </c>
      <c r="BG92" s="4">
        <f t="shared" si="59"/>
        <v>41.388518608010926</v>
      </c>
      <c r="BH92" s="4">
        <f t="shared" si="60"/>
        <v>327.71626999959267</v>
      </c>
      <c r="BI92" s="4">
        <f t="shared" si="61"/>
        <v>100.89509855091865</v>
      </c>
    </row>
    <row r="93" spans="2:61" x14ac:dyDescent="0.25">
      <c r="C93">
        <v>424</v>
      </c>
      <c r="D93" t="s">
        <v>152</v>
      </c>
      <c r="E93" s="4">
        <f>'4.1 Comptes 2021 natures'!E93/'4.1 Comptes 2021 natures'!E2</f>
        <v>546.61019007391758</v>
      </c>
      <c r="F93" s="4">
        <f>'4.1 Comptes 2021 natures'!F93/'4.1 Comptes 2021 natures'!F2</f>
        <v>660.27452830188679</v>
      </c>
      <c r="G93" s="4">
        <f>'4.1 Comptes 2021 natures'!G93/'4.1 Comptes 2021 natures'!G2</f>
        <v>309.3133262260128</v>
      </c>
      <c r="H93" s="4">
        <f>'4.1 Comptes 2021 natures'!H93/'4.1 Comptes 2021 natures'!H2</f>
        <v>1086.5107061503418</v>
      </c>
      <c r="I93" s="4">
        <f>'4.1 Comptes 2021 natures'!I93/'4.1 Comptes 2021 natures'!I2</f>
        <v>798.94582618025754</v>
      </c>
      <c r="J93" s="4">
        <f>'4.1 Comptes 2021 natures'!J93/'4.1 Comptes 2021 natures'!J2</f>
        <v>702.70120777279521</v>
      </c>
      <c r="K93" s="4">
        <f>'4.1 Comptes 2021 natures'!K93/'4.1 Comptes 2021 natures'!K2</f>
        <v>514.76738310708902</v>
      </c>
      <c r="L93" s="4">
        <f>'4.1 Comptes 2021 natures'!L93/'4.1 Comptes 2021 natures'!L2</f>
        <v>2183.0648697812326</v>
      </c>
      <c r="M93" s="4">
        <f>'4.1 Comptes 2021 natures'!M93/'4.1 Comptes 2021 natures'!M2</f>
        <v>1556.6310154525386</v>
      </c>
      <c r="N93" s="4">
        <f>'4.1 Comptes 2021 natures'!N93/'4.1 Comptes 2021 natures'!N2</f>
        <v>376.88547008547005</v>
      </c>
      <c r="O93" s="4">
        <f>'4.1 Comptes 2021 natures'!O93/'4.1 Comptes 2021 natures'!O2</f>
        <v>548.26107974108254</v>
      </c>
      <c r="P93" s="4">
        <f>'4.1 Comptes 2021 natures'!P93/'4.1 Comptes 2021 natures'!P2</f>
        <v>243.84479553903347</v>
      </c>
      <c r="Q93" s="4">
        <f>'4.1 Comptes 2021 natures'!Q93/'4.1 Comptes 2021 natures'!Q2</f>
        <v>386.13333333333338</v>
      </c>
      <c r="R93" s="4">
        <f>'4.1 Comptes 2021 natures'!R93/'4.1 Comptes 2021 natures'!R2</f>
        <v>359.17494061757719</v>
      </c>
      <c r="S93" s="4">
        <f>'4.1 Comptes 2021 natures'!S93/'4.1 Comptes 2021 natures'!S2</f>
        <v>666.76445086705201</v>
      </c>
      <c r="T93" s="4">
        <f>'4.1 Comptes 2021 natures'!T93/'4.1 Comptes 2021 natures'!T2</f>
        <v>854.97339436619711</v>
      </c>
      <c r="U93" s="4">
        <f>'4.1 Comptes 2021 natures'!U93/'4.1 Comptes 2021 natures'!U2</f>
        <v>537.36933085501857</v>
      </c>
      <c r="V93" s="4">
        <f>'4.1 Comptes 2021 natures'!V93/'4.1 Comptes 2021 natures'!V2</f>
        <v>477.3125</v>
      </c>
      <c r="W93" s="4">
        <f>'4.1 Comptes 2021 natures'!W93/'4.1 Comptes 2021 natures'!W2</f>
        <v>435.96035924434807</v>
      </c>
      <c r="X93" s="4">
        <f>'4.1 Comptes 2021 natures'!X93/'4.1 Comptes 2021 natures'!X2</f>
        <v>777.08677419354842</v>
      </c>
      <c r="Y93" s="4">
        <f>'4.1 Comptes 2021 natures'!Y93/'4.1 Comptes 2021 natures'!Y2</f>
        <v>774.69732283464566</v>
      </c>
      <c r="Z93" s="4">
        <f>'4.1 Comptes 2021 natures'!Z93/'4.1 Comptes 2021 natures'!Z2</f>
        <v>851.74249667994684</v>
      </c>
      <c r="AA93" s="4">
        <f>'4.1 Comptes 2021 natures'!AA93/'4.1 Comptes 2021 natures'!AA2</f>
        <v>633.64791666666667</v>
      </c>
      <c r="AB93" s="4">
        <f>'4.1 Comptes 2021 natures'!AB93/'4.1 Comptes 2021 natures'!AB2</f>
        <v>647.95777027027032</v>
      </c>
      <c r="AC93" s="4">
        <f>'4.1 Comptes 2021 natures'!AC93/'4.1 Comptes 2021 natures'!AC2</f>
        <v>717.68474903474907</v>
      </c>
      <c r="AD93" s="4">
        <f>'4.1 Comptes 2021 natures'!AD93/'4.1 Comptes 2021 natures'!AD2</f>
        <v>667.04015691868767</v>
      </c>
      <c r="AE93" s="4">
        <f>'4.1 Comptes 2021 natures'!AE93/'4.1 Comptes 2021 natures'!AE2</f>
        <v>764.2204787234042</v>
      </c>
      <c r="AF93" s="4">
        <f>'4.1 Comptes 2021 natures'!AF93/'4.1 Comptes 2021 natures'!AF2</f>
        <v>713.64</v>
      </c>
      <c r="AG93" s="4">
        <f>'4.1 Comptes 2021 natures'!AG93/'4.1 Comptes 2021 natures'!AG2</f>
        <v>607.64777370350976</v>
      </c>
      <c r="AH93" s="4">
        <f>'4.1 Comptes 2021 natures'!AH93/'4.1 Comptes 2021 natures'!AH2</f>
        <v>999.81282945736439</v>
      </c>
      <c r="AI93" s="4">
        <f>'4.1 Comptes 2021 natures'!AI93/'4.1 Comptes 2021 natures'!AI2</f>
        <v>816.9475225225226</v>
      </c>
      <c r="AJ93" s="4">
        <f>'4.1 Comptes 2021 natures'!AJ93/'4.1 Comptes 2021 natures'!AJ2</f>
        <v>857.01860465116272</v>
      </c>
      <c r="AK93" s="4">
        <f>'4.1 Comptes 2021 natures'!AK93/'4.1 Comptes 2021 natures'!AK2</f>
        <v>487.3437070333157</v>
      </c>
      <c r="AL93" s="4">
        <f>'4.1 Comptes 2021 natures'!AL93/'4.1 Comptes 2021 natures'!AL2</f>
        <v>519.32415630550622</v>
      </c>
      <c r="AM93" s="4">
        <f>'4.1 Comptes 2021 natures'!AM93/'4.1 Comptes 2021 natures'!AM2</f>
        <v>447.2808571428572</v>
      </c>
      <c r="AN93" s="4">
        <f>'4.1 Comptes 2021 natures'!AN93/'4.1 Comptes 2021 natures'!AN2</f>
        <v>581.19615384615383</v>
      </c>
      <c r="AO93" s="4">
        <f>'4.1 Comptes 2021 natures'!AO93/'4.1 Comptes 2021 natures'!AO2</f>
        <v>1056.0329198312236</v>
      </c>
      <c r="AP93" s="4">
        <f>'4.1 Comptes 2021 natures'!AP93/'4.1 Comptes 2021 natures'!AP2</f>
        <v>879.52975077881615</v>
      </c>
      <c r="AQ93" s="4">
        <f>'4.1 Comptes 2021 natures'!AQ93/'4.1 Comptes 2021 natures'!AQ2</f>
        <v>466.08009478672989</v>
      </c>
      <c r="AR93" s="4">
        <f>'4.1 Comptes 2021 natures'!AR93/'4.1 Comptes 2021 natures'!AR2</f>
        <v>605.14166666666665</v>
      </c>
      <c r="AS93" s="4">
        <f>'4.1 Comptes 2021 natures'!AS93/'4.1 Comptes 2021 natures'!AS2</f>
        <v>341.26045143638851</v>
      </c>
      <c r="AT93" s="4">
        <f>'4.1 Comptes 2021 natures'!AT93/'4.1 Comptes 2021 natures'!AT2</f>
        <v>713.19320866141732</v>
      </c>
      <c r="AU93" s="4">
        <f>'4.1 Comptes 2021 natures'!AU93/'4.1 Comptes 2021 natures'!AU2</f>
        <v>496.53164473684211</v>
      </c>
      <c r="AV93" s="4">
        <f>'4.1 Comptes 2021 natures'!AV93/'4.1 Comptes 2021 natures'!AV2</f>
        <v>499.49480514096183</v>
      </c>
      <c r="AW93" s="4">
        <f>'4.1 Comptes 2021 natures'!AW93/'4.1 Comptes 2021 natures'!AW2</f>
        <v>489.54129251700675</v>
      </c>
      <c r="AX93" s="4">
        <f>'4.1 Comptes 2021 natures'!AX93/'4.1 Comptes 2021 natures'!AX2</f>
        <v>516.74351351351356</v>
      </c>
      <c r="AY93" s="4">
        <f>'4.1 Comptes 2021 natures'!AY93/'4.1 Comptes 2021 natures'!AY2</f>
        <v>658.64708823529418</v>
      </c>
      <c r="AZ93" s="4">
        <f>'4.1 Comptes 2021 natures'!AZ93/'4.1 Comptes 2021 natures'!AZ2</f>
        <v>452.52657631113726</v>
      </c>
      <c r="BA93" s="4">
        <f>'4.1 Comptes 2021 natures'!BA93/'4.1 Comptes 2021 natures'!BA2</f>
        <v>719.63717948717954</v>
      </c>
      <c r="BB93" s="4">
        <f>'4.1 Comptes 2021 natures'!BB93/'4.1 Comptes 2021 natures'!BB2</f>
        <v>827.39081081081076</v>
      </c>
      <c r="BC93" s="4">
        <f>'4.1 Comptes 2021 natures'!BC93/'4.1 Comptes 2021 natures'!BC2</f>
        <v>506.94103260869559</v>
      </c>
      <c r="BD93" s="4">
        <f>'4.1 Comptes 2021 natures'!BD93/'4.1 Comptes 2021 natures'!BD2</f>
        <v>712.38637643055984</v>
      </c>
      <c r="BE93" s="4">
        <f>'4.1 Comptes 2021 natures'!BE93/'4.1 Comptes 2021 natures'!BE2</f>
        <v>452.21788908765649</v>
      </c>
      <c r="BF93" s="4">
        <f t="shared" si="58"/>
        <v>35503.084278720387</v>
      </c>
      <c r="BG93" s="4">
        <f t="shared" si="59"/>
        <v>13245.498707695184</v>
      </c>
      <c r="BH93" s="4">
        <f t="shared" si="60"/>
        <v>9829.1443956564781</v>
      </c>
      <c r="BI93" s="4">
        <f t="shared" si="61"/>
        <v>12428.441175368733</v>
      </c>
    </row>
    <row r="94" spans="2:61" x14ac:dyDescent="0.25">
      <c r="C94">
        <v>425</v>
      </c>
      <c r="D94" t="s">
        <v>153</v>
      </c>
      <c r="E94" s="4">
        <f>'4.1 Comptes 2021 natures'!E94/'4.1 Comptes 2021 natures'!E2</f>
        <v>11.121594508975713</v>
      </c>
      <c r="F94" s="4">
        <f>'4.1 Comptes 2021 natures'!F94/'4.1 Comptes 2021 natures'!F2</f>
        <v>10.748490566037736</v>
      </c>
      <c r="G94" s="4">
        <f>'4.1 Comptes 2021 natures'!G94/'4.1 Comptes 2021 natures'!G2</f>
        <v>0.21748400852878466</v>
      </c>
      <c r="H94" s="4">
        <f>'4.1 Comptes 2021 natures'!H94/'4.1 Comptes 2021 natures'!H2</f>
        <v>2.0501138952164011</v>
      </c>
      <c r="I94" s="4">
        <f>'4.1 Comptes 2021 natures'!I94/'4.1 Comptes 2021 natures'!I2</f>
        <v>10.86818669527897</v>
      </c>
      <c r="J94" s="4">
        <f>'4.1 Comptes 2021 natures'!J94/'4.1 Comptes 2021 natures'!J2</f>
        <v>9.2567653213751875</v>
      </c>
      <c r="K94" s="4">
        <f>'4.1 Comptes 2021 natures'!K94/'4.1 Comptes 2021 natures'!K2</f>
        <v>6.7564102564102564</v>
      </c>
      <c r="L94" s="4">
        <f>'4.1 Comptes 2021 natures'!L94/'4.1 Comptes 2021 natures'!L2</f>
        <v>20.306703261479285</v>
      </c>
      <c r="M94" s="4">
        <f>'4.1 Comptes 2021 natures'!M94/'4.1 Comptes 2021 natures'!M2</f>
        <v>21.754267844002943</v>
      </c>
      <c r="N94" s="4">
        <f>'4.1 Comptes 2021 natures'!N94/'4.1 Comptes 2021 natures'!N2</f>
        <v>0</v>
      </c>
      <c r="O94" s="4">
        <f>'4.1 Comptes 2021 natures'!O94/'4.1 Comptes 2021 natures'!O2</f>
        <v>9.8081063214433275</v>
      </c>
      <c r="P94" s="4">
        <f>'4.1 Comptes 2021 natures'!P94/'4.1 Comptes 2021 natures'!P2</f>
        <v>35.943011152416361</v>
      </c>
      <c r="Q94" s="4">
        <f>'4.1 Comptes 2021 natures'!Q94/'4.1 Comptes 2021 natures'!Q2</f>
        <v>6.2157657657657666</v>
      </c>
      <c r="R94" s="4">
        <f>'4.1 Comptes 2021 natures'!R94/'4.1 Comptes 2021 natures'!R2</f>
        <v>5.3521377672209027</v>
      </c>
      <c r="S94" s="4">
        <f>'4.1 Comptes 2021 natures'!S94/'4.1 Comptes 2021 natures'!S2</f>
        <v>2.0679190751445087</v>
      </c>
      <c r="T94" s="4">
        <f>'4.1 Comptes 2021 natures'!T94/'4.1 Comptes 2021 natures'!T2</f>
        <v>0.1119718309859155</v>
      </c>
      <c r="U94" s="4">
        <f>'4.1 Comptes 2021 natures'!U94/'4.1 Comptes 2021 natures'!U2</f>
        <v>7.8094795539033459</v>
      </c>
      <c r="V94" s="4">
        <f>'4.1 Comptes 2021 natures'!V94/'4.1 Comptes 2021 natures'!V2</f>
        <v>44.295613636363633</v>
      </c>
      <c r="W94" s="4">
        <f>'4.1 Comptes 2021 natures'!W94/'4.1 Comptes 2021 natures'!W2</f>
        <v>12.122437287085784</v>
      </c>
      <c r="X94" s="4">
        <f>'4.1 Comptes 2021 natures'!X94/'4.1 Comptes 2021 natures'!X2</f>
        <v>264.85045161290321</v>
      </c>
      <c r="Y94" s="4">
        <f>'4.1 Comptes 2021 natures'!Y94/'4.1 Comptes 2021 natures'!Y2</f>
        <v>20.949173228346456</v>
      </c>
      <c r="Z94" s="4">
        <f>'4.1 Comptes 2021 natures'!Z94/'4.1 Comptes 2021 natures'!Z2</f>
        <v>17.23894422310757</v>
      </c>
      <c r="AA94" s="4">
        <f>'4.1 Comptes 2021 natures'!AA94/'4.1 Comptes 2021 natures'!AA2</f>
        <v>0</v>
      </c>
      <c r="AB94" s="4">
        <f>'4.1 Comptes 2021 natures'!AB94/'4.1 Comptes 2021 natures'!AB2</f>
        <v>349.52094594594593</v>
      </c>
      <c r="AC94" s="4">
        <f>'4.1 Comptes 2021 natures'!AC94/'4.1 Comptes 2021 natures'!AC2</f>
        <v>291.42789575289572</v>
      </c>
      <c r="AD94" s="4">
        <f>'4.1 Comptes 2021 natures'!AD94/'4.1 Comptes 2021 natures'!AD2</f>
        <v>193.40288159771757</v>
      </c>
      <c r="AE94" s="4">
        <f>'4.1 Comptes 2021 natures'!AE94/'4.1 Comptes 2021 natures'!AE2</f>
        <v>119.00244680851064</v>
      </c>
      <c r="AF94" s="4">
        <f>'4.1 Comptes 2021 natures'!AF94/'4.1 Comptes 2021 natures'!AF2</f>
        <v>517.16257142857137</v>
      </c>
      <c r="AG94" s="4">
        <f>'4.1 Comptes 2021 natures'!AG94/'4.1 Comptes 2021 natures'!AG2</f>
        <v>143.39076479832372</v>
      </c>
      <c r="AH94" s="4">
        <f>'4.1 Comptes 2021 natures'!AH94/'4.1 Comptes 2021 natures'!AH2</f>
        <v>91.600251937984495</v>
      </c>
      <c r="AI94" s="4">
        <f>'4.1 Comptes 2021 natures'!AI94/'4.1 Comptes 2021 natures'!AI2</f>
        <v>144.94144144144144</v>
      </c>
      <c r="AJ94" s="4">
        <f>'4.1 Comptes 2021 natures'!AJ94/'4.1 Comptes 2021 natures'!AJ2</f>
        <v>10.697674418604651</v>
      </c>
      <c r="AK94" s="4">
        <f>'4.1 Comptes 2021 natures'!AK94/'4.1 Comptes 2021 natures'!AK2</f>
        <v>83.871972501322048</v>
      </c>
      <c r="AL94" s="4">
        <f>'4.1 Comptes 2021 natures'!AL94/'4.1 Comptes 2021 natures'!AL2</f>
        <v>253.55510657193605</v>
      </c>
      <c r="AM94" s="4">
        <f>'4.1 Comptes 2021 natures'!AM94/'4.1 Comptes 2021 natures'!AM2</f>
        <v>0.39151020408163267</v>
      </c>
      <c r="AN94" s="4">
        <f>'4.1 Comptes 2021 natures'!AN94/'4.1 Comptes 2021 natures'!AN2</f>
        <v>662.32128205128197</v>
      </c>
      <c r="AO94" s="4">
        <f>'4.1 Comptes 2021 natures'!AO94/'4.1 Comptes 2021 natures'!AO2</f>
        <v>2.7848101265822787</v>
      </c>
      <c r="AP94" s="4">
        <f>'4.1 Comptes 2021 natures'!AP94/'4.1 Comptes 2021 natures'!AP2</f>
        <v>327.81580996884736</v>
      </c>
      <c r="AQ94" s="4">
        <f>'4.1 Comptes 2021 natures'!AQ94/'4.1 Comptes 2021 natures'!AQ2</f>
        <v>10.341232227488153</v>
      </c>
      <c r="AR94" s="4">
        <f>'4.1 Comptes 2021 natures'!AR94/'4.1 Comptes 2021 natures'!AR2</f>
        <v>6.8168613707165111</v>
      </c>
      <c r="AS94" s="4">
        <f>'4.1 Comptes 2021 natures'!AS94/'4.1 Comptes 2021 natures'!AS2</f>
        <v>312.6226812585499</v>
      </c>
      <c r="AT94" s="4">
        <f>'4.1 Comptes 2021 natures'!AT94/'4.1 Comptes 2021 natures'!AT2</f>
        <v>8.4281988188976378</v>
      </c>
      <c r="AU94" s="4">
        <f>'4.1 Comptes 2021 natures'!AU94/'4.1 Comptes 2021 natures'!AU2</f>
        <v>236.70394736842104</v>
      </c>
      <c r="AV94" s="4">
        <f>'4.1 Comptes 2021 natures'!AV94/'4.1 Comptes 2021 natures'!AV2</f>
        <v>6.8534742951907139</v>
      </c>
      <c r="AW94" s="4">
        <f>'4.1 Comptes 2021 natures'!AW94/'4.1 Comptes 2021 natures'!AW2</f>
        <v>114.64904761904762</v>
      </c>
      <c r="AX94" s="4">
        <f>'4.1 Comptes 2021 natures'!AX94/'4.1 Comptes 2021 natures'!AX2</f>
        <v>355.85459459459463</v>
      </c>
      <c r="AY94" s="4">
        <f>'4.1 Comptes 2021 natures'!AY94/'4.1 Comptes 2021 natures'!AY2</f>
        <v>5.5205882352941176</v>
      </c>
      <c r="AZ94" s="4">
        <f>'4.1 Comptes 2021 natures'!AZ94/'4.1 Comptes 2021 natures'!AZ2</f>
        <v>5.6972009428403059</v>
      </c>
      <c r="BA94" s="4">
        <f>'4.1 Comptes 2021 natures'!BA94/'4.1 Comptes 2021 natures'!BA2</f>
        <v>7.4194871794871791</v>
      </c>
      <c r="BB94" s="4">
        <f>'4.1 Comptes 2021 natures'!BB94/'4.1 Comptes 2021 natures'!BB2</f>
        <v>6.7200372786579683</v>
      </c>
      <c r="BC94" s="4">
        <f>'4.1 Comptes 2021 natures'!BC94/'4.1 Comptes 2021 natures'!BC2</f>
        <v>212.97907608695652</v>
      </c>
      <c r="BD94" s="4">
        <f>'4.1 Comptes 2021 natures'!BD94/'4.1 Comptes 2021 natures'!BD2</f>
        <v>19.97708784410764</v>
      </c>
      <c r="BE94" s="4">
        <f>'4.1 Comptes 2021 natures'!BE94/'4.1 Comptes 2021 natures'!BE2</f>
        <v>188.60556350626118</v>
      </c>
      <c r="BF94" s="4">
        <f t="shared" si="58"/>
        <v>5210.9214719925494</v>
      </c>
      <c r="BG94" s="4">
        <f t="shared" si="59"/>
        <v>216.80645874763479</v>
      </c>
      <c r="BH94" s="4">
        <f t="shared" si="60"/>
        <v>2164.1854431943525</v>
      </c>
      <c r="BI94" s="4">
        <f t="shared" si="61"/>
        <v>2829.9295700505627</v>
      </c>
    </row>
    <row r="95" spans="2:61" x14ac:dyDescent="0.25">
      <c r="C95">
        <v>426</v>
      </c>
      <c r="D95" t="s">
        <v>154</v>
      </c>
      <c r="E95" s="4">
        <f>'4.1 Comptes 2021 natures'!E95/'4.1 Comptes 2021 natures'!E2</f>
        <v>33.021541710665261</v>
      </c>
      <c r="F95" s="4">
        <f>'4.1 Comptes 2021 natures'!F95/'4.1 Comptes 2021 natures'!F2</f>
        <v>4.8818867924528302</v>
      </c>
      <c r="G95" s="4">
        <f>'4.1 Comptes 2021 natures'!G95/'4.1 Comptes 2021 natures'!G2</f>
        <v>28.844456289978677</v>
      </c>
      <c r="H95" s="4">
        <f>'4.1 Comptes 2021 natures'!H95/'4.1 Comptes 2021 natures'!H2</f>
        <v>115.81446469248293</v>
      </c>
      <c r="I95" s="4">
        <f>'4.1 Comptes 2021 natures'!I95/'4.1 Comptes 2021 natures'!I2</f>
        <v>20.209348175965665</v>
      </c>
      <c r="J95" s="4">
        <f>'4.1 Comptes 2021 natures'!J95/'4.1 Comptes 2021 natures'!J2</f>
        <v>9.0773094170403574</v>
      </c>
      <c r="K95" s="4">
        <f>'4.1 Comptes 2021 natures'!K95/'4.1 Comptes 2021 natures'!K2</f>
        <v>93.188280542986433</v>
      </c>
      <c r="L95" s="4">
        <f>'4.1 Comptes 2021 natures'!L95/'4.1 Comptes 2021 natures'!L2</f>
        <v>41.018086385127013</v>
      </c>
      <c r="M95" s="4">
        <f>'4.1 Comptes 2021 natures'!M95/'4.1 Comptes 2021 natures'!M2</f>
        <v>61.327593818984546</v>
      </c>
      <c r="N95" s="4">
        <f>'4.1 Comptes 2021 natures'!N95/'4.1 Comptes 2021 natures'!N2</f>
        <v>0</v>
      </c>
      <c r="O95" s="4">
        <f>'4.1 Comptes 2021 natures'!O95/'4.1 Comptes 2021 natures'!O2</f>
        <v>33.583465087453519</v>
      </c>
      <c r="P95" s="4">
        <f>'4.1 Comptes 2021 natures'!P95/'4.1 Comptes 2021 natures'!P2</f>
        <v>54.330762081784385</v>
      </c>
      <c r="Q95" s="4">
        <f>'4.1 Comptes 2021 natures'!Q95/'4.1 Comptes 2021 natures'!Q2</f>
        <v>301.78648648648652</v>
      </c>
      <c r="R95" s="4">
        <f>'4.1 Comptes 2021 natures'!R95/'4.1 Comptes 2021 natures'!R2</f>
        <v>118.85427553444181</v>
      </c>
      <c r="S95" s="4">
        <f>'4.1 Comptes 2021 natures'!S95/'4.1 Comptes 2021 natures'!S2</f>
        <v>-15.363872832369941</v>
      </c>
      <c r="T95" s="4">
        <f>'4.1 Comptes 2021 natures'!T95/'4.1 Comptes 2021 natures'!T2</f>
        <v>122.82708450704224</v>
      </c>
      <c r="U95" s="4">
        <f>'4.1 Comptes 2021 natures'!U95/'4.1 Comptes 2021 natures'!U2</f>
        <v>97.048884758364323</v>
      </c>
      <c r="V95" s="4">
        <f>'4.1 Comptes 2021 natures'!V95/'4.1 Comptes 2021 natures'!V2</f>
        <v>120.10545454545455</v>
      </c>
      <c r="W95" s="4">
        <f>'4.1 Comptes 2021 natures'!W95/'4.1 Comptes 2021 natures'!W2</f>
        <v>22.059956642923506</v>
      </c>
      <c r="X95" s="4">
        <f>'4.1 Comptes 2021 natures'!X95/'4.1 Comptes 2021 natures'!X2</f>
        <v>31.032419354838709</v>
      </c>
      <c r="Y95" s="4">
        <f>'4.1 Comptes 2021 natures'!Y95/'4.1 Comptes 2021 natures'!Y2</f>
        <v>59.494330708661423</v>
      </c>
      <c r="Z95" s="4">
        <f>'4.1 Comptes 2021 natures'!Z95/'4.1 Comptes 2021 natures'!Z2</f>
        <v>11.047808764940239</v>
      </c>
      <c r="AA95" s="4">
        <f>'4.1 Comptes 2021 natures'!AA95/'4.1 Comptes 2021 natures'!AA2</f>
        <v>323.55052083333334</v>
      </c>
      <c r="AB95" s="4">
        <f>'4.1 Comptes 2021 natures'!AB95/'4.1 Comptes 2021 natures'!AB2</f>
        <v>64.072297297297297</v>
      </c>
      <c r="AC95" s="4">
        <f>'4.1 Comptes 2021 natures'!AC95/'4.1 Comptes 2021 natures'!AC2</f>
        <v>37.603474903474904</v>
      </c>
      <c r="AD95" s="4">
        <f>'4.1 Comptes 2021 natures'!AD95/'4.1 Comptes 2021 natures'!AD2</f>
        <v>59.327075606276743</v>
      </c>
      <c r="AE95" s="4">
        <f>'4.1 Comptes 2021 natures'!AE95/'4.1 Comptes 2021 natures'!AE2</f>
        <v>33.476684397163119</v>
      </c>
      <c r="AF95" s="4">
        <f>'4.1 Comptes 2021 natures'!AF95/'4.1 Comptes 2021 natures'!AF2</f>
        <v>60.573428571428572</v>
      </c>
      <c r="AG95" s="4">
        <f>'4.1 Comptes 2021 natures'!AG95/'4.1 Comptes 2021 natures'!AG2</f>
        <v>13.021293871136722</v>
      </c>
      <c r="AH95" s="4">
        <f>'4.1 Comptes 2021 natures'!AH95/'4.1 Comptes 2021 natures'!AH2</f>
        <v>31.506682170542639</v>
      </c>
      <c r="AI95" s="4">
        <f>'4.1 Comptes 2021 natures'!AI95/'4.1 Comptes 2021 natures'!AI2</f>
        <v>188.75270270270269</v>
      </c>
      <c r="AJ95" s="4">
        <f>'4.1 Comptes 2021 natures'!AJ95/'4.1 Comptes 2021 natures'!AJ2</f>
        <v>88.067441860465124</v>
      </c>
      <c r="AK95" s="4">
        <f>'4.1 Comptes 2021 natures'!AK95/'4.1 Comptes 2021 natures'!AK2</f>
        <v>17.234267583289267</v>
      </c>
      <c r="AL95" s="4">
        <f>'4.1 Comptes 2021 natures'!AL95/'4.1 Comptes 2021 natures'!AL2</f>
        <v>30.800888099467144</v>
      </c>
      <c r="AM95" s="4">
        <f>'4.1 Comptes 2021 natures'!AM95/'4.1 Comptes 2021 natures'!AM2</f>
        <v>10.822408163265306</v>
      </c>
      <c r="AN95" s="4">
        <f>'4.1 Comptes 2021 natures'!AN95/'4.1 Comptes 2021 natures'!AN2</f>
        <v>40.102991452991454</v>
      </c>
      <c r="AO95" s="4">
        <f>'4.1 Comptes 2021 natures'!AO95/'4.1 Comptes 2021 natures'!AO2</f>
        <v>40.508227848101264</v>
      </c>
      <c r="AP95" s="4">
        <f>'4.1 Comptes 2021 natures'!AP95/'4.1 Comptes 2021 natures'!AP2</f>
        <v>60.620794392523372</v>
      </c>
      <c r="AQ95" s="4">
        <f>'4.1 Comptes 2021 natures'!AQ95/'4.1 Comptes 2021 natures'!AQ2</f>
        <v>61.120774091627169</v>
      </c>
      <c r="AR95" s="4">
        <f>'4.1 Comptes 2021 natures'!AR95/'4.1 Comptes 2021 natures'!AR2</f>
        <v>54.041690031152648</v>
      </c>
      <c r="AS95" s="4">
        <f>'4.1 Comptes 2021 natures'!AS95/'4.1 Comptes 2021 natures'!AS2</f>
        <v>11.462667578659369</v>
      </c>
      <c r="AT95" s="4">
        <f>'4.1 Comptes 2021 natures'!AT95/'4.1 Comptes 2021 natures'!AT2</f>
        <v>11.87007874015748</v>
      </c>
      <c r="AU95" s="4">
        <f>'4.1 Comptes 2021 natures'!AU95/'4.1 Comptes 2021 natures'!AU2</f>
        <v>22.901315789473685</v>
      </c>
      <c r="AV95" s="4">
        <f>'4.1 Comptes 2021 natures'!AV95/'4.1 Comptes 2021 natures'!AV2</f>
        <v>9.6126658374792697</v>
      </c>
      <c r="AW95" s="4">
        <f>'4.1 Comptes 2021 natures'!AW95/'4.1 Comptes 2021 natures'!AW2</f>
        <v>0.97571428571428565</v>
      </c>
      <c r="AX95" s="4">
        <f>'4.1 Comptes 2021 natures'!AX95/'4.1 Comptes 2021 natures'!AX2</f>
        <v>18.009513513513514</v>
      </c>
      <c r="AY95" s="4">
        <f>'4.1 Comptes 2021 natures'!AY95/'4.1 Comptes 2021 natures'!AY2</f>
        <v>21.502205882352943</v>
      </c>
      <c r="AZ95" s="4">
        <f>'4.1 Comptes 2021 natures'!AZ95/'4.1 Comptes 2021 natures'!AZ2</f>
        <v>41.740188568061285</v>
      </c>
      <c r="BA95" s="4">
        <f>'4.1 Comptes 2021 natures'!BA95/'4.1 Comptes 2021 natures'!BA2</f>
        <v>46.644358974358973</v>
      </c>
      <c r="BB95" s="4">
        <f>'4.1 Comptes 2021 natures'!BB95/'4.1 Comptes 2021 natures'!BB2</f>
        <v>100.28765144454799</v>
      </c>
      <c r="BC95" s="4">
        <f>'4.1 Comptes 2021 natures'!BC95/'4.1 Comptes 2021 natures'!BC2</f>
        <v>1.8654891304347827</v>
      </c>
      <c r="BD95" s="4">
        <f>'4.1 Comptes 2021 natures'!BD95/'4.1 Comptes 2021 natures'!BD2</f>
        <v>23.174310238168882</v>
      </c>
      <c r="BE95" s="4">
        <f>'4.1 Comptes 2021 natures'!BE95/'4.1 Comptes 2021 natures'!BE2</f>
        <v>33.17137745974955</v>
      </c>
      <c r="BF95" s="4">
        <f t="shared" si="58"/>
        <v>2922.6112047846154</v>
      </c>
      <c r="BG95" s="4">
        <f t="shared" si="59"/>
        <v>1262.6154646372645</v>
      </c>
      <c r="BH95" s="4">
        <f t="shared" si="60"/>
        <v>1001.5261610422615</v>
      </c>
      <c r="BI95" s="4">
        <f t="shared" si="61"/>
        <v>658.46957910508968</v>
      </c>
    </row>
    <row r="96" spans="2:61" x14ac:dyDescent="0.25">
      <c r="C96">
        <v>427</v>
      </c>
      <c r="D96" t="s">
        <v>155</v>
      </c>
      <c r="E96" s="4">
        <f>'4.1 Comptes 2021 natures'!E96/'4.1 Comptes 2021 natures'!E2</f>
        <v>0.21119324181626187</v>
      </c>
      <c r="F96" s="4">
        <f>'4.1 Comptes 2021 natures'!F96/'4.1 Comptes 2021 natures'!F2</f>
        <v>0</v>
      </c>
      <c r="G96" s="4">
        <f>'4.1 Comptes 2021 natures'!G96/'4.1 Comptes 2021 natures'!G2</f>
        <v>0.21321961620469082</v>
      </c>
      <c r="H96" s="4">
        <f>'4.1 Comptes 2021 natures'!H96/'4.1 Comptes 2021 natures'!H2</f>
        <v>0</v>
      </c>
      <c r="I96" s="4">
        <f>'4.1 Comptes 2021 natures'!I96/'4.1 Comptes 2021 natures'!I2</f>
        <v>0.15021459227467812</v>
      </c>
      <c r="J96" s="4">
        <f>'4.1 Comptes 2021 natures'!J96/'4.1 Comptes 2021 natures'!J2</f>
        <v>0</v>
      </c>
      <c r="K96" s="4">
        <f>'4.1 Comptes 2021 natures'!K96/'4.1 Comptes 2021 natures'!K2</f>
        <v>0.61915535444947212</v>
      </c>
      <c r="L96" s="4">
        <f>'4.1 Comptes 2021 natures'!L96/'4.1 Comptes 2021 natures'!L2</f>
        <v>12.191629938296339</v>
      </c>
      <c r="M96" s="4">
        <f>'4.1 Comptes 2021 natures'!M96/'4.1 Comptes 2021 natures'!M2</f>
        <v>0</v>
      </c>
      <c r="N96" s="4">
        <f>'4.1 Comptes 2021 natures'!N96/'4.1 Comptes 2021 natures'!N2</f>
        <v>0</v>
      </c>
      <c r="O96" s="4">
        <f>'4.1 Comptes 2021 natures'!O96/'4.1 Comptes 2021 natures'!O2</f>
        <v>1.3615686544553092</v>
      </c>
      <c r="P96" s="4">
        <f>'4.1 Comptes 2021 natures'!P96/'4.1 Comptes 2021 natures'!P2</f>
        <v>0.37174721189591076</v>
      </c>
      <c r="Q96" s="4">
        <f>'4.1 Comptes 2021 natures'!Q96/'4.1 Comptes 2021 natures'!Q2</f>
        <v>0</v>
      </c>
      <c r="R96" s="4">
        <f>'4.1 Comptes 2021 natures'!R96/'4.1 Comptes 2021 natures'!R2</f>
        <v>0</v>
      </c>
      <c r="S96" s="4">
        <f>'4.1 Comptes 2021 natures'!S96/'4.1 Comptes 2021 natures'!S2</f>
        <v>0</v>
      </c>
      <c r="T96" s="4">
        <f>'4.1 Comptes 2021 natures'!T96/'4.1 Comptes 2021 natures'!T2</f>
        <v>0</v>
      </c>
      <c r="U96" s="4">
        <f>'4.1 Comptes 2021 natures'!U96/'4.1 Comptes 2021 natures'!U2</f>
        <v>0</v>
      </c>
      <c r="V96" s="4">
        <f>'4.1 Comptes 2021 natures'!V96/'4.1 Comptes 2021 natures'!V2</f>
        <v>1.3636363636363635</v>
      </c>
      <c r="W96" s="4">
        <f>'4.1 Comptes 2021 natures'!W96/'4.1 Comptes 2021 natures'!W2</f>
        <v>0</v>
      </c>
      <c r="X96" s="4">
        <f>'4.1 Comptes 2021 natures'!X96/'4.1 Comptes 2021 natures'!X2</f>
        <v>0</v>
      </c>
      <c r="Y96" s="4">
        <f>'4.1 Comptes 2021 natures'!Y96/'4.1 Comptes 2021 natures'!Y2</f>
        <v>0.80889763779527557</v>
      </c>
      <c r="Z96" s="4">
        <f>'4.1 Comptes 2021 natures'!Z96/'4.1 Comptes 2021 natures'!Z2</f>
        <v>0</v>
      </c>
      <c r="AA96" s="4">
        <f>'4.1 Comptes 2021 natures'!AA96/'4.1 Comptes 2021 natures'!AA2</f>
        <v>0</v>
      </c>
      <c r="AB96" s="4">
        <f>'4.1 Comptes 2021 natures'!AB96/'4.1 Comptes 2021 natures'!AB2</f>
        <v>0.40540540540540543</v>
      </c>
      <c r="AC96" s="4">
        <f>'4.1 Comptes 2021 natures'!AC96/'4.1 Comptes 2021 natures'!AC2</f>
        <v>0</v>
      </c>
      <c r="AD96" s="4">
        <f>'4.1 Comptes 2021 natures'!AD96/'4.1 Comptes 2021 natures'!AD2</f>
        <v>0</v>
      </c>
      <c r="AE96" s="4">
        <f>'4.1 Comptes 2021 natures'!AE96/'4.1 Comptes 2021 natures'!AE2</f>
        <v>0</v>
      </c>
      <c r="AF96" s="4">
        <f>'4.1 Comptes 2021 natures'!AF96/'4.1 Comptes 2021 natures'!AF2</f>
        <v>0</v>
      </c>
      <c r="AG96" s="4">
        <f>'4.1 Comptes 2021 natures'!AG96/'4.1 Comptes 2021 natures'!AG2</f>
        <v>0</v>
      </c>
      <c r="AH96" s="4">
        <f>'4.1 Comptes 2021 natures'!AH96/'4.1 Comptes 2021 natures'!AH2</f>
        <v>3.2306201550387597</v>
      </c>
      <c r="AI96" s="4">
        <f>'4.1 Comptes 2021 natures'!AI96/'4.1 Comptes 2021 natures'!AI2</f>
        <v>0</v>
      </c>
      <c r="AJ96" s="4">
        <f>'4.1 Comptes 2021 natures'!AJ96/'4.1 Comptes 2021 natures'!AJ2</f>
        <v>0</v>
      </c>
      <c r="AK96" s="4">
        <f>'4.1 Comptes 2021 natures'!AK96/'4.1 Comptes 2021 natures'!AK2</f>
        <v>0</v>
      </c>
      <c r="AL96" s="4">
        <f>'4.1 Comptes 2021 natures'!AL96/'4.1 Comptes 2021 natures'!AL2</f>
        <v>0</v>
      </c>
      <c r="AM96" s="4">
        <f>'4.1 Comptes 2021 natures'!AM96/'4.1 Comptes 2021 natures'!AM2</f>
        <v>0</v>
      </c>
      <c r="AN96" s="4">
        <f>'4.1 Comptes 2021 natures'!AN96/'4.1 Comptes 2021 natures'!AN2</f>
        <v>0</v>
      </c>
      <c r="AO96" s="4">
        <f>'4.1 Comptes 2021 natures'!AO96/'4.1 Comptes 2021 natures'!AO2</f>
        <v>0</v>
      </c>
      <c r="AP96" s="4">
        <f>'4.1 Comptes 2021 natures'!AP96/'4.1 Comptes 2021 natures'!AP2</f>
        <v>0</v>
      </c>
      <c r="AQ96" s="4">
        <f>'4.1 Comptes 2021 natures'!AQ96/'4.1 Comptes 2021 natures'!AQ2</f>
        <v>0</v>
      </c>
      <c r="AR96" s="4">
        <f>'4.1 Comptes 2021 natures'!AR96/'4.1 Comptes 2021 natures'!AR2</f>
        <v>0.2764797507788162</v>
      </c>
      <c r="AS96" s="4">
        <f>'4.1 Comptes 2021 natures'!AS96/'4.1 Comptes 2021 natures'!AS2</f>
        <v>0</v>
      </c>
      <c r="AT96" s="4">
        <f>'4.1 Comptes 2021 natures'!AT96/'4.1 Comptes 2021 natures'!AT2</f>
        <v>0</v>
      </c>
      <c r="AU96" s="4">
        <f>'4.1 Comptes 2021 natures'!AU96/'4.1 Comptes 2021 natures'!AU2</f>
        <v>0</v>
      </c>
      <c r="AV96" s="4">
        <f>'4.1 Comptes 2021 natures'!AV96/'4.1 Comptes 2021 natures'!AV2</f>
        <v>2.9329187396351575</v>
      </c>
      <c r="AW96" s="4">
        <f>'4.1 Comptes 2021 natures'!AW96/'4.1 Comptes 2021 natures'!AW2</f>
        <v>0</v>
      </c>
      <c r="AX96" s="4">
        <f>'4.1 Comptes 2021 natures'!AX96/'4.1 Comptes 2021 natures'!AX2</f>
        <v>0</v>
      </c>
      <c r="AY96" s="4">
        <f>'4.1 Comptes 2021 natures'!AY96/'4.1 Comptes 2021 natures'!AY2</f>
        <v>0</v>
      </c>
      <c r="AZ96" s="4">
        <f>'4.1 Comptes 2021 natures'!AZ96/'4.1 Comptes 2021 natures'!AZ2</f>
        <v>0.35356511490866233</v>
      </c>
      <c r="BA96" s="4">
        <f>'4.1 Comptes 2021 natures'!BA96/'4.1 Comptes 2021 natures'!BA2</f>
        <v>0</v>
      </c>
      <c r="BB96" s="4">
        <f>'4.1 Comptes 2021 natures'!BB96/'4.1 Comptes 2021 natures'!BB2</f>
        <v>0.37278657968313139</v>
      </c>
      <c r="BC96" s="4">
        <f>'4.1 Comptes 2021 natures'!BC96/'4.1 Comptes 2021 natures'!BC2</f>
        <v>0</v>
      </c>
      <c r="BD96" s="4">
        <f>'4.1 Comptes 2021 natures'!BD96/'4.1 Comptes 2021 natures'!BD2</f>
        <v>17.917274976801732</v>
      </c>
      <c r="BE96" s="4">
        <f>'4.1 Comptes 2021 natures'!BE96/'4.1 Comptes 2021 natures'!BE2</f>
        <v>1.1753130590339893</v>
      </c>
      <c r="BF96" s="4">
        <f t="shared" si="58"/>
        <v>43.955626392109963</v>
      </c>
      <c r="BG96" s="4">
        <f t="shared" si="59"/>
        <v>16.482364973029028</v>
      </c>
      <c r="BH96" s="4">
        <f t="shared" si="60"/>
        <v>4.4449231982394402</v>
      </c>
      <c r="BI96" s="4">
        <f t="shared" si="61"/>
        <v>23.028338220841487</v>
      </c>
    </row>
    <row r="97" spans="2:61" x14ac:dyDescent="0.25">
      <c r="C97">
        <v>429</v>
      </c>
      <c r="D97" t="s">
        <v>156</v>
      </c>
      <c r="E97" s="4">
        <f>'4.1 Comptes 2021 natures'!E97/'4.1 Comptes 2021 natures'!E2</f>
        <v>0</v>
      </c>
      <c r="F97" s="4">
        <f>'4.1 Comptes 2021 natures'!F97/'4.1 Comptes 2021 natures'!F2</f>
        <v>0</v>
      </c>
      <c r="G97" s="4">
        <f>'4.1 Comptes 2021 natures'!G97/'4.1 Comptes 2021 natures'!G2</f>
        <v>0</v>
      </c>
      <c r="H97" s="4">
        <f>'4.1 Comptes 2021 natures'!H97/'4.1 Comptes 2021 natures'!H2</f>
        <v>0</v>
      </c>
      <c r="I97" s="4">
        <f>'4.1 Comptes 2021 natures'!I97/'4.1 Comptes 2021 natures'!I2</f>
        <v>0</v>
      </c>
      <c r="J97" s="4">
        <f>'4.1 Comptes 2021 natures'!J97/'4.1 Comptes 2021 natures'!J2</f>
        <v>0</v>
      </c>
      <c r="K97" s="4">
        <f>'4.1 Comptes 2021 natures'!K97/'4.1 Comptes 2021 natures'!K2</f>
        <v>0</v>
      </c>
      <c r="L97" s="4">
        <f>'4.1 Comptes 2021 natures'!L97/'4.1 Comptes 2021 natures'!L2</f>
        <v>0</v>
      </c>
      <c r="M97" s="4">
        <f>'4.1 Comptes 2021 natures'!M97/'4.1 Comptes 2021 natures'!M2</f>
        <v>0</v>
      </c>
      <c r="N97" s="4">
        <f>'4.1 Comptes 2021 natures'!N97/'4.1 Comptes 2021 natures'!N2</f>
        <v>0</v>
      </c>
      <c r="O97" s="4">
        <f>'4.1 Comptes 2021 natures'!O97/'4.1 Comptes 2021 natures'!O2</f>
        <v>6.4818895468943663E-2</v>
      </c>
      <c r="P97" s="4">
        <f>'4.1 Comptes 2021 natures'!P97/'4.1 Comptes 2021 natures'!P2</f>
        <v>0</v>
      </c>
      <c r="Q97" s="4">
        <f>'4.1 Comptes 2021 natures'!Q97/'4.1 Comptes 2021 natures'!Q2</f>
        <v>0</v>
      </c>
      <c r="R97" s="4">
        <f>'4.1 Comptes 2021 natures'!R97/'4.1 Comptes 2021 natures'!R2</f>
        <v>0</v>
      </c>
      <c r="S97" s="4">
        <f>'4.1 Comptes 2021 natures'!S97/'4.1 Comptes 2021 natures'!S2</f>
        <v>0</v>
      </c>
      <c r="T97" s="4">
        <f>'4.1 Comptes 2021 natures'!T97/'4.1 Comptes 2021 natures'!T2</f>
        <v>0.28169014084507044</v>
      </c>
      <c r="U97" s="4">
        <f>'4.1 Comptes 2021 natures'!U97/'4.1 Comptes 2021 natures'!U2</f>
        <v>1.9312267657992566</v>
      </c>
      <c r="V97" s="4">
        <f>'4.1 Comptes 2021 natures'!V97/'4.1 Comptes 2021 natures'!V2</f>
        <v>0</v>
      </c>
      <c r="W97" s="4">
        <f>'4.1 Comptes 2021 natures'!W97/'4.1 Comptes 2021 natures'!W2</f>
        <v>0</v>
      </c>
      <c r="X97" s="4">
        <f>'4.1 Comptes 2021 natures'!X97/'4.1 Comptes 2021 natures'!X2</f>
        <v>3.870967741935484</v>
      </c>
      <c r="Y97" s="4">
        <f>'4.1 Comptes 2021 natures'!Y97/'4.1 Comptes 2021 natures'!Y2</f>
        <v>0</v>
      </c>
      <c r="Z97" s="4">
        <f>'4.1 Comptes 2021 natures'!Z97/'4.1 Comptes 2021 natures'!Z2</f>
        <v>58.058930942895088</v>
      </c>
      <c r="AA97" s="4">
        <f>'4.1 Comptes 2021 natures'!AA97/'4.1 Comptes 2021 natures'!AA2</f>
        <v>56.793749999999996</v>
      </c>
      <c r="AB97" s="4">
        <f>'4.1 Comptes 2021 natures'!AB97/'4.1 Comptes 2021 natures'!AB2</f>
        <v>3.3966216216216214</v>
      </c>
      <c r="AC97" s="4">
        <f>'4.1 Comptes 2021 natures'!AC97/'4.1 Comptes 2021 natures'!AC2</f>
        <v>0</v>
      </c>
      <c r="AD97" s="4">
        <f>'4.1 Comptes 2021 natures'!AD97/'4.1 Comptes 2021 natures'!AD2</f>
        <v>0</v>
      </c>
      <c r="AE97" s="4">
        <f>'4.1 Comptes 2021 natures'!AE97/'4.1 Comptes 2021 natures'!AE2</f>
        <v>0</v>
      </c>
      <c r="AF97" s="4">
        <f>'4.1 Comptes 2021 natures'!AF97/'4.1 Comptes 2021 natures'!AF2</f>
        <v>0</v>
      </c>
      <c r="AG97" s="4">
        <f>'4.1 Comptes 2021 natures'!AG97/'4.1 Comptes 2021 natures'!AG2</f>
        <v>0</v>
      </c>
      <c r="AH97" s="4">
        <f>'4.1 Comptes 2021 natures'!AH97/'4.1 Comptes 2021 natures'!AH2</f>
        <v>0</v>
      </c>
      <c r="AI97" s="4">
        <f>'4.1 Comptes 2021 natures'!AI97/'4.1 Comptes 2021 natures'!AI2</f>
        <v>0</v>
      </c>
      <c r="AJ97" s="4">
        <f>'4.1 Comptes 2021 natures'!AJ97/'4.1 Comptes 2021 natures'!AJ2</f>
        <v>54.503488372093024</v>
      </c>
      <c r="AK97" s="4">
        <f>'4.1 Comptes 2021 natures'!AK97/'4.1 Comptes 2021 natures'!AK2</f>
        <v>0</v>
      </c>
      <c r="AL97" s="4">
        <f>'4.1 Comptes 2021 natures'!AL97/'4.1 Comptes 2021 natures'!AL2</f>
        <v>0</v>
      </c>
      <c r="AM97" s="4">
        <f>'4.1 Comptes 2021 natures'!AM97/'4.1 Comptes 2021 natures'!AM2</f>
        <v>0</v>
      </c>
      <c r="AN97" s="4">
        <f>'4.1 Comptes 2021 natures'!AN97/'4.1 Comptes 2021 natures'!AN2</f>
        <v>0</v>
      </c>
      <c r="AO97" s="4">
        <f>'4.1 Comptes 2021 natures'!AO97/'4.1 Comptes 2021 natures'!AO2</f>
        <v>5.9027848101265823</v>
      </c>
      <c r="AP97" s="4">
        <f>'4.1 Comptes 2021 natures'!AP97/'4.1 Comptes 2021 natures'!AP2</f>
        <v>0</v>
      </c>
      <c r="AQ97" s="4">
        <f>'4.1 Comptes 2021 natures'!AQ97/'4.1 Comptes 2021 natures'!AQ2</f>
        <v>0</v>
      </c>
      <c r="AR97" s="4">
        <f>'4.1 Comptes 2021 natures'!AR97/'4.1 Comptes 2021 natures'!AR2</f>
        <v>0</v>
      </c>
      <c r="AS97" s="4">
        <f>'4.1 Comptes 2021 natures'!AS97/'4.1 Comptes 2021 natures'!AS2</f>
        <v>0</v>
      </c>
      <c r="AT97" s="4">
        <f>'4.1 Comptes 2021 natures'!AT97/'4.1 Comptes 2021 natures'!AT2</f>
        <v>0</v>
      </c>
      <c r="AU97" s="4">
        <f>'4.1 Comptes 2021 natures'!AU97/'4.1 Comptes 2021 natures'!AU2</f>
        <v>0</v>
      </c>
      <c r="AV97" s="4">
        <f>'4.1 Comptes 2021 natures'!AV97/'4.1 Comptes 2021 natures'!AV2</f>
        <v>0.5280265339966832</v>
      </c>
      <c r="AW97" s="4">
        <f>'4.1 Comptes 2021 natures'!AW97/'4.1 Comptes 2021 natures'!AW2</f>
        <v>0</v>
      </c>
      <c r="AX97" s="4">
        <f>'4.1 Comptes 2021 natures'!AX97/'4.1 Comptes 2021 natures'!AX2</f>
        <v>0</v>
      </c>
      <c r="AY97" s="4">
        <f>'4.1 Comptes 2021 natures'!AY97/'4.1 Comptes 2021 natures'!AY2</f>
        <v>0</v>
      </c>
      <c r="AZ97" s="4">
        <f>'4.1 Comptes 2021 natures'!AZ97/'4.1 Comptes 2021 natures'!AZ2</f>
        <v>0</v>
      </c>
      <c r="BA97" s="4">
        <f>'4.1 Comptes 2021 natures'!BA97/'4.1 Comptes 2021 natures'!BA2</f>
        <v>0</v>
      </c>
      <c r="BB97" s="4">
        <f>'4.1 Comptes 2021 natures'!BB97/'4.1 Comptes 2021 natures'!BB2</f>
        <v>0</v>
      </c>
      <c r="BC97" s="4">
        <f>'4.1 Comptes 2021 natures'!BC97/'4.1 Comptes 2021 natures'!BC2</f>
        <v>0</v>
      </c>
      <c r="BD97" s="4">
        <f>'4.1 Comptes 2021 natures'!BD97/'4.1 Comptes 2021 natures'!BD2</f>
        <v>0</v>
      </c>
      <c r="BE97" s="4">
        <f>'4.1 Comptes 2021 natures'!BE97/'4.1 Comptes 2021 natures'!BE2</f>
        <v>0</v>
      </c>
      <c r="BF97" s="4">
        <f t="shared" si="58"/>
        <v>185.33230582478174</v>
      </c>
      <c r="BG97" s="4">
        <f t="shared" si="59"/>
        <v>2.2777358021132708</v>
      </c>
      <c r="BH97" s="4">
        <f t="shared" si="60"/>
        <v>176.62375867854522</v>
      </c>
      <c r="BI97" s="4">
        <f t="shared" si="61"/>
        <v>6.4308113441232653</v>
      </c>
    </row>
    <row r="98" spans="2:61" x14ac:dyDescent="0.25">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row>
    <row r="99" spans="2:61" x14ac:dyDescent="0.25">
      <c r="B99" s="78">
        <v>43</v>
      </c>
      <c r="C99" s="78"/>
      <c r="D99" s="78" t="s">
        <v>157</v>
      </c>
      <c r="E99" s="73">
        <f>E100+E101+E102+E103</f>
        <v>0</v>
      </c>
      <c r="F99" s="73">
        <f t="shared" ref="F99:BI99" si="62">F100+F101+F102+F103</f>
        <v>8.9716981132075464</v>
      </c>
      <c r="G99" s="73">
        <f t="shared" si="62"/>
        <v>0.53518123667377404</v>
      </c>
      <c r="H99" s="73">
        <f t="shared" si="62"/>
        <v>0</v>
      </c>
      <c r="I99" s="73">
        <f t="shared" si="62"/>
        <v>0</v>
      </c>
      <c r="J99" s="73">
        <f t="shared" si="62"/>
        <v>0</v>
      </c>
      <c r="K99" s="73">
        <f t="shared" si="62"/>
        <v>0</v>
      </c>
      <c r="L99" s="73">
        <f t="shared" si="62"/>
        <v>165.80254427438095</v>
      </c>
      <c r="M99" s="73">
        <f t="shared" si="62"/>
        <v>3.2790286975717438</v>
      </c>
      <c r="N99" s="73">
        <f t="shared" si="62"/>
        <v>134.71282051282051</v>
      </c>
      <c r="O99" s="73">
        <f t="shared" si="62"/>
        <v>7.7968737088555296</v>
      </c>
      <c r="P99" s="73">
        <f t="shared" si="62"/>
        <v>0</v>
      </c>
      <c r="Q99" s="73">
        <f t="shared" si="62"/>
        <v>0</v>
      </c>
      <c r="R99" s="73">
        <f t="shared" si="62"/>
        <v>0</v>
      </c>
      <c r="S99" s="73">
        <f t="shared" si="62"/>
        <v>0</v>
      </c>
      <c r="T99" s="73">
        <f t="shared" si="62"/>
        <v>5.070422535211268</v>
      </c>
      <c r="U99" s="73">
        <f t="shared" si="62"/>
        <v>0.37174721189591076</v>
      </c>
      <c r="V99" s="73">
        <f t="shared" si="62"/>
        <v>7.476136363636364</v>
      </c>
      <c r="W99" s="73">
        <f t="shared" si="62"/>
        <v>0.72127593682254565</v>
      </c>
      <c r="X99" s="73">
        <f t="shared" si="62"/>
        <v>0</v>
      </c>
      <c r="Y99" s="73">
        <f t="shared" si="62"/>
        <v>0.19685039370078741</v>
      </c>
      <c r="Z99" s="73">
        <f t="shared" si="62"/>
        <v>0</v>
      </c>
      <c r="AA99" s="73">
        <f t="shared" si="62"/>
        <v>0</v>
      </c>
      <c r="AB99" s="73">
        <f t="shared" si="62"/>
        <v>83.610878378378374</v>
      </c>
      <c r="AC99" s="73">
        <f t="shared" si="62"/>
        <v>0</v>
      </c>
      <c r="AD99" s="73">
        <f t="shared" si="62"/>
        <v>6.9808559201141227</v>
      </c>
      <c r="AE99" s="73">
        <f t="shared" si="62"/>
        <v>2.8967198581560285</v>
      </c>
      <c r="AF99" s="73">
        <f t="shared" si="62"/>
        <v>0</v>
      </c>
      <c r="AG99" s="73">
        <f t="shared" si="62"/>
        <v>0.13095861707700368</v>
      </c>
      <c r="AH99" s="73">
        <f t="shared" si="62"/>
        <v>14.17374031007752</v>
      </c>
      <c r="AI99" s="73">
        <f t="shared" si="62"/>
        <v>0.13648648648648648</v>
      </c>
      <c r="AJ99" s="73">
        <f t="shared" si="62"/>
        <v>20.330232558139535</v>
      </c>
      <c r="AK99" s="73">
        <f t="shared" si="62"/>
        <v>0</v>
      </c>
      <c r="AL99" s="73">
        <f t="shared" si="62"/>
        <v>29.388232682060391</v>
      </c>
      <c r="AM99" s="73">
        <f t="shared" si="62"/>
        <v>0</v>
      </c>
      <c r="AN99" s="73">
        <f t="shared" si="62"/>
        <v>0</v>
      </c>
      <c r="AO99" s="73">
        <f t="shared" si="62"/>
        <v>0</v>
      </c>
      <c r="AP99" s="73">
        <f t="shared" si="62"/>
        <v>0</v>
      </c>
      <c r="AQ99" s="73">
        <f t="shared" si="62"/>
        <v>0</v>
      </c>
      <c r="AR99" s="73">
        <f t="shared" si="62"/>
        <v>0.5070093457943925</v>
      </c>
      <c r="AS99" s="73">
        <f t="shared" si="62"/>
        <v>1.6880984952120384E-2</v>
      </c>
      <c r="AT99" s="73">
        <f t="shared" si="62"/>
        <v>0</v>
      </c>
      <c r="AU99" s="73">
        <f t="shared" si="62"/>
        <v>0</v>
      </c>
      <c r="AV99" s="73">
        <f t="shared" si="62"/>
        <v>0</v>
      </c>
      <c r="AW99" s="73">
        <f t="shared" si="62"/>
        <v>2.3183673469387753</v>
      </c>
      <c r="AX99" s="73">
        <f t="shared" si="62"/>
        <v>0</v>
      </c>
      <c r="AY99" s="73">
        <f t="shared" si="62"/>
        <v>0</v>
      </c>
      <c r="AZ99" s="73">
        <f t="shared" si="62"/>
        <v>0</v>
      </c>
      <c r="BA99" s="73">
        <f t="shared" si="62"/>
        <v>0</v>
      </c>
      <c r="BB99" s="73">
        <f t="shared" si="62"/>
        <v>0</v>
      </c>
      <c r="BC99" s="73">
        <f t="shared" si="62"/>
        <v>0</v>
      </c>
      <c r="BD99" s="73">
        <f t="shared" si="62"/>
        <v>0</v>
      </c>
      <c r="BE99" s="73">
        <f t="shared" si="62"/>
        <v>0</v>
      </c>
      <c r="BF99" s="73">
        <f t="shared" si="62"/>
        <v>495.42494147295156</v>
      </c>
      <c r="BG99" s="73">
        <f t="shared" si="62"/>
        <v>334.73772859107612</v>
      </c>
      <c r="BH99" s="73">
        <f t="shared" si="62"/>
        <v>128.45672252212987</v>
      </c>
      <c r="BI99" s="73">
        <f t="shared" si="62"/>
        <v>32.23049035974568</v>
      </c>
    </row>
    <row r="100" spans="2:61" x14ac:dyDescent="0.25">
      <c r="C100">
        <v>430</v>
      </c>
      <c r="D100" t="s">
        <v>158</v>
      </c>
      <c r="E100" s="4">
        <f>'4.1 Comptes 2021 natures'!E100/'4.1 Comptes 2021 natures'!E2</f>
        <v>0</v>
      </c>
      <c r="F100" s="4">
        <f>'4.1 Comptes 2021 natures'!F100/'4.1 Comptes 2021 natures'!F2</f>
        <v>8.9716981132075464</v>
      </c>
      <c r="G100" s="4">
        <f>'4.1 Comptes 2021 natures'!G100/'4.1 Comptes 2021 natures'!G2</f>
        <v>0</v>
      </c>
      <c r="H100" s="4">
        <f>'4.1 Comptes 2021 natures'!H100/'4.1 Comptes 2021 natures'!H2</f>
        <v>0</v>
      </c>
      <c r="I100" s="4">
        <f>'4.1 Comptes 2021 natures'!I100/'4.1 Comptes 2021 natures'!I2</f>
        <v>0</v>
      </c>
      <c r="J100" s="4">
        <f>'4.1 Comptes 2021 natures'!J100/'4.1 Comptes 2021 natures'!J2</f>
        <v>0</v>
      </c>
      <c r="K100" s="4">
        <f>'4.1 Comptes 2021 natures'!K100/'4.1 Comptes 2021 natures'!K2</f>
        <v>0</v>
      </c>
      <c r="L100" s="4">
        <f>'4.1 Comptes 2021 natures'!L100/'4.1 Comptes 2021 natures'!L2</f>
        <v>165.80254427438095</v>
      </c>
      <c r="M100" s="4">
        <f>'4.1 Comptes 2021 natures'!M100/'4.1 Comptes 2021 natures'!M2</f>
        <v>3.2790286975717438</v>
      </c>
      <c r="N100" s="4">
        <f>'4.1 Comptes 2021 natures'!N100/'4.1 Comptes 2021 natures'!N2</f>
        <v>0</v>
      </c>
      <c r="O100" s="4">
        <f>'4.1 Comptes 2021 natures'!O100/'4.1 Comptes 2021 natures'!O2</f>
        <v>0</v>
      </c>
      <c r="P100" s="4">
        <f>'4.1 Comptes 2021 natures'!P100/'4.1 Comptes 2021 natures'!P2</f>
        <v>0</v>
      </c>
      <c r="Q100" s="4">
        <f>'4.1 Comptes 2021 natures'!Q100/'4.1 Comptes 2021 natures'!Q2</f>
        <v>0</v>
      </c>
      <c r="R100" s="4">
        <f>'4.1 Comptes 2021 natures'!R100/'4.1 Comptes 2021 natures'!R2</f>
        <v>0</v>
      </c>
      <c r="S100" s="4">
        <f>'4.1 Comptes 2021 natures'!S100/'4.1 Comptes 2021 natures'!S2</f>
        <v>0</v>
      </c>
      <c r="T100" s="4">
        <f>'4.1 Comptes 2021 natures'!T100/'4.1 Comptes 2021 natures'!T2</f>
        <v>0</v>
      </c>
      <c r="U100" s="4">
        <f>'4.1 Comptes 2021 natures'!U100/'4.1 Comptes 2021 natures'!U2</f>
        <v>0</v>
      </c>
      <c r="V100" s="4">
        <f>'4.1 Comptes 2021 natures'!V100/'4.1 Comptes 2021 natures'!V2</f>
        <v>2.1590909090909092</v>
      </c>
      <c r="W100" s="4">
        <f>'4.1 Comptes 2021 natures'!W100/'4.1 Comptes 2021 natures'!W2</f>
        <v>0.72127593682254565</v>
      </c>
      <c r="X100" s="4">
        <f>'4.1 Comptes 2021 natures'!X100/'4.1 Comptes 2021 natures'!X2</f>
        <v>0</v>
      </c>
      <c r="Y100" s="4">
        <f>'4.1 Comptes 2021 natures'!Y100/'4.1 Comptes 2021 natures'!Y2</f>
        <v>0.19685039370078741</v>
      </c>
      <c r="Z100" s="4">
        <f>'4.1 Comptes 2021 natures'!Z100/'4.1 Comptes 2021 natures'!Z2</f>
        <v>0</v>
      </c>
      <c r="AA100" s="4">
        <f>'4.1 Comptes 2021 natures'!AA100/'4.1 Comptes 2021 natures'!AA2</f>
        <v>0</v>
      </c>
      <c r="AB100" s="4">
        <f>'4.1 Comptes 2021 natures'!AB100/'4.1 Comptes 2021 natures'!AB2</f>
        <v>0.66797297297297298</v>
      </c>
      <c r="AC100" s="4">
        <f>'4.1 Comptes 2021 natures'!AC100/'4.1 Comptes 2021 natures'!AC2</f>
        <v>0</v>
      </c>
      <c r="AD100" s="4">
        <f>'4.1 Comptes 2021 natures'!AD100/'4.1 Comptes 2021 natures'!AD2</f>
        <v>6.9808559201141227</v>
      </c>
      <c r="AE100" s="4">
        <f>'4.1 Comptes 2021 natures'!AE100/'4.1 Comptes 2021 natures'!AE2</f>
        <v>0</v>
      </c>
      <c r="AF100" s="4">
        <f>'4.1 Comptes 2021 natures'!AF100/'4.1 Comptes 2021 natures'!AF2</f>
        <v>0</v>
      </c>
      <c r="AG100" s="4">
        <f>'4.1 Comptes 2021 natures'!AG100/'4.1 Comptes 2021 natures'!AG2</f>
        <v>0</v>
      </c>
      <c r="AH100" s="4">
        <f>'4.1 Comptes 2021 natures'!AH100/'4.1 Comptes 2021 natures'!AH2</f>
        <v>14.17374031007752</v>
      </c>
      <c r="AI100" s="4">
        <f>'4.1 Comptes 2021 natures'!AI100/'4.1 Comptes 2021 natures'!AI2</f>
        <v>0.13648648648648648</v>
      </c>
      <c r="AJ100" s="4">
        <f>'4.1 Comptes 2021 natures'!AJ100/'4.1 Comptes 2021 natures'!AJ2</f>
        <v>0</v>
      </c>
      <c r="AK100" s="4">
        <f>'4.1 Comptes 2021 natures'!AK100/'4.1 Comptes 2021 natures'!AK2</f>
        <v>0</v>
      </c>
      <c r="AL100" s="4">
        <f>'4.1 Comptes 2021 natures'!AL100/'4.1 Comptes 2021 natures'!AL2</f>
        <v>29.388232682060391</v>
      </c>
      <c r="AM100" s="4">
        <f>'4.1 Comptes 2021 natures'!AM100/'4.1 Comptes 2021 natures'!AM2</f>
        <v>0</v>
      </c>
      <c r="AN100" s="4">
        <f>'4.1 Comptes 2021 natures'!AN100/'4.1 Comptes 2021 natures'!AN2</f>
        <v>0</v>
      </c>
      <c r="AO100" s="4">
        <f>'4.1 Comptes 2021 natures'!AO100/'4.1 Comptes 2021 natures'!AO2</f>
        <v>0</v>
      </c>
      <c r="AP100" s="4">
        <f>'4.1 Comptes 2021 natures'!AP100/'4.1 Comptes 2021 natures'!AP2</f>
        <v>0</v>
      </c>
      <c r="AQ100" s="4">
        <f>'4.1 Comptes 2021 natures'!AQ100/'4.1 Comptes 2021 natures'!AQ2</f>
        <v>0</v>
      </c>
      <c r="AR100" s="4">
        <f>'4.1 Comptes 2021 natures'!AR100/'4.1 Comptes 2021 natures'!AR2</f>
        <v>0.5070093457943925</v>
      </c>
      <c r="AS100" s="4">
        <f>'4.1 Comptes 2021 natures'!AS100/'4.1 Comptes 2021 natures'!AS2</f>
        <v>0</v>
      </c>
      <c r="AT100" s="4">
        <f>'4.1 Comptes 2021 natures'!AT100/'4.1 Comptes 2021 natures'!AT2</f>
        <v>0</v>
      </c>
      <c r="AU100" s="4">
        <f>'4.1 Comptes 2021 natures'!AU100/'4.1 Comptes 2021 natures'!AU2</f>
        <v>0</v>
      </c>
      <c r="AV100" s="4">
        <f>'4.1 Comptes 2021 natures'!AV100/'4.1 Comptes 2021 natures'!AV2</f>
        <v>0</v>
      </c>
      <c r="AW100" s="4">
        <f>'4.1 Comptes 2021 natures'!AW100/'4.1 Comptes 2021 natures'!AW2</f>
        <v>0</v>
      </c>
      <c r="AX100" s="4">
        <f>'4.1 Comptes 2021 natures'!AX100/'4.1 Comptes 2021 natures'!AX2</f>
        <v>0</v>
      </c>
      <c r="AY100" s="4">
        <f>'4.1 Comptes 2021 natures'!AY100/'4.1 Comptes 2021 natures'!AY2</f>
        <v>0</v>
      </c>
      <c r="AZ100" s="4">
        <f>'4.1 Comptes 2021 natures'!AZ100/'4.1 Comptes 2021 natures'!AZ2</f>
        <v>0</v>
      </c>
      <c r="BA100" s="4">
        <f>'4.1 Comptes 2021 natures'!BA100/'4.1 Comptes 2021 natures'!BA2</f>
        <v>0</v>
      </c>
      <c r="BB100" s="4">
        <f>'4.1 Comptes 2021 natures'!BB100/'4.1 Comptes 2021 natures'!BB2</f>
        <v>0</v>
      </c>
      <c r="BC100" s="4">
        <f>'4.1 Comptes 2021 natures'!BC100/'4.1 Comptes 2021 natures'!BC2</f>
        <v>0</v>
      </c>
      <c r="BD100" s="4">
        <f>'4.1 Comptes 2021 natures'!BD100/'4.1 Comptes 2021 natures'!BD2</f>
        <v>0</v>
      </c>
      <c r="BE100" s="4">
        <f>'4.1 Comptes 2021 natures'!BE100/'4.1 Comptes 2021 natures'!BE2</f>
        <v>0</v>
      </c>
      <c r="BF100" s="4">
        <f t="shared" ref="BF100:BF103" si="63">SUM(E100:BE100)</f>
        <v>232.98478604228032</v>
      </c>
      <c r="BG100" s="4">
        <f t="shared" ref="BG100:BG103" si="64">SUM(E100:W100)</f>
        <v>180.93363793107366</v>
      </c>
      <c r="BH100" s="4">
        <f t="shared" ref="BH100:BH103" si="65">SUM(X100:AJ100)</f>
        <v>22.155906083351891</v>
      </c>
      <c r="BI100" s="4">
        <f t="shared" ref="BI100:BI103" si="66">SUM(AK100:BE100)</f>
        <v>29.895242027854785</v>
      </c>
    </row>
    <row r="101" spans="2:61" x14ac:dyDescent="0.25">
      <c r="C101">
        <v>431</v>
      </c>
      <c r="D101" t="s">
        <v>159</v>
      </c>
      <c r="E101" s="4">
        <f>'4.1 Comptes 2021 natures'!E101/'4.1 Comptes 2021 natures'!E2</f>
        <v>0</v>
      </c>
      <c r="F101" s="4">
        <f>'4.1 Comptes 2021 natures'!F101/'4.1 Comptes 2021 natures'!F2</f>
        <v>0</v>
      </c>
      <c r="G101" s="4">
        <f>'4.1 Comptes 2021 natures'!G101/'4.1 Comptes 2021 natures'!G2</f>
        <v>0</v>
      </c>
      <c r="H101" s="4">
        <f>'4.1 Comptes 2021 natures'!H101/'4.1 Comptes 2021 natures'!H2</f>
        <v>0</v>
      </c>
      <c r="I101" s="4">
        <f>'4.1 Comptes 2021 natures'!I101/'4.1 Comptes 2021 natures'!I2</f>
        <v>0</v>
      </c>
      <c r="J101" s="4">
        <f>'4.1 Comptes 2021 natures'!J101/'4.1 Comptes 2021 natures'!J2</f>
        <v>0</v>
      </c>
      <c r="K101" s="4">
        <f>'4.1 Comptes 2021 natures'!K101/'4.1 Comptes 2021 natures'!K2</f>
        <v>0</v>
      </c>
      <c r="L101" s="4">
        <f>'4.1 Comptes 2021 natures'!L101/'4.1 Comptes 2021 natures'!L2</f>
        <v>0</v>
      </c>
      <c r="M101" s="4">
        <f>'4.1 Comptes 2021 natures'!M101/'4.1 Comptes 2021 natures'!M2</f>
        <v>0</v>
      </c>
      <c r="N101" s="4">
        <f>'4.1 Comptes 2021 natures'!N101/'4.1 Comptes 2021 natures'!N2</f>
        <v>0</v>
      </c>
      <c r="O101" s="4">
        <f>'4.1 Comptes 2021 natures'!O101/'4.1 Comptes 2021 natures'!O2</f>
        <v>7.7968737088555296</v>
      </c>
      <c r="P101" s="4">
        <f>'4.1 Comptes 2021 natures'!P101/'4.1 Comptes 2021 natures'!P2</f>
        <v>0</v>
      </c>
      <c r="Q101" s="4">
        <f>'4.1 Comptes 2021 natures'!Q101/'4.1 Comptes 2021 natures'!Q2</f>
        <v>0</v>
      </c>
      <c r="R101" s="4">
        <f>'4.1 Comptes 2021 natures'!R101/'4.1 Comptes 2021 natures'!R2</f>
        <v>0</v>
      </c>
      <c r="S101" s="4">
        <f>'4.1 Comptes 2021 natures'!S101/'4.1 Comptes 2021 natures'!S2</f>
        <v>0</v>
      </c>
      <c r="T101" s="4">
        <f>'4.1 Comptes 2021 natures'!T101/'4.1 Comptes 2021 natures'!T2</f>
        <v>5.070422535211268</v>
      </c>
      <c r="U101" s="4">
        <f>'4.1 Comptes 2021 natures'!U101/'4.1 Comptes 2021 natures'!U2</f>
        <v>0</v>
      </c>
      <c r="V101" s="4">
        <f>'4.1 Comptes 2021 natures'!V101/'4.1 Comptes 2021 natures'!V2</f>
        <v>0</v>
      </c>
      <c r="W101" s="4">
        <f>'4.1 Comptes 2021 natures'!W101/'4.1 Comptes 2021 natures'!W2</f>
        <v>0</v>
      </c>
      <c r="X101" s="4">
        <f>'4.1 Comptes 2021 natures'!X101/'4.1 Comptes 2021 natures'!X2</f>
        <v>0</v>
      </c>
      <c r="Y101" s="4">
        <f>'4.1 Comptes 2021 natures'!Y101/'4.1 Comptes 2021 natures'!Y2</f>
        <v>0</v>
      </c>
      <c r="Z101" s="4">
        <f>'4.1 Comptes 2021 natures'!Z101/'4.1 Comptes 2021 natures'!Z2</f>
        <v>0</v>
      </c>
      <c r="AA101" s="4">
        <f>'4.1 Comptes 2021 natures'!AA101/'4.1 Comptes 2021 natures'!AA2</f>
        <v>0</v>
      </c>
      <c r="AB101" s="4">
        <f>'4.1 Comptes 2021 natures'!AB101/'4.1 Comptes 2021 natures'!AB2</f>
        <v>49.690202702702699</v>
      </c>
      <c r="AC101" s="4">
        <f>'4.1 Comptes 2021 natures'!AC101/'4.1 Comptes 2021 natures'!AC2</f>
        <v>0</v>
      </c>
      <c r="AD101" s="4">
        <f>'4.1 Comptes 2021 natures'!AD101/'4.1 Comptes 2021 natures'!AD2</f>
        <v>0</v>
      </c>
      <c r="AE101" s="4">
        <f>'4.1 Comptes 2021 natures'!AE101/'4.1 Comptes 2021 natures'!AE2</f>
        <v>0</v>
      </c>
      <c r="AF101" s="4">
        <f>'4.1 Comptes 2021 natures'!AF101/'4.1 Comptes 2021 natures'!AF2</f>
        <v>0</v>
      </c>
      <c r="AG101" s="4">
        <f>'4.1 Comptes 2021 natures'!AG101/'4.1 Comptes 2021 natures'!AG2</f>
        <v>0</v>
      </c>
      <c r="AH101" s="4">
        <f>'4.1 Comptes 2021 natures'!AH101/'4.1 Comptes 2021 natures'!AH2</f>
        <v>0</v>
      </c>
      <c r="AI101" s="4">
        <f>'4.1 Comptes 2021 natures'!AI101/'4.1 Comptes 2021 natures'!AI2</f>
        <v>0</v>
      </c>
      <c r="AJ101" s="4">
        <f>'4.1 Comptes 2021 natures'!AJ101/'4.1 Comptes 2021 natures'!AJ2</f>
        <v>24.31860465116279</v>
      </c>
      <c r="AK101" s="4">
        <f>'4.1 Comptes 2021 natures'!AK101/'4.1 Comptes 2021 natures'!AK2</f>
        <v>0</v>
      </c>
      <c r="AL101" s="4">
        <f>'4.1 Comptes 2021 natures'!AL101/'4.1 Comptes 2021 natures'!AL2</f>
        <v>0</v>
      </c>
      <c r="AM101" s="4">
        <f>'4.1 Comptes 2021 natures'!AM101/'4.1 Comptes 2021 natures'!AM2</f>
        <v>0</v>
      </c>
      <c r="AN101" s="4">
        <f>'4.1 Comptes 2021 natures'!AN101/'4.1 Comptes 2021 natures'!AN2</f>
        <v>0</v>
      </c>
      <c r="AO101" s="4">
        <f>'4.1 Comptes 2021 natures'!AO101/'4.1 Comptes 2021 natures'!AO2</f>
        <v>0</v>
      </c>
      <c r="AP101" s="4">
        <f>'4.1 Comptes 2021 natures'!AP101/'4.1 Comptes 2021 natures'!AP2</f>
        <v>0</v>
      </c>
      <c r="AQ101" s="4">
        <f>'4.1 Comptes 2021 natures'!AQ101/'4.1 Comptes 2021 natures'!AQ2</f>
        <v>0</v>
      </c>
      <c r="AR101" s="4">
        <f>'4.1 Comptes 2021 natures'!AR101/'4.1 Comptes 2021 natures'!AR2</f>
        <v>0</v>
      </c>
      <c r="AS101" s="4">
        <f>'4.1 Comptes 2021 natures'!AS101/'4.1 Comptes 2021 natures'!AS2</f>
        <v>0</v>
      </c>
      <c r="AT101" s="4">
        <f>'4.1 Comptes 2021 natures'!AT101/'4.1 Comptes 2021 natures'!AT2</f>
        <v>0</v>
      </c>
      <c r="AU101" s="4">
        <f>'4.1 Comptes 2021 natures'!AU101/'4.1 Comptes 2021 natures'!AU2</f>
        <v>0</v>
      </c>
      <c r="AV101" s="4">
        <f>'4.1 Comptes 2021 natures'!AV101/'4.1 Comptes 2021 natures'!AV2</f>
        <v>0</v>
      </c>
      <c r="AW101" s="4">
        <f>'4.1 Comptes 2021 natures'!AW101/'4.1 Comptes 2021 natures'!AW2</f>
        <v>0</v>
      </c>
      <c r="AX101" s="4">
        <f>'4.1 Comptes 2021 natures'!AX101/'4.1 Comptes 2021 natures'!AX2</f>
        <v>0</v>
      </c>
      <c r="AY101" s="4">
        <f>'4.1 Comptes 2021 natures'!AY101/'4.1 Comptes 2021 natures'!AY2</f>
        <v>0</v>
      </c>
      <c r="AZ101" s="4">
        <f>'4.1 Comptes 2021 natures'!AZ101/'4.1 Comptes 2021 natures'!AZ2</f>
        <v>0</v>
      </c>
      <c r="BA101" s="4">
        <f>'4.1 Comptes 2021 natures'!BA101/'4.1 Comptes 2021 natures'!BA2</f>
        <v>0</v>
      </c>
      <c r="BB101" s="4">
        <f>'4.1 Comptes 2021 natures'!BB101/'4.1 Comptes 2021 natures'!BB2</f>
        <v>0</v>
      </c>
      <c r="BC101" s="4">
        <f>'4.1 Comptes 2021 natures'!BC101/'4.1 Comptes 2021 natures'!BC2</f>
        <v>0</v>
      </c>
      <c r="BD101" s="4">
        <f>'4.1 Comptes 2021 natures'!BD101/'4.1 Comptes 2021 natures'!BD2</f>
        <v>0</v>
      </c>
      <c r="BE101" s="4">
        <f>'4.1 Comptes 2021 natures'!BE101/'4.1 Comptes 2021 natures'!BE2</f>
        <v>0</v>
      </c>
      <c r="BF101" s="4">
        <f t="shared" si="63"/>
        <v>86.876103597932286</v>
      </c>
      <c r="BG101" s="4">
        <f t="shared" si="64"/>
        <v>12.867296244066797</v>
      </c>
      <c r="BH101" s="4">
        <f t="shared" si="65"/>
        <v>74.008807353865492</v>
      </c>
      <c r="BI101" s="4">
        <f t="shared" si="66"/>
        <v>0</v>
      </c>
    </row>
    <row r="102" spans="2:61" x14ac:dyDescent="0.25">
      <c r="C102">
        <v>432</v>
      </c>
      <c r="D102" t="s">
        <v>160</v>
      </c>
      <c r="E102" s="4">
        <f>'4.1 Comptes 2021 natures'!E102/'4.1 Comptes 2021 natures'!E2</f>
        <v>0</v>
      </c>
      <c r="F102" s="4">
        <f>'4.1 Comptes 2021 natures'!F102/'4.1 Comptes 2021 natures'!F2</f>
        <v>0</v>
      </c>
      <c r="G102" s="4">
        <f>'4.1 Comptes 2021 natures'!G102/'4.1 Comptes 2021 natures'!G2</f>
        <v>2.3454157782515993E-2</v>
      </c>
      <c r="H102" s="4">
        <f>'4.1 Comptes 2021 natures'!H102/'4.1 Comptes 2021 natures'!H2</f>
        <v>0</v>
      </c>
      <c r="I102" s="4">
        <f>'4.1 Comptes 2021 natures'!I102/'4.1 Comptes 2021 natures'!I2</f>
        <v>0</v>
      </c>
      <c r="J102" s="4">
        <f>'4.1 Comptes 2021 natures'!J102/'4.1 Comptes 2021 natures'!J2</f>
        <v>0</v>
      </c>
      <c r="K102" s="4">
        <f>'4.1 Comptes 2021 natures'!K102/'4.1 Comptes 2021 natures'!K2</f>
        <v>0</v>
      </c>
      <c r="L102" s="4">
        <f>'4.1 Comptes 2021 natures'!L102/'4.1 Comptes 2021 natures'!L2</f>
        <v>0</v>
      </c>
      <c r="M102" s="4">
        <f>'4.1 Comptes 2021 natures'!M102/'4.1 Comptes 2021 natures'!M2</f>
        <v>0</v>
      </c>
      <c r="N102" s="4">
        <f>'4.1 Comptes 2021 natures'!N102/'4.1 Comptes 2021 natures'!N2</f>
        <v>0</v>
      </c>
      <c r="O102" s="4">
        <f>'4.1 Comptes 2021 natures'!O102/'4.1 Comptes 2021 natures'!O2</f>
        <v>0</v>
      </c>
      <c r="P102" s="4">
        <f>'4.1 Comptes 2021 natures'!P102/'4.1 Comptes 2021 natures'!P2</f>
        <v>0</v>
      </c>
      <c r="Q102" s="4">
        <f>'4.1 Comptes 2021 natures'!Q102/'4.1 Comptes 2021 natures'!Q2</f>
        <v>0</v>
      </c>
      <c r="R102" s="4">
        <f>'4.1 Comptes 2021 natures'!R102/'4.1 Comptes 2021 natures'!R2</f>
        <v>0</v>
      </c>
      <c r="S102" s="4">
        <f>'4.1 Comptes 2021 natures'!S102/'4.1 Comptes 2021 natures'!S2</f>
        <v>0</v>
      </c>
      <c r="T102" s="4">
        <f>'4.1 Comptes 2021 natures'!T102/'4.1 Comptes 2021 natures'!T2</f>
        <v>0</v>
      </c>
      <c r="U102" s="4">
        <f>'4.1 Comptes 2021 natures'!U102/'4.1 Comptes 2021 natures'!U2</f>
        <v>0</v>
      </c>
      <c r="V102" s="4">
        <f>'4.1 Comptes 2021 natures'!V102/'4.1 Comptes 2021 natures'!V2</f>
        <v>-9.2045454545454541E-2</v>
      </c>
      <c r="W102" s="4">
        <f>'4.1 Comptes 2021 natures'!W102/'4.1 Comptes 2021 natures'!W2</f>
        <v>0</v>
      </c>
      <c r="X102" s="4">
        <f>'4.1 Comptes 2021 natures'!X102/'4.1 Comptes 2021 natures'!X2</f>
        <v>0</v>
      </c>
      <c r="Y102" s="4">
        <f>'4.1 Comptes 2021 natures'!Y102/'4.1 Comptes 2021 natures'!Y2</f>
        <v>0</v>
      </c>
      <c r="Z102" s="4">
        <f>'4.1 Comptes 2021 natures'!Z102/'4.1 Comptes 2021 natures'!Z2</f>
        <v>0</v>
      </c>
      <c r="AA102" s="4">
        <f>'4.1 Comptes 2021 natures'!AA102/'4.1 Comptes 2021 natures'!AA2</f>
        <v>0</v>
      </c>
      <c r="AB102" s="4">
        <f>'4.1 Comptes 2021 natures'!AB102/'4.1 Comptes 2021 natures'!AB2</f>
        <v>33.252702702702699</v>
      </c>
      <c r="AC102" s="4">
        <f>'4.1 Comptes 2021 natures'!AC102/'4.1 Comptes 2021 natures'!AC2</f>
        <v>0</v>
      </c>
      <c r="AD102" s="4">
        <f>'4.1 Comptes 2021 natures'!AD102/'4.1 Comptes 2021 natures'!AD2</f>
        <v>0</v>
      </c>
      <c r="AE102" s="4">
        <f>'4.1 Comptes 2021 natures'!AE102/'4.1 Comptes 2021 natures'!AE2</f>
        <v>0</v>
      </c>
      <c r="AF102" s="4">
        <f>'4.1 Comptes 2021 natures'!AF102/'4.1 Comptes 2021 natures'!AF2</f>
        <v>0</v>
      </c>
      <c r="AG102" s="4">
        <f>'4.1 Comptes 2021 natures'!AG102/'4.1 Comptes 2021 natures'!AG2</f>
        <v>0</v>
      </c>
      <c r="AH102" s="4">
        <f>'4.1 Comptes 2021 natures'!AH102/'4.1 Comptes 2021 natures'!AH2</f>
        <v>0</v>
      </c>
      <c r="AI102" s="4">
        <f>'4.1 Comptes 2021 natures'!AI102/'4.1 Comptes 2021 natures'!AI2</f>
        <v>0</v>
      </c>
      <c r="AJ102" s="4">
        <f>'4.1 Comptes 2021 natures'!AJ102/'4.1 Comptes 2021 natures'!AJ2</f>
        <v>-4.7635658914728678</v>
      </c>
      <c r="AK102" s="4">
        <f>'4.1 Comptes 2021 natures'!AK102/'4.1 Comptes 2021 natures'!AK2</f>
        <v>0</v>
      </c>
      <c r="AL102" s="4">
        <f>'4.1 Comptes 2021 natures'!AL102/'4.1 Comptes 2021 natures'!AL2</f>
        <v>0</v>
      </c>
      <c r="AM102" s="4">
        <f>'4.1 Comptes 2021 natures'!AM102/'4.1 Comptes 2021 natures'!AM2</f>
        <v>0</v>
      </c>
      <c r="AN102" s="4">
        <f>'4.1 Comptes 2021 natures'!AN102/'4.1 Comptes 2021 natures'!AN2</f>
        <v>0</v>
      </c>
      <c r="AO102" s="4">
        <f>'4.1 Comptes 2021 natures'!AO102/'4.1 Comptes 2021 natures'!AO2</f>
        <v>0</v>
      </c>
      <c r="AP102" s="4">
        <f>'4.1 Comptes 2021 natures'!AP102/'4.1 Comptes 2021 natures'!AP2</f>
        <v>0</v>
      </c>
      <c r="AQ102" s="4">
        <f>'4.1 Comptes 2021 natures'!AQ102/'4.1 Comptes 2021 natures'!AQ2</f>
        <v>0</v>
      </c>
      <c r="AR102" s="4">
        <f>'4.1 Comptes 2021 natures'!AR102/'4.1 Comptes 2021 natures'!AR2</f>
        <v>0</v>
      </c>
      <c r="AS102" s="4">
        <f>'4.1 Comptes 2021 natures'!AS102/'4.1 Comptes 2021 natures'!AS2</f>
        <v>0</v>
      </c>
      <c r="AT102" s="4">
        <f>'4.1 Comptes 2021 natures'!AT102/'4.1 Comptes 2021 natures'!AT2</f>
        <v>0</v>
      </c>
      <c r="AU102" s="4">
        <f>'4.1 Comptes 2021 natures'!AU102/'4.1 Comptes 2021 natures'!AU2</f>
        <v>0</v>
      </c>
      <c r="AV102" s="4">
        <f>'4.1 Comptes 2021 natures'!AV102/'4.1 Comptes 2021 natures'!AV2</f>
        <v>0</v>
      </c>
      <c r="AW102" s="4">
        <f>'4.1 Comptes 2021 natures'!AW102/'4.1 Comptes 2021 natures'!AW2</f>
        <v>0</v>
      </c>
      <c r="AX102" s="4">
        <f>'4.1 Comptes 2021 natures'!AX102/'4.1 Comptes 2021 natures'!AX2</f>
        <v>0</v>
      </c>
      <c r="AY102" s="4">
        <f>'4.1 Comptes 2021 natures'!AY102/'4.1 Comptes 2021 natures'!AY2</f>
        <v>0</v>
      </c>
      <c r="AZ102" s="4">
        <f>'4.1 Comptes 2021 natures'!AZ102/'4.1 Comptes 2021 natures'!AZ2</f>
        <v>0</v>
      </c>
      <c r="BA102" s="4">
        <f>'4.1 Comptes 2021 natures'!BA102/'4.1 Comptes 2021 natures'!BA2</f>
        <v>0</v>
      </c>
      <c r="BB102" s="4">
        <f>'4.1 Comptes 2021 natures'!BB102/'4.1 Comptes 2021 natures'!BB2</f>
        <v>0</v>
      </c>
      <c r="BC102" s="4">
        <f>'4.1 Comptes 2021 natures'!BC102/'4.1 Comptes 2021 natures'!BC2</f>
        <v>0</v>
      </c>
      <c r="BD102" s="4">
        <f>'4.1 Comptes 2021 natures'!BD102/'4.1 Comptes 2021 natures'!BD2</f>
        <v>0</v>
      </c>
      <c r="BE102" s="4">
        <f>'4.1 Comptes 2021 natures'!BE102/'4.1 Comptes 2021 natures'!BE2</f>
        <v>0</v>
      </c>
      <c r="BF102" s="4">
        <f t="shared" si="63"/>
        <v>28.420545514466891</v>
      </c>
      <c r="BG102" s="4">
        <f t="shared" si="64"/>
        <v>-6.8591296762938542E-2</v>
      </c>
      <c r="BH102" s="4">
        <f t="shared" si="65"/>
        <v>28.48913681122983</v>
      </c>
      <c r="BI102" s="4">
        <f t="shared" si="66"/>
        <v>0</v>
      </c>
    </row>
    <row r="103" spans="2:61" x14ac:dyDescent="0.25">
      <c r="C103">
        <v>439</v>
      </c>
      <c r="D103" t="s">
        <v>161</v>
      </c>
      <c r="E103" s="4">
        <f>'4.1 Comptes 2021 natures'!E103/'4.1 Comptes 2021 natures'!E2</f>
        <v>0</v>
      </c>
      <c r="F103" s="4">
        <f>'4.1 Comptes 2021 natures'!F103/'4.1 Comptes 2021 natures'!F2</f>
        <v>0</v>
      </c>
      <c r="G103" s="4">
        <f>'4.1 Comptes 2021 natures'!G103/'4.1 Comptes 2021 natures'!G2</f>
        <v>0.51172707889125801</v>
      </c>
      <c r="H103" s="4">
        <f>'4.1 Comptes 2021 natures'!H103/'4.1 Comptes 2021 natures'!H2</f>
        <v>0</v>
      </c>
      <c r="I103" s="4">
        <f>'4.1 Comptes 2021 natures'!I103/'4.1 Comptes 2021 natures'!I2</f>
        <v>0</v>
      </c>
      <c r="J103" s="4">
        <f>'4.1 Comptes 2021 natures'!J103/'4.1 Comptes 2021 natures'!J2</f>
        <v>0</v>
      </c>
      <c r="K103" s="4">
        <f>'4.1 Comptes 2021 natures'!K103/'4.1 Comptes 2021 natures'!K2</f>
        <v>0</v>
      </c>
      <c r="L103" s="4">
        <f>'4.1 Comptes 2021 natures'!L103/'4.1 Comptes 2021 natures'!L2</f>
        <v>0</v>
      </c>
      <c r="M103" s="4">
        <f>'4.1 Comptes 2021 natures'!M103/'4.1 Comptes 2021 natures'!M2</f>
        <v>0</v>
      </c>
      <c r="N103" s="4">
        <f>'4.1 Comptes 2021 natures'!N103/'4.1 Comptes 2021 natures'!N2</f>
        <v>134.71282051282051</v>
      </c>
      <c r="O103" s="4">
        <f>'4.1 Comptes 2021 natures'!O103/'4.1 Comptes 2021 natures'!O2</f>
        <v>0</v>
      </c>
      <c r="P103" s="4">
        <f>'4.1 Comptes 2021 natures'!P103/'4.1 Comptes 2021 natures'!P2</f>
        <v>0</v>
      </c>
      <c r="Q103" s="4">
        <f>'4.1 Comptes 2021 natures'!Q103/'4.1 Comptes 2021 natures'!Q2</f>
        <v>0</v>
      </c>
      <c r="R103" s="4">
        <f>'4.1 Comptes 2021 natures'!R103/'4.1 Comptes 2021 natures'!R2</f>
        <v>0</v>
      </c>
      <c r="S103" s="4">
        <f>'4.1 Comptes 2021 natures'!S103/'4.1 Comptes 2021 natures'!S2</f>
        <v>0</v>
      </c>
      <c r="T103" s="4">
        <f>'4.1 Comptes 2021 natures'!T103/'4.1 Comptes 2021 natures'!T2</f>
        <v>0</v>
      </c>
      <c r="U103" s="4">
        <f>'4.1 Comptes 2021 natures'!U103/'4.1 Comptes 2021 natures'!U2</f>
        <v>0.37174721189591076</v>
      </c>
      <c r="V103" s="4">
        <f>'4.1 Comptes 2021 natures'!V103/'4.1 Comptes 2021 natures'!V2</f>
        <v>5.4090909090909092</v>
      </c>
      <c r="W103" s="4">
        <f>'4.1 Comptes 2021 natures'!W103/'4.1 Comptes 2021 natures'!W2</f>
        <v>0</v>
      </c>
      <c r="X103" s="4">
        <f>'4.1 Comptes 2021 natures'!X103/'4.1 Comptes 2021 natures'!X2</f>
        <v>0</v>
      </c>
      <c r="Y103" s="4">
        <f>'4.1 Comptes 2021 natures'!Y103/'4.1 Comptes 2021 natures'!Y2</f>
        <v>0</v>
      </c>
      <c r="Z103" s="4">
        <f>'4.1 Comptes 2021 natures'!Z103/'4.1 Comptes 2021 natures'!Z2</f>
        <v>0</v>
      </c>
      <c r="AA103" s="4">
        <f>'4.1 Comptes 2021 natures'!AA103/'4.1 Comptes 2021 natures'!AA2</f>
        <v>0</v>
      </c>
      <c r="AB103" s="4">
        <f>'4.1 Comptes 2021 natures'!AB103/'4.1 Comptes 2021 natures'!AB2</f>
        <v>0</v>
      </c>
      <c r="AC103" s="4">
        <f>'4.1 Comptes 2021 natures'!AC103/'4.1 Comptes 2021 natures'!AC2</f>
        <v>0</v>
      </c>
      <c r="AD103" s="4">
        <f>'4.1 Comptes 2021 natures'!AD103/'4.1 Comptes 2021 natures'!AD2</f>
        <v>0</v>
      </c>
      <c r="AE103" s="4">
        <f>'4.1 Comptes 2021 natures'!AE103/'4.1 Comptes 2021 natures'!AE2</f>
        <v>2.8967198581560285</v>
      </c>
      <c r="AF103" s="4">
        <f>'4.1 Comptes 2021 natures'!AF103/'4.1 Comptes 2021 natures'!AF2</f>
        <v>0</v>
      </c>
      <c r="AG103" s="4">
        <f>'4.1 Comptes 2021 natures'!AG103/'4.1 Comptes 2021 natures'!AG2</f>
        <v>0.13095861707700368</v>
      </c>
      <c r="AH103" s="4">
        <f>'4.1 Comptes 2021 natures'!AH103/'4.1 Comptes 2021 natures'!AH2</f>
        <v>0</v>
      </c>
      <c r="AI103" s="4">
        <f>'4.1 Comptes 2021 natures'!AI103/'4.1 Comptes 2021 natures'!AI2</f>
        <v>0</v>
      </c>
      <c r="AJ103" s="4">
        <f>'4.1 Comptes 2021 natures'!AJ103/'4.1 Comptes 2021 natures'!AJ2</f>
        <v>0.77519379844961245</v>
      </c>
      <c r="AK103" s="4">
        <f>'4.1 Comptes 2021 natures'!AK103/'4.1 Comptes 2021 natures'!AK2</f>
        <v>0</v>
      </c>
      <c r="AL103" s="4">
        <f>'4.1 Comptes 2021 natures'!AL103/'4.1 Comptes 2021 natures'!AL2</f>
        <v>0</v>
      </c>
      <c r="AM103" s="4">
        <f>'4.1 Comptes 2021 natures'!AM103/'4.1 Comptes 2021 natures'!AM2</f>
        <v>0</v>
      </c>
      <c r="AN103" s="4">
        <f>'4.1 Comptes 2021 natures'!AN103/'4.1 Comptes 2021 natures'!AN2</f>
        <v>0</v>
      </c>
      <c r="AO103" s="4">
        <f>'4.1 Comptes 2021 natures'!AO103/'4.1 Comptes 2021 natures'!AO2</f>
        <v>0</v>
      </c>
      <c r="AP103" s="4">
        <f>'4.1 Comptes 2021 natures'!AP103/'4.1 Comptes 2021 natures'!AP2</f>
        <v>0</v>
      </c>
      <c r="AQ103" s="4">
        <f>'4.1 Comptes 2021 natures'!AQ103/'4.1 Comptes 2021 natures'!AQ2</f>
        <v>0</v>
      </c>
      <c r="AR103" s="4">
        <f>'4.1 Comptes 2021 natures'!AR103/'4.1 Comptes 2021 natures'!AR2</f>
        <v>0</v>
      </c>
      <c r="AS103" s="4">
        <f>'4.1 Comptes 2021 natures'!AS103/'4.1 Comptes 2021 natures'!AS2</f>
        <v>1.6880984952120384E-2</v>
      </c>
      <c r="AT103" s="4">
        <f>'4.1 Comptes 2021 natures'!AT103/'4.1 Comptes 2021 natures'!AT2</f>
        <v>0</v>
      </c>
      <c r="AU103" s="4">
        <f>'4.1 Comptes 2021 natures'!AU103/'4.1 Comptes 2021 natures'!AU2</f>
        <v>0</v>
      </c>
      <c r="AV103" s="4">
        <f>'4.1 Comptes 2021 natures'!AV103/'4.1 Comptes 2021 natures'!AV2</f>
        <v>0</v>
      </c>
      <c r="AW103" s="4">
        <f>'4.1 Comptes 2021 natures'!AW103/'4.1 Comptes 2021 natures'!AW2</f>
        <v>2.3183673469387753</v>
      </c>
      <c r="AX103" s="4">
        <f>'4.1 Comptes 2021 natures'!AX103/'4.1 Comptes 2021 natures'!AX2</f>
        <v>0</v>
      </c>
      <c r="AY103" s="4">
        <f>'4.1 Comptes 2021 natures'!AY103/'4.1 Comptes 2021 natures'!AY2</f>
        <v>0</v>
      </c>
      <c r="AZ103" s="4">
        <f>'4.1 Comptes 2021 natures'!AZ103/'4.1 Comptes 2021 natures'!AZ2</f>
        <v>0</v>
      </c>
      <c r="BA103" s="4">
        <f>'4.1 Comptes 2021 natures'!BA103/'4.1 Comptes 2021 natures'!BA2</f>
        <v>0</v>
      </c>
      <c r="BB103" s="4">
        <f>'4.1 Comptes 2021 natures'!BB103/'4.1 Comptes 2021 natures'!BB2</f>
        <v>0</v>
      </c>
      <c r="BC103" s="4">
        <f>'4.1 Comptes 2021 natures'!BC103/'4.1 Comptes 2021 natures'!BC2</f>
        <v>0</v>
      </c>
      <c r="BD103" s="4">
        <f>'4.1 Comptes 2021 natures'!BD103/'4.1 Comptes 2021 natures'!BD2</f>
        <v>0</v>
      </c>
      <c r="BE103" s="4">
        <f>'4.1 Comptes 2021 natures'!BE103/'4.1 Comptes 2021 natures'!BE2</f>
        <v>0</v>
      </c>
      <c r="BF103" s="4">
        <f t="shared" si="63"/>
        <v>147.1435063182721</v>
      </c>
      <c r="BG103" s="4">
        <f t="shared" si="64"/>
        <v>141.0053857126986</v>
      </c>
      <c r="BH103" s="4">
        <f t="shared" si="65"/>
        <v>3.8028722736826448</v>
      </c>
      <c r="BI103" s="4">
        <f t="shared" si="66"/>
        <v>2.3352483318908956</v>
      </c>
    </row>
    <row r="104" spans="2:61" x14ac:dyDescent="0.25">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row>
    <row r="105" spans="2:61" x14ac:dyDescent="0.25">
      <c r="B105" s="78">
        <v>44</v>
      </c>
      <c r="C105" s="78"/>
      <c r="D105" s="78" t="s">
        <v>162</v>
      </c>
      <c r="E105" s="73">
        <f>E106+E107+E108+E109+E110+E111+E112+E113+E114+E115</f>
        <v>107.8072439281943</v>
      </c>
      <c r="F105" s="73">
        <f t="shared" ref="F105:BI105" si="67">F106+F107+F108+F109+F110+F111+F112+F113+F114+F115</f>
        <v>160.19984905660377</v>
      </c>
      <c r="G105" s="73">
        <f t="shared" si="67"/>
        <v>251.58029850746269</v>
      </c>
      <c r="H105" s="73">
        <f t="shared" si="67"/>
        <v>303.94423690205014</v>
      </c>
      <c r="I105" s="73">
        <f t="shared" si="67"/>
        <v>179.0347907725322</v>
      </c>
      <c r="J105" s="73">
        <f t="shared" si="67"/>
        <v>85.222337817638262</v>
      </c>
      <c r="K105" s="73">
        <f t="shared" si="67"/>
        <v>122.89426847662142</v>
      </c>
      <c r="L105" s="73">
        <f t="shared" si="67"/>
        <v>221.39699014344097</v>
      </c>
      <c r="M105" s="73">
        <f t="shared" si="67"/>
        <v>176.90659308314935</v>
      </c>
      <c r="N105" s="73">
        <f t="shared" si="67"/>
        <v>189.49991452991452</v>
      </c>
      <c r="O105" s="73">
        <f t="shared" si="67"/>
        <v>65.938151769728691</v>
      </c>
      <c r="P105" s="73">
        <f t="shared" si="67"/>
        <v>137.34895910780671</v>
      </c>
      <c r="Q105" s="73">
        <f t="shared" si="67"/>
        <v>374.92432432432429</v>
      </c>
      <c r="R105" s="73">
        <f t="shared" si="67"/>
        <v>79.105558194774346</v>
      </c>
      <c r="S105" s="73">
        <f t="shared" si="67"/>
        <v>57.812861271676304</v>
      </c>
      <c r="T105" s="73">
        <f t="shared" si="67"/>
        <v>92.40278873239437</v>
      </c>
      <c r="U105" s="73">
        <f t="shared" si="67"/>
        <v>154.43241635687733</v>
      </c>
      <c r="V105" s="73">
        <f t="shared" si="67"/>
        <v>155.78779545454546</v>
      </c>
      <c r="W105" s="73">
        <f t="shared" si="67"/>
        <v>123.2656054506039</v>
      </c>
      <c r="X105" s="73">
        <f t="shared" si="67"/>
        <v>623.79670967741936</v>
      </c>
      <c r="Y105" s="73">
        <f t="shared" si="67"/>
        <v>81.685811023622051</v>
      </c>
      <c r="Z105" s="73">
        <f t="shared" si="67"/>
        <v>215.80877822045153</v>
      </c>
      <c r="AA105" s="73">
        <f t="shared" si="67"/>
        <v>312.00520833333337</v>
      </c>
      <c r="AB105" s="73">
        <f t="shared" si="67"/>
        <v>233.80182432432431</v>
      </c>
      <c r="AC105" s="73">
        <f t="shared" si="67"/>
        <v>133.66391891891891</v>
      </c>
      <c r="AD105" s="73">
        <f t="shared" si="67"/>
        <v>303.05329529243943</v>
      </c>
      <c r="AE105" s="73">
        <f t="shared" si="67"/>
        <v>31.916382978723405</v>
      </c>
      <c r="AF105" s="73">
        <f t="shared" si="67"/>
        <v>425.43539047619043</v>
      </c>
      <c r="AG105" s="73">
        <f t="shared" si="67"/>
        <v>141.99747511786273</v>
      </c>
      <c r="AH105" s="73">
        <f t="shared" si="67"/>
        <v>142.85853100775194</v>
      </c>
      <c r="AI105" s="73">
        <f t="shared" si="67"/>
        <v>144.62522522522522</v>
      </c>
      <c r="AJ105" s="73">
        <f t="shared" si="67"/>
        <v>384.92806201550394</v>
      </c>
      <c r="AK105" s="73">
        <f t="shared" si="67"/>
        <v>108.54361184558435</v>
      </c>
      <c r="AL105" s="73">
        <f t="shared" si="67"/>
        <v>597.05516873889871</v>
      </c>
      <c r="AM105" s="73">
        <f t="shared" si="67"/>
        <v>137.97488163265308</v>
      </c>
      <c r="AN105" s="73">
        <f t="shared" si="67"/>
        <v>208.15299145299144</v>
      </c>
      <c r="AO105" s="73">
        <f t="shared" si="67"/>
        <v>205.81676793248946</v>
      </c>
      <c r="AP105" s="73">
        <f t="shared" si="67"/>
        <v>191.99883177570095</v>
      </c>
      <c r="AQ105" s="73">
        <f t="shared" si="67"/>
        <v>84.469273301737758</v>
      </c>
      <c r="AR105" s="73">
        <f t="shared" si="67"/>
        <v>487.87490654205607</v>
      </c>
      <c r="AS105" s="73">
        <f t="shared" si="67"/>
        <v>206.69811217510261</v>
      </c>
      <c r="AT105" s="73">
        <f t="shared" si="67"/>
        <v>207.57632874015746</v>
      </c>
      <c r="AU105" s="73">
        <f t="shared" si="67"/>
        <v>133.63141447368423</v>
      </c>
      <c r="AV105" s="73">
        <f t="shared" si="67"/>
        <v>58.972976782752895</v>
      </c>
      <c r="AW105" s="73">
        <f t="shared" si="67"/>
        <v>104.58438095238095</v>
      </c>
      <c r="AX105" s="73">
        <f t="shared" si="67"/>
        <v>99.367351351351346</v>
      </c>
      <c r="AY105" s="73">
        <f t="shared" si="67"/>
        <v>177.36252941176468</v>
      </c>
      <c r="AZ105" s="73">
        <f t="shared" si="67"/>
        <v>105.74655274012964</v>
      </c>
      <c r="BA105" s="73">
        <f t="shared" si="67"/>
        <v>111.21833333333335</v>
      </c>
      <c r="BB105" s="73">
        <f t="shared" si="67"/>
        <v>238.69629077353216</v>
      </c>
      <c r="BC105" s="73">
        <f t="shared" si="67"/>
        <v>113.23771739130436</v>
      </c>
      <c r="BD105" s="73">
        <f t="shared" si="67"/>
        <v>507.06938447262598</v>
      </c>
      <c r="BE105" s="73">
        <f t="shared" si="67"/>
        <v>168.35150268336315</v>
      </c>
      <c r="BF105" s="73">
        <f t="shared" si="67"/>
        <v>10469.4809049957</v>
      </c>
      <c r="BG105" s="73">
        <f t="shared" si="67"/>
        <v>3039.5049838803388</v>
      </c>
      <c r="BH105" s="73">
        <f t="shared" si="67"/>
        <v>3175.5766126117669</v>
      </c>
      <c r="BI105" s="73">
        <f t="shared" si="67"/>
        <v>4254.3993085035945</v>
      </c>
    </row>
    <row r="106" spans="2:61" x14ac:dyDescent="0.25">
      <c r="C106">
        <v>440</v>
      </c>
      <c r="D106" t="s">
        <v>163</v>
      </c>
      <c r="E106" s="4">
        <f>'4.1 Comptes 2021 natures'!E106/'4.1 Comptes 2021 natures'!E2</f>
        <v>18.852069693769799</v>
      </c>
      <c r="F106" s="4">
        <f>'4.1 Comptes 2021 natures'!F106/'4.1 Comptes 2021 natures'!F2</f>
        <v>53.180603773584906</v>
      </c>
      <c r="G106" s="4">
        <f>'4.1 Comptes 2021 natures'!G106/'4.1 Comptes 2021 natures'!G2</f>
        <v>15.484349680170576</v>
      </c>
      <c r="H106" s="4">
        <f>'4.1 Comptes 2021 natures'!H106/'4.1 Comptes 2021 natures'!H2</f>
        <v>16.472710706150341</v>
      </c>
      <c r="I106" s="4">
        <f>'4.1 Comptes 2021 natures'!I106/'4.1 Comptes 2021 natures'!I2</f>
        <v>39.667891630901288</v>
      </c>
      <c r="J106" s="4">
        <f>'4.1 Comptes 2021 natures'!J106/'4.1 Comptes 2021 natures'!J2</f>
        <v>32.925133034379677</v>
      </c>
      <c r="K106" s="4">
        <f>'4.1 Comptes 2021 natures'!K106/'4.1 Comptes 2021 natures'!K2</f>
        <v>34.841176470588238</v>
      </c>
      <c r="L106" s="4">
        <f>'4.1 Comptes 2021 natures'!L106/'4.1 Comptes 2021 natures'!L2</f>
        <v>67.235108582418462</v>
      </c>
      <c r="M106" s="4">
        <f>'4.1 Comptes 2021 natures'!M106/'4.1 Comptes 2021 natures'!M2</f>
        <v>31.003502575423106</v>
      </c>
      <c r="N106" s="4">
        <f>'4.1 Comptes 2021 natures'!N106/'4.1 Comptes 2021 natures'!N2</f>
        <v>4.8845299145299146</v>
      </c>
      <c r="O106" s="4">
        <f>'4.1 Comptes 2021 natures'!O106/'4.1 Comptes 2021 natures'!O2</f>
        <v>21.183571133452691</v>
      </c>
      <c r="P106" s="4">
        <f>'4.1 Comptes 2021 natures'!P106/'4.1 Comptes 2021 natures'!P2</f>
        <v>12.813643122676579</v>
      </c>
      <c r="Q106" s="4">
        <f>'4.1 Comptes 2021 natures'!Q106/'4.1 Comptes 2021 natures'!Q2</f>
        <v>29.050450450450448</v>
      </c>
      <c r="R106" s="4">
        <f>'4.1 Comptes 2021 natures'!R106/'4.1 Comptes 2021 natures'!R2</f>
        <v>6.0308788598574824E-2</v>
      </c>
      <c r="S106" s="4">
        <f>'4.1 Comptes 2021 natures'!S106/'4.1 Comptes 2021 natures'!S2</f>
        <v>0</v>
      </c>
      <c r="T106" s="4">
        <f>'4.1 Comptes 2021 natures'!T106/'4.1 Comptes 2021 natures'!T2</f>
        <v>28.723211267605635</v>
      </c>
      <c r="U106" s="4">
        <f>'4.1 Comptes 2021 natures'!U106/'4.1 Comptes 2021 natures'!U2</f>
        <v>18.343197026022303</v>
      </c>
      <c r="V106" s="4">
        <f>'4.1 Comptes 2021 natures'!V106/'4.1 Comptes 2021 natures'!V2</f>
        <v>42.389500000000005</v>
      </c>
      <c r="W106" s="4">
        <f>'4.1 Comptes 2021 natures'!W106/'4.1 Comptes 2021 natures'!W2</f>
        <v>26.142719108082996</v>
      </c>
      <c r="X106" s="4">
        <f>'4.1 Comptes 2021 natures'!X106/'4.1 Comptes 2021 natures'!X2</f>
        <v>13.022354838709678</v>
      </c>
      <c r="Y106" s="4">
        <f>'4.1 Comptes 2021 natures'!Y106/'4.1 Comptes 2021 natures'!Y2</f>
        <v>31.42616535433071</v>
      </c>
      <c r="Z106" s="4">
        <f>'4.1 Comptes 2021 natures'!Z106/'4.1 Comptes 2021 natures'!Z2</f>
        <v>21.431128818061087</v>
      </c>
      <c r="AA106" s="4">
        <f>'4.1 Comptes 2021 natures'!AA106/'4.1 Comptes 2021 natures'!AA2</f>
        <v>15.017708333333333</v>
      </c>
      <c r="AB106" s="4">
        <f>'4.1 Comptes 2021 natures'!AB106/'4.1 Comptes 2021 natures'!AB2</f>
        <v>28.153175675675676</v>
      </c>
      <c r="AC106" s="4">
        <f>'4.1 Comptes 2021 natures'!AC106/'4.1 Comptes 2021 natures'!AC2</f>
        <v>19.621061776061776</v>
      </c>
      <c r="AD106" s="4">
        <f>'4.1 Comptes 2021 natures'!AD106/'4.1 Comptes 2021 natures'!AD2</f>
        <v>18.510356633380884</v>
      </c>
      <c r="AE106" s="4">
        <f>'4.1 Comptes 2021 natures'!AE106/'4.1 Comptes 2021 natures'!AE2</f>
        <v>14.762127659574467</v>
      </c>
      <c r="AF106" s="4">
        <f>'4.1 Comptes 2021 natures'!AF106/'4.1 Comptes 2021 natures'!AF2</f>
        <v>5.7142857142857142E-5</v>
      </c>
      <c r="AG106" s="4">
        <f>'4.1 Comptes 2021 natures'!AG106/'4.1 Comptes 2021 natures'!AG2</f>
        <v>12.844688318491356</v>
      </c>
      <c r="AH106" s="4">
        <f>'4.1 Comptes 2021 natures'!AH106/'4.1 Comptes 2021 natures'!AH2</f>
        <v>21.743937984496124</v>
      </c>
      <c r="AI106" s="4">
        <f>'4.1 Comptes 2021 natures'!AI106/'4.1 Comptes 2021 natures'!AI2</f>
        <v>24.243243243243242</v>
      </c>
      <c r="AJ106" s="4">
        <f>'4.1 Comptes 2021 natures'!AJ106/'4.1 Comptes 2021 natures'!AJ2</f>
        <v>24.230387596899224</v>
      </c>
      <c r="AK106" s="4">
        <f>'4.1 Comptes 2021 natures'!AK106/'4.1 Comptes 2021 natures'!AK2</f>
        <v>100.40955579058699</v>
      </c>
      <c r="AL106" s="4">
        <f>'4.1 Comptes 2021 natures'!AL106/'4.1 Comptes 2021 natures'!AL2</f>
        <v>57.854973357015986</v>
      </c>
      <c r="AM106" s="4">
        <f>'4.1 Comptes 2021 natures'!AM106/'4.1 Comptes 2021 natures'!AM2</f>
        <v>29.537738775510206</v>
      </c>
      <c r="AN106" s="4">
        <f>'4.1 Comptes 2021 natures'!AN106/'4.1 Comptes 2021 natures'!AN2</f>
        <v>43.1991452991453</v>
      </c>
      <c r="AO106" s="4">
        <f>'4.1 Comptes 2021 natures'!AO106/'4.1 Comptes 2021 natures'!AO2</f>
        <v>17.971451476793249</v>
      </c>
      <c r="AP106" s="4">
        <f>'4.1 Comptes 2021 natures'!AP106/'4.1 Comptes 2021 natures'!AP2</f>
        <v>41.193193146417443</v>
      </c>
      <c r="AQ106" s="4">
        <f>'4.1 Comptes 2021 natures'!AQ106/'4.1 Comptes 2021 natures'!AQ2</f>
        <v>29.380173775671409</v>
      </c>
      <c r="AR106" s="4">
        <f>'4.1 Comptes 2021 natures'!AR106/'4.1 Comptes 2021 natures'!AR2</f>
        <v>29.704548286604361</v>
      </c>
      <c r="AS106" s="4">
        <f>'4.1 Comptes 2021 natures'!AS106/'4.1 Comptes 2021 natures'!AS2</f>
        <v>52.994008207934343</v>
      </c>
      <c r="AT106" s="4">
        <f>'4.1 Comptes 2021 natures'!AT106/'4.1 Comptes 2021 natures'!AT2</f>
        <v>59.622677165354332</v>
      </c>
      <c r="AU106" s="4">
        <f>'4.1 Comptes 2021 natures'!AU106/'4.1 Comptes 2021 natures'!AU2</f>
        <v>19.996874999999999</v>
      </c>
      <c r="AV106" s="4">
        <f>'4.1 Comptes 2021 natures'!AV106/'4.1 Comptes 2021 natures'!AV2</f>
        <v>23.842043946932009</v>
      </c>
      <c r="AW106" s="4">
        <f>'4.1 Comptes 2021 natures'!AW106/'4.1 Comptes 2021 natures'!AW2</f>
        <v>27.383523809523808</v>
      </c>
      <c r="AX106" s="4">
        <f>'4.1 Comptes 2021 natures'!AX106/'4.1 Comptes 2021 natures'!AX2</f>
        <v>22.240864864864868</v>
      </c>
      <c r="AY106" s="4">
        <f>'4.1 Comptes 2021 natures'!AY106/'4.1 Comptes 2021 natures'!AY2</f>
        <v>35.238852941176468</v>
      </c>
      <c r="AZ106" s="4">
        <f>'4.1 Comptes 2021 natures'!AZ106/'4.1 Comptes 2021 natures'!AZ2</f>
        <v>25.100824985268119</v>
      </c>
      <c r="BA106" s="4">
        <f>'4.1 Comptes 2021 natures'!BA106/'4.1 Comptes 2021 natures'!BA2</f>
        <v>27.171794871794873</v>
      </c>
      <c r="BB106" s="4">
        <f>'4.1 Comptes 2021 natures'!BB106/'4.1 Comptes 2021 natures'!BB2</f>
        <v>38.5487045666356</v>
      </c>
      <c r="BC106" s="4">
        <f>'4.1 Comptes 2021 natures'!BC106/'4.1 Comptes 2021 natures'!BC2</f>
        <v>48.245054347826091</v>
      </c>
      <c r="BD106" s="4">
        <f>'4.1 Comptes 2021 natures'!BD106/'4.1 Comptes 2021 natures'!BD2</f>
        <v>52.141121249613363</v>
      </c>
      <c r="BE106" s="4">
        <f>'4.1 Comptes 2021 natures'!BE106/'4.1 Comptes 2021 natures'!BE2</f>
        <v>61.120554561717348</v>
      </c>
      <c r="BF106" s="4">
        <f t="shared" ref="BF106:BF115" si="68">SUM(E106:BE106)</f>
        <v>1581.157750760307</v>
      </c>
      <c r="BG106" s="4">
        <f t="shared" ref="BG106:BG115" si="69">SUM(E106:W106)</f>
        <v>493.2536769588055</v>
      </c>
      <c r="BH106" s="4">
        <f t="shared" ref="BH106:BH115" si="70">SUM(X106:AJ106)</f>
        <v>245.00639337511473</v>
      </c>
      <c r="BI106" s="4">
        <f t="shared" ref="BI106:BI115" si="71">SUM(AK106:BE106)</f>
        <v>842.89768042638605</v>
      </c>
    </row>
    <row r="107" spans="2:61" x14ac:dyDescent="0.25">
      <c r="C107">
        <v>441</v>
      </c>
      <c r="D107" t="s">
        <v>164</v>
      </c>
      <c r="E107" s="4">
        <f>'4.1 Comptes 2021 natures'!E107/'4.1 Comptes 2021 natures'!E2</f>
        <v>0</v>
      </c>
      <c r="F107" s="4">
        <f>'4.1 Comptes 2021 natures'!F107/'4.1 Comptes 2021 natures'!F2</f>
        <v>0</v>
      </c>
      <c r="G107" s="4">
        <f>'4.1 Comptes 2021 natures'!G107/'4.1 Comptes 2021 natures'!G2</f>
        <v>0</v>
      </c>
      <c r="H107" s="4">
        <f>'4.1 Comptes 2021 natures'!H107/'4.1 Comptes 2021 natures'!H2</f>
        <v>0</v>
      </c>
      <c r="I107" s="4">
        <f>'4.1 Comptes 2021 natures'!I107/'4.1 Comptes 2021 natures'!I2</f>
        <v>0</v>
      </c>
      <c r="J107" s="4">
        <f>'4.1 Comptes 2021 natures'!J107/'4.1 Comptes 2021 natures'!J2</f>
        <v>0</v>
      </c>
      <c r="K107" s="4">
        <f>'4.1 Comptes 2021 natures'!K107/'4.1 Comptes 2021 natures'!K2</f>
        <v>0</v>
      </c>
      <c r="L107" s="4">
        <f>'4.1 Comptes 2021 natures'!L107/'4.1 Comptes 2021 natures'!L2</f>
        <v>0</v>
      </c>
      <c r="M107" s="4">
        <f>'4.1 Comptes 2021 natures'!M107/'4.1 Comptes 2021 natures'!M2</f>
        <v>118.79323031640912</v>
      </c>
      <c r="N107" s="4">
        <f>'4.1 Comptes 2021 natures'!N107/'4.1 Comptes 2021 natures'!N2</f>
        <v>0</v>
      </c>
      <c r="O107" s="4">
        <f>'4.1 Comptes 2021 natures'!O107/'4.1 Comptes 2021 natures'!O2</f>
        <v>0</v>
      </c>
      <c r="P107" s="4">
        <f>'4.1 Comptes 2021 natures'!P107/'4.1 Comptes 2021 natures'!P2</f>
        <v>0</v>
      </c>
      <c r="Q107" s="4">
        <f>'4.1 Comptes 2021 natures'!Q107/'4.1 Comptes 2021 natures'!Q2</f>
        <v>0</v>
      </c>
      <c r="R107" s="4">
        <f>'4.1 Comptes 2021 natures'!R107/'4.1 Comptes 2021 natures'!R2</f>
        <v>0</v>
      </c>
      <c r="S107" s="4">
        <f>'4.1 Comptes 2021 natures'!S107/'4.1 Comptes 2021 natures'!S2</f>
        <v>0</v>
      </c>
      <c r="T107" s="4">
        <f>'4.1 Comptes 2021 natures'!T107/'4.1 Comptes 2021 natures'!T2</f>
        <v>0</v>
      </c>
      <c r="U107" s="4">
        <f>'4.1 Comptes 2021 natures'!U107/'4.1 Comptes 2021 natures'!U2</f>
        <v>0</v>
      </c>
      <c r="V107" s="4">
        <f>'4.1 Comptes 2021 natures'!V107/'4.1 Comptes 2021 natures'!V2</f>
        <v>0</v>
      </c>
      <c r="W107" s="4">
        <f>'4.1 Comptes 2021 natures'!W107/'4.1 Comptes 2021 natures'!W2</f>
        <v>0.57293279653143392</v>
      </c>
      <c r="X107" s="4">
        <f>'4.1 Comptes 2021 natures'!X107/'4.1 Comptes 2021 natures'!X2</f>
        <v>419.57112903225806</v>
      </c>
      <c r="Y107" s="4">
        <f>'4.1 Comptes 2021 natures'!Y107/'4.1 Comptes 2021 natures'!Y2</f>
        <v>0</v>
      </c>
      <c r="Z107" s="4">
        <f>'4.1 Comptes 2021 natures'!Z107/'4.1 Comptes 2021 natures'!Z2</f>
        <v>0</v>
      </c>
      <c r="AA107" s="4">
        <f>'4.1 Comptes 2021 natures'!AA107/'4.1 Comptes 2021 natures'!AA2</f>
        <v>0</v>
      </c>
      <c r="AB107" s="4">
        <f>'4.1 Comptes 2021 natures'!AB107/'4.1 Comptes 2021 natures'!AB2</f>
        <v>0</v>
      </c>
      <c r="AC107" s="4">
        <f>'4.1 Comptes 2021 natures'!AC107/'4.1 Comptes 2021 natures'!AC2</f>
        <v>0</v>
      </c>
      <c r="AD107" s="4">
        <f>'4.1 Comptes 2021 natures'!AD107/'4.1 Comptes 2021 natures'!AD2</f>
        <v>96.962196861626254</v>
      </c>
      <c r="AE107" s="4">
        <f>'4.1 Comptes 2021 natures'!AE107/'4.1 Comptes 2021 natures'!AE2</f>
        <v>0</v>
      </c>
      <c r="AF107" s="4">
        <f>'4.1 Comptes 2021 natures'!AF107/'4.1 Comptes 2021 natures'!AF2</f>
        <v>0</v>
      </c>
      <c r="AG107" s="4">
        <f>'4.1 Comptes 2021 natures'!AG107/'4.1 Comptes 2021 natures'!AG2</f>
        <v>40.618124672603457</v>
      </c>
      <c r="AH107" s="4">
        <f>'4.1 Comptes 2021 natures'!AH107/'4.1 Comptes 2021 natures'!AH2</f>
        <v>20.646511627906978</v>
      </c>
      <c r="AI107" s="4">
        <f>'4.1 Comptes 2021 natures'!AI107/'4.1 Comptes 2021 natures'!AI2</f>
        <v>0</v>
      </c>
      <c r="AJ107" s="4">
        <f>'4.1 Comptes 2021 natures'!AJ107/'4.1 Comptes 2021 natures'!AJ2</f>
        <v>33.372093023255815</v>
      </c>
      <c r="AK107" s="4">
        <f>'4.1 Comptes 2021 natures'!AK107/'4.1 Comptes 2021 natures'!AK2</f>
        <v>0</v>
      </c>
      <c r="AL107" s="4">
        <f>'4.1 Comptes 2021 natures'!AL107/'4.1 Comptes 2021 natures'!AL2</f>
        <v>0</v>
      </c>
      <c r="AM107" s="4">
        <f>'4.1 Comptes 2021 natures'!AM107/'4.1 Comptes 2021 natures'!AM2</f>
        <v>0</v>
      </c>
      <c r="AN107" s="4">
        <f>'4.1 Comptes 2021 natures'!AN107/'4.1 Comptes 2021 natures'!AN2</f>
        <v>0</v>
      </c>
      <c r="AO107" s="4">
        <f>'4.1 Comptes 2021 natures'!AO107/'4.1 Comptes 2021 natures'!AO2</f>
        <v>0</v>
      </c>
      <c r="AP107" s="4">
        <f>'4.1 Comptes 2021 natures'!AP107/'4.1 Comptes 2021 natures'!AP2</f>
        <v>0</v>
      </c>
      <c r="AQ107" s="4">
        <f>'4.1 Comptes 2021 natures'!AQ107/'4.1 Comptes 2021 natures'!AQ2</f>
        <v>0</v>
      </c>
      <c r="AR107" s="4">
        <f>'4.1 Comptes 2021 natures'!AR107/'4.1 Comptes 2021 natures'!AR2</f>
        <v>26.682242990654206</v>
      </c>
      <c r="AS107" s="4">
        <f>'4.1 Comptes 2021 natures'!AS107/'4.1 Comptes 2021 natures'!AS2</f>
        <v>0</v>
      </c>
      <c r="AT107" s="4">
        <f>'4.1 Comptes 2021 natures'!AT107/'4.1 Comptes 2021 natures'!AT2</f>
        <v>0</v>
      </c>
      <c r="AU107" s="4">
        <f>'4.1 Comptes 2021 natures'!AU107/'4.1 Comptes 2021 natures'!AU2</f>
        <v>0</v>
      </c>
      <c r="AV107" s="4">
        <f>'4.1 Comptes 2021 natures'!AV107/'4.1 Comptes 2021 natures'!AV2</f>
        <v>0</v>
      </c>
      <c r="AW107" s="4">
        <f>'4.1 Comptes 2021 natures'!AW107/'4.1 Comptes 2021 natures'!AW2</f>
        <v>0</v>
      </c>
      <c r="AX107" s="4">
        <f>'4.1 Comptes 2021 natures'!AX107/'4.1 Comptes 2021 natures'!AX2</f>
        <v>0</v>
      </c>
      <c r="AY107" s="4">
        <f>'4.1 Comptes 2021 natures'!AY107/'4.1 Comptes 2021 natures'!AY2</f>
        <v>13.191176470588236</v>
      </c>
      <c r="AZ107" s="4">
        <f>'4.1 Comptes 2021 natures'!AZ107/'4.1 Comptes 2021 natures'!AZ2</f>
        <v>0</v>
      </c>
      <c r="BA107" s="4">
        <f>'4.1 Comptes 2021 natures'!BA107/'4.1 Comptes 2021 natures'!BA2</f>
        <v>0</v>
      </c>
      <c r="BB107" s="4">
        <f>'4.1 Comptes 2021 natures'!BB107/'4.1 Comptes 2021 natures'!BB2</f>
        <v>2.1784715750232992</v>
      </c>
      <c r="BC107" s="4">
        <f>'4.1 Comptes 2021 natures'!BC107/'4.1 Comptes 2021 natures'!BC2</f>
        <v>0</v>
      </c>
      <c r="BD107" s="4">
        <f>'4.1 Comptes 2021 natures'!BD107/'4.1 Comptes 2021 natures'!BD2</f>
        <v>0</v>
      </c>
      <c r="BE107" s="4">
        <f>'4.1 Comptes 2021 natures'!BE107/'4.1 Comptes 2021 natures'!BE2</f>
        <v>0</v>
      </c>
      <c r="BF107" s="4">
        <f t="shared" si="68"/>
        <v>772.588109366857</v>
      </c>
      <c r="BG107" s="4">
        <f t="shared" si="69"/>
        <v>119.36616311294055</v>
      </c>
      <c r="BH107" s="4">
        <f t="shared" si="70"/>
        <v>611.17005521765066</v>
      </c>
      <c r="BI107" s="4">
        <f t="shared" si="71"/>
        <v>42.051891036265744</v>
      </c>
    </row>
    <row r="108" spans="2:61" x14ac:dyDescent="0.25">
      <c r="C108">
        <v>442</v>
      </c>
      <c r="D108" t="s">
        <v>165</v>
      </c>
      <c r="E108" s="4">
        <f>'4.1 Comptes 2021 natures'!E108/'4.1 Comptes 2021 natures'!E2</f>
        <v>4.118268215417107E-2</v>
      </c>
      <c r="F108" s="4">
        <f>'4.1 Comptes 2021 natures'!F108/'4.1 Comptes 2021 natures'!F2</f>
        <v>0</v>
      </c>
      <c r="G108" s="4">
        <f>'4.1 Comptes 2021 natures'!G108/'4.1 Comptes 2021 natures'!G2</f>
        <v>0</v>
      </c>
      <c r="H108" s="4">
        <f>'4.1 Comptes 2021 natures'!H108/'4.1 Comptes 2021 natures'!H2</f>
        <v>0</v>
      </c>
      <c r="I108" s="4">
        <f>'4.1 Comptes 2021 natures'!I108/'4.1 Comptes 2021 natures'!I2</f>
        <v>1.9761856223175966</v>
      </c>
      <c r="J108" s="4">
        <f>'4.1 Comptes 2021 natures'!J108/'4.1 Comptes 2021 natures'!J2</f>
        <v>0.45560538116591931</v>
      </c>
      <c r="K108" s="4">
        <f>'4.1 Comptes 2021 natures'!K108/'4.1 Comptes 2021 natures'!K2</f>
        <v>0</v>
      </c>
      <c r="L108" s="4">
        <f>'4.1 Comptes 2021 natures'!L108/'4.1 Comptes 2021 natures'!L2</f>
        <v>2.8169324465101369</v>
      </c>
      <c r="M108" s="4">
        <f>'4.1 Comptes 2021 natures'!M108/'4.1 Comptes 2021 natures'!M2</f>
        <v>0</v>
      </c>
      <c r="N108" s="4">
        <f>'4.1 Comptes 2021 natures'!N108/'4.1 Comptes 2021 natures'!N2</f>
        <v>0</v>
      </c>
      <c r="O108" s="4">
        <f>'4.1 Comptes 2021 natures'!O108/'4.1 Comptes 2021 natures'!O2</f>
        <v>0.5061286324197769</v>
      </c>
      <c r="P108" s="4">
        <f>'4.1 Comptes 2021 natures'!P108/'4.1 Comptes 2021 natures'!P2</f>
        <v>0</v>
      </c>
      <c r="Q108" s="4">
        <f>'4.1 Comptes 2021 natures'!Q108/'4.1 Comptes 2021 natures'!Q2</f>
        <v>0.15315315315315314</v>
      </c>
      <c r="R108" s="4">
        <f>'4.1 Comptes 2021 natures'!R108/'4.1 Comptes 2021 natures'!R2</f>
        <v>0</v>
      </c>
      <c r="S108" s="4">
        <f>'4.1 Comptes 2021 natures'!S108/'4.1 Comptes 2021 natures'!S2</f>
        <v>9.3930635838150294E-3</v>
      </c>
      <c r="T108" s="4">
        <f>'4.1 Comptes 2021 natures'!T108/'4.1 Comptes 2021 natures'!T2</f>
        <v>0.68661971830985913</v>
      </c>
      <c r="U108" s="4">
        <f>'4.1 Comptes 2021 natures'!U108/'4.1 Comptes 2021 natures'!U2</f>
        <v>0</v>
      </c>
      <c r="V108" s="4">
        <f>'4.1 Comptes 2021 natures'!V108/'4.1 Comptes 2021 natures'!V2</f>
        <v>7.3863636363636362E-3</v>
      </c>
      <c r="W108" s="4">
        <f>'4.1 Comptes 2021 natures'!W108/'4.1 Comptes 2021 natures'!W2</f>
        <v>5.5744812635490866E-2</v>
      </c>
      <c r="X108" s="4">
        <f>'4.1 Comptes 2021 natures'!X108/'4.1 Comptes 2021 natures'!X2</f>
        <v>1.6129032258064516E-2</v>
      </c>
      <c r="Y108" s="4">
        <f>'4.1 Comptes 2021 natures'!Y108/'4.1 Comptes 2021 natures'!Y2</f>
        <v>0</v>
      </c>
      <c r="Z108" s="4">
        <f>'4.1 Comptes 2021 natures'!Z108/'4.1 Comptes 2021 natures'!Z2</f>
        <v>0</v>
      </c>
      <c r="AA108" s="4">
        <f>'4.1 Comptes 2021 natures'!AA108/'4.1 Comptes 2021 natures'!AA2</f>
        <v>8.1250000000000003E-2</v>
      </c>
      <c r="AB108" s="4">
        <f>'4.1 Comptes 2021 natures'!AB108/'4.1 Comptes 2021 natures'!AB2</f>
        <v>0</v>
      </c>
      <c r="AC108" s="4">
        <f>'4.1 Comptes 2021 natures'!AC108/'4.1 Comptes 2021 natures'!AC2</f>
        <v>0</v>
      </c>
      <c r="AD108" s="4">
        <f>'4.1 Comptes 2021 natures'!AD108/'4.1 Comptes 2021 natures'!AD2</f>
        <v>1.7118402282453638E-2</v>
      </c>
      <c r="AE108" s="4">
        <f>'4.1 Comptes 2021 natures'!AE108/'4.1 Comptes 2021 natures'!AE2</f>
        <v>0</v>
      </c>
      <c r="AF108" s="4">
        <f>'4.1 Comptes 2021 natures'!AF108/'4.1 Comptes 2021 natures'!AF2</f>
        <v>0</v>
      </c>
      <c r="AG108" s="4">
        <f>'4.1 Comptes 2021 natures'!AG108/'4.1 Comptes 2021 natures'!AG2</f>
        <v>4.2194866422210584</v>
      </c>
      <c r="AH108" s="4">
        <f>'4.1 Comptes 2021 natures'!AH108/'4.1 Comptes 2021 natures'!AH2</f>
        <v>0</v>
      </c>
      <c r="AI108" s="4">
        <f>'4.1 Comptes 2021 natures'!AI108/'4.1 Comptes 2021 natures'!AI2</f>
        <v>0</v>
      </c>
      <c r="AJ108" s="4">
        <f>'4.1 Comptes 2021 natures'!AJ108/'4.1 Comptes 2021 natures'!AJ2</f>
        <v>0</v>
      </c>
      <c r="AK108" s="4">
        <f>'4.1 Comptes 2021 natures'!AK108/'4.1 Comptes 2021 natures'!AK2</f>
        <v>0</v>
      </c>
      <c r="AL108" s="4">
        <f>'4.1 Comptes 2021 natures'!AL108/'4.1 Comptes 2021 natures'!AL2</f>
        <v>1.0496181172291295</v>
      </c>
      <c r="AM108" s="4">
        <f>'4.1 Comptes 2021 natures'!AM108/'4.1 Comptes 2021 natures'!AM2</f>
        <v>0</v>
      </c>
      <c r="AN108" s="4">
        <f>'4.1 Comptes 2021 natures'!AN108/'4.1 Comptes 2021 natures'!AN2</f>
        <v>0</v>
      </c>
      <c r="AO108" s="4">
        <f>'4.1 Comptes 2021 natures'!AO108/'4.1 Comptes 2021 natures'!AO2</f>
        <v>0</v>
      </c>
      <c r="AP108" s="4">
        <f>'4.1 Comptes 2021 natures'!AP108/'4.1 Comptes 2021 natures'!AP2</f>
        <v>3.1152647975077882E-2</v>
      </c>
      <c r="AQ108" s="4">
        <f>'4.1 Comptes 2021 natures'!AQ108/'4.1 Comptes 2021 natures'!AQ2</f>
        <v>0</v>
      </c>
      <c r="AR108" s="4">
        <f>'4.1 Comptes 2021 natures'!AR108/'4.1 Comptes 2021 natures'!AR2</f>
        <v>5.7488629283489097</v>
      </c>
      <c r="AS108" s="4">
        <f>'4.1 Comptes 2021 natures'!AS108/'4.1 Comptes 2021 natures'!AS2</f>
        <v>0</v>
      </c>
      <c r="AT108" s="4">
        <f>'4.1 Comptes 2021 natures'!AT108/'4.1 Comptes 2021 natures'!AT2</f>
        <v>0.37401574803149606</v>
      </c>
      <c r="AU108" s="4">
        <f>'4.1 Comptes 2021 natures'!AU108/'4.1 Comptes 2021 natures'!AU2</f>
        <v>0</v>
      </c>
      <c r="AV108" s="4">
        <f>'4.1 Comptes 2021 natures'!AV108/'4.1 Comptes 2021 natures'!AV2</f>
        <v>0.66024046434494199</v>
      </c>
      <c r="AW108" s="4">
        <f>'4.1 Comptes 2021 natures'!AW108/'4.1 Comptes 2021 natures'!AW2</f>
        <v>2.8398367346938778</v>
      </c>
      <c r="AX108" s="4">
        <f>'4.1 Comptes 2021 natures'!AX108/'4.1 Comptes 2021 natures'!AX2</f>
        <v>0</v>
      </c>
      <c r="AY108" s="4">
        <f>'4.1 Comptes 2021 natures'!AY108/'4.1 Comptes 2021 natures'!AY2</f>
        <v>0</v>
      </c>
      <c r="AZ108" s="4">
        <f>'4.1 Comptes 2021 natures'!AZ108/'4.1 Comptes 2021 natures'!AZ2</f>
        <v>0</v>
      </c>
      <c r="BA108" s="4">
        <f>'4.1 Comptes 2021 natures'!BA108/'4.1 Comptes 2021 natures'!BA2</f>
        <v>0</v>
      </c>
      <c r="BB108" s="4">
        <f>'4.1 Comptes 2021 natures'!BB108/'4.1 Comptes 2021 natures'!BB2</f>
        <v>0.20923578751164956</v>
      </c>
      <c r="BC108" s="4">
        <f>'4.1 Comptes 2021 natures'!BC108/'4.1 Comptes 2021 natures'!BC2</f>
        <v>0</v>
      </c>
      <c r="BD108" s="4">
        <f>'4.1 Comptes 2021 natures'!BD108/'4.1 Comptes 2021 natures'!BD2</f>
        <v>3.7224373646767708</v>
      </c>
      <c r="BE108" s="4">
        <f>'4.1 Comptes 2021 natures'!BE108/'4.1 Comptes 2021 natures'!BE2</f>
        <v>3.5778175313059032E-2</v>
      </c>
      <c r="BF108" s="4">
        <f t="shared" si="68"/>
        <v>25.713493920772773</v>
      </c>
      <c r="BG108" s="4">
        <f t="shared" si="69"/>
        <v>6.7083318758862829</v>
      </c>
      <c r="BH108" s="4">
        <f t="shared" si="70"/>
        <v>4.3339840767615767</v>
      </c>
      <c r="BI108" s="4">
        <f t="shared" si="71"/>
        <v>14.671177968124912</v>
      </c>
    </row>
    <row r="109" spans="2:61" x14ac:dyDescent="0.25">
      <c r="C109">
        <v>443</v>
      </c>
      <c r="D109" t="s">
        <v>166</v>
      </c>
      <c r="E109" s="4">
        <f>'4.1 Comptes 2021 natures'!E109/'4.1 Comptes 2021 natures'!E2</f>
        <v>24.352164730728617</v>
      </c>
      <c r="F109" s="4">
        <f>'4.1 Comptes 2021 natures'!F109/'4.1 Comptes 2021 natures'!F2</f>
        <v>101.01924528301886</v>
      </c>
      <c r="G109" s="4">
        <f>'4.1 Comptes 2021 natures'!G109/'4.1 Comptes 2021 natures'!G2</f>
        <v>231.23454157782515</v>
      </c>
      <c r="H109" s="4">
        <f>'4.1 Comptes 2021 natures'!H109/'4.1 Comptes 2021 natures'!H2</f>
        <v>172.89293849658316</v>
      </c>
      <c r="I109" s="4">
        <f>'4.1 Comptes 2021 natures'!I109/'4.1 Comptes 2021 natures'!I2</f>
        <v>106.56814645922746</v>
      </c>
      <c r="J109" s="4">
        <f>'4.1 Comptes 2021 natures'!J109/'4.1 Comptes 2021 natures'!J2</f>
        <v>38.643168908819135</v>
      </c>
      <c r="K109" s="4">
        <f>'4.1 Comptes 2021 natures'!K109/'4.1 Comptes 2021 natures'!K2</f>
        <v>50.375867269984916</v>
      </c>
      <c r="L109" s="4">
        <f>'4.1 Comptes 2021 natures'!L109/'4.1 Comptes 2021 natures'!L2</f>
        <v>37.164428239442266</v>
      </c>
      <c r="M109" s="4">
        <f>'4.1 Comptes 2021 natures'!M109/'4.1 Comptes 2021 natures'!M2</f>
        <v>12.746357615894039</v>
      </c>
      <c r="N109" s="4">
        <f>'4.1 Comptes 2021 natures'!N109/'4.1 Comptes 2021 natures'!N2</f>
        <v>179.48717948717947</v>
      </c>
      <c r="O109" s="4">
        <f>'4.1 Comptes 2021 natures'!O109/'4.1 Comptes 2021 natures'!O2</f>
        <v>16.033597300647294</v>
      </c>
      <c r="P109" s="4">
        <f>'4.1 Comptes 2021 natures'!P109/'4.1 Comptes 2021 natures'!P2</f>
        <v>53.308550185873607</v>
      </c>
      <c r="Q109" s="4">
        <f>'4.1 Comptes 2021 natures'!Q109/'4.1 Comptes 2021 natures'!Q2</f>
        <v>91.351351351351354</v>
      </c>
      <c r="R109" s="4">
        <f>'4.1 Comptes 2021 natures'!R109/'4.1 Comptes 2021 natures'!R2</f>
        <v>68.123515439429923</v>
      </c>
      <c r="S109" s="4">
        <f>'4.1 Comptes 2021 natures'!S109/'4.1 Comptes 2021 natures'!S2</f>
        <v>57.456647398843934</v>
      </c>
      <c r="T109" s="4">
        <f>'4.1 Comptes 2021 natures'!T109/'4.1 Comptes 2021 natures'!T2</f>
        <v>59.894366197183096</v>
      </c>
      <c r="U109" s="4">
        <f>'4.1 Comptes 2021 natures'!U109/'4.1 Comptes 2021 natures'!U2</f>
        <v>0</v>
      </c>
      <c r="V109" s="4">
        <f>'4.1 Comptes 2021 natures'!V109/'4.1 Comptes 2021 natures'!V2</f>
        <v>43.795454545454547</v>
      </c>
      <c r="W109" s="4">
        <f>'4.1 Comptes 2021 natures'!W109/'4.1 Comptes 2021 natures'!W2</f>
        <v>37.343527407866212</v>
      </c>
      <c r="X109" s="4">
        <f>'4.1 Comptes 2021 natures'!X109/'4.1 Comptes 2021 natures'!X2</f>
        <v>34.161290322580648</v>
      </c>
      <c r="Y109" s="4">
        <f>'4.1 Comptes 2021 natures'!Y109/'4.1 Comptes 2021 natures'!Y2</f>
        <v>34.598425196850393</v>
      </c>
      <c r="Z109" s="4">
        <f>'4.1 Comptes 2021 natures'!Z109/'4.1 Comptes 2021 natures'!Z2</f>
        <v>182.37991367861886</v>
      </c>
      <c r="AA109" s="4">
        <f>'4.1 Comptes 2021 natures'!AA109/'4.1 Comptes 2021 natures'!AA2</f>
        <v>145.14583333333334</v>
      </c>
      <c r="AB109" s="4">
        <f>'4.1 Comptes 2021 natures'!AB109/'4.1 Comptes 2021 natures'!AB2</f>
        <v>153.51351351351352</v>
      </c>
      <c r="AC109" s="4">
        <f>'4.1 Comptes 2021 natures'!AC109/'4.1 Comptes 2021 natures'!AC2</f>
        <v>32.648841698841693</v>
      </c>
      <c r="AD109" s="4">
        <f>'4.1 Comptes 2021 natures'!AD109/'4.1 Comptes 2021 natures'!AD2</f>
        <v>105.87917261055635</v>
      </c>
      <c r="AE109" s="4">
        <f>'4.1 Comptes 2021 natures'!AE109/'4.1 Comptes 2021 natures'!AE2</f>
        <v>3.6524822695035462</v>
      </c>
      <c r="AF109" s="4">
        <f>'4.1 Comptes 2021 natures'!AF109/'4.1 Comptes 2021 natures'!AF2</f>
        <v>154.52380952380952</v>
      </c>
      <c r="AG109" s="4">
        <f>'4.1 Comptes 2021 natures'!AG109/'4.1 Comptes 2021 natures'!AG2</f>
        <v>46.316029334730224</v>
      </c>
      <c r="AH109" s="4">
        <f>'4.1 Comptes 2021 natures'!AH109/'4.1 Comptes 2021 natures'!AH2</f>
        <v>17.730465116279071</v>
      </c>
      <c r="AI109" s="4">
        <f>'4.1 Comptes 2021 natures'!AI109/'4.1 Comptes 2021 natures'!AI2</f>
        <v>0</v>
      </c>
      <c r="AJ109" s="4">
        <f>'4.1 Comptes 2021 natures'!AJ109/'4.1 Comptes 2021 natures'!AJ2</f>
        <v>322.67441860465118</v>
      </c>
      <c r="AK109" s="4">
        <f>'4.1 Comptes 2021 natures'!AK109/'4.1 Comptes 2021 natures'!AK2</f>
        <v>0</v>
      </c>
      <c r="AL109" s="4">
        <f>'4.1 Comptes 2021 natures'!AL109/'4.1 Comptes 2021 natures'!AL2</f>
        <v>129.4961811722913</v>
      </c>
      <c r="AM109" s="4">
        <f>'4.1 Comptes 2021 natures'!AM109/'4.1 Comptes 2021 natures'!AM2</f>
        <v>62.579795918367346</v>
      </c>
      <c r="AN109" s="4">
        <f>'4.1 Comptes 2021 natures'!AN109/'4.1 Comptes 2021 natures'!AN2</f>
        <v>75.412393162393158</v>
      </c>
      <c r="AO109" s="4">
        <f>'4.1 Comptes 2021 natures'!AO109/'4.1 Comptes 2021 natures'!AO2</f>
        <v>181.31742616033756</v>
      </c>
      <c r="AP109" s="4">
        <f>'4.1 Comptes 2021 natures'!AP109/'4.1 Comptes 2021 natures'!AP2</f>
        <v>40.423987538940814</v>
      </c>
      <c r="AQ109" s="4">
        <f>'4.1 Comptes 2021 natures'!AQ109/'4.1 Comptes 2021 natures'!AQ2</f>
        <v>18.890995260663509</v>
      </c>
      <c r="AR109" s="4">
        <f>'4.1 Comptes 2021 natures'!AR109/'4.1 Comptes 2021 natures'!AR2</f>
        <v>309.40381619937693</v>
      </c>
      <c r="AS109" s="4">
        <f>'4.1 Comptes 2021 natures'!AS109/'4.1 Comptes 2021 natures'!AS2</f>
        <v>16.583310533515732</v>
      </c>
      <c r="AT109" s="4">
        <f>'4.1 Comptes 2021 natures'!AT109/'4.1 Comptes 2021 natures'!AT2</f>
        <v>80.364173228346459</v>
      </c>
      <c r="AU109" s="4">
        <f>'4.1 Comptes 2021 natures'!AU109/'4.1 Comptes 2021 natures'!AU2</f>
        <v>71.44736842105263</v>
      </c>
      <c r="AV109" s="4">
        <f>'4.1 Comptes 2021 natures'!AV109/'4.1 Comptes 2021 natures'!AV2</f>
        <v>0</v>
      </c>
      <c r="AW109" s="4">
        <f>'4.1 Comptes 2021 natures'!AW109/'4.1 Comptes 2021 natures'!AW2</f>
        <v>37.122925170068022</v>
      </c>
      <c r="AX109" s="4">
        <f>'4.1 Comptes 2021 natures'!AX109/'4.1 Comptes 2021 natures'!AX2</f>
        <v>12.945945945945946</v>
      </c>
      <c r="AY109" s="4">
        <f>'4.1 Comptes 2021 natures'!AY109/'4.1 Comptes 2021 natures'!AY2</f>
        <v>116.18735294117646</v>
      </c>
      <c r="AZ109" s="4">
        <f>'4.1 Comptes 2021 natures'!AZ109/'4.1 Comptes 2021 natures'!AZ2</f>
        <v>41.36611667648792</v>
      </c>
      <c r="BA109" s="4">
        <f>'4.1 Comptes 2021 natures'!BA109/'4.1 Comptes 2021 natures'!BA2</f>
        <v>83.482435897435906</v>
      </c>
      <c r="BB109" s="4">
        <f>'4.1 Comptes 2021 natures'!BB109/'4.1 Comptes 2021 natures'!BB2</f>
        <v>85.675163094128607</v>
      </c>
      <c r="BC109" s="4">
        <f>'4.1 Comptes 2021 natures'!BC109/'4.1 Comptes 2021 natures'!BC2</f>
        <v>16.304347826086957</v>
      </c>
      <c r="BD109" s="4">
        <f>'4.1 Comptes 2021 natures'!BD109/'4.1 Comptes 2021 natures'!BD2</f>
        <v>43.826384163315808</v>
      </c>
      <c r="BE109" s="4">
        <f>'4.1 Comptes 2021 natures'!BE109/'4.1 Comptes 2021 natures'!BE2</f>
        <v>78.272987477638637</v>
      </c>
      <c r="BF109" s="4">
        <f t="shared" si="68"/>
        <v>4116.1183498861901</v>
      </c>
      <c r="BG109" s="4">
        <f t="shared" si="69"/>
        <v>1381.7910478953529</v>
      </c>
      <c r="BH109" s="4">
        <f t="shared" si="70"/>
        <v>1233.2241952032684</v>
      </c>
      <c r="BI109" s="4">
        <f t="shared" si="71"/>
        <v>1501.1031067875699</v>
      </c>
    </row>
    <row r="110" spans="2:61" x14ac:dyDescent="0.25">
      <c r="C110">
        <v>444</v>
      </c>
      <c r="D110" t="s">
        <v>106</v>
      </c>
      <c r="E110" s="4">
        <f>'4.1 Comptes 2021 natures'!E110/'4.1 Comptes 2021 natures'!E2</f>
        <v>62.991710665258715</v>
      </c>
      <c r="F110" s="4">
        <f>'4.1 Comptes 2021 natures'!F110/'4.1 Comptes 2021 natures'!F2</f>
        <v>0</v>
      </c>
      <c r="G110" s="4">
        <f>'4.1 Comptes 2021 natures'!G110/'4.1 Comptes 2021 natures'!G2</f>
        <v>0</v>
      </c>
      <c r="H110" s="4">
        <f>'4.1 Comptes 2021 natures'!H110/'4.1 Comptes 2021 natures'!H2</f>
        <v>0</v>
      </c>
      <c r="I110" s="4">
        <f>'4.1 Comptes 2021 natures'!I110/'4.1 Comptes 2021 natures'!I2</f>
        <v>11.50348712446352</v>
      </c>
      <c r="J110" s="4">
        <f>'4.1 Comptes 2021 natures'!J110/'4.1 Comptes 2021 natures'!J2</f>
        <v>2.9895366218236174E-3</v>
      </c>
      <c r="K110" s="4">
        <f>'4.1 Comptes 2021 natures'!K110/'4.1 Comptes 2021 natures'!K2</f>
        <v>0</v>
      </c>
      <c r="L110" s="4">
        <f>'4.1 Comptes 2021 natures'!L110/'4.1 Comptes 2021 natures'!L2</f>
        <v>0</v>
      </c>
      <c r="M110" s="4">
        <f>'4.1 Comptes 2021 natures'!M110/'4.1 Comptes 2021 natures'!M2</f>
        <v>7.3583517292126564E-3</v>
      </c>
      <c r="N110" s="4">
        <f>'4.1 Comptes 2021 natures'!N110/'4.1 Comptes 2021 natures'!N2</f>
        <v>0</v>
      </c>
      <c r="O110" s="4">
        <f>'4.1 Comptes 2021 natures'!O110/'4.1 Comptes 2021 natures'!O2</f>
        <v>2.3469219115824265</v>
      </c>
      <c r="P110" s="4">
        <f>'4.1 Comptes 2021 natures'!P110/'4.1 Comptes 2021 natures'!P2</f>
        <v>0</v>
      </c>
      <c r="Q110" s="4">
        <f>'4.1 Comptes 2021 natures'!Q110/'4.1 Comptes 2021 natures'!Q2</f>
        <v>209.5045045045045</v>
      </c>
      <c r="R110" s="4">
        <f>'4.1 Comptes 2021 natures'!R110/'4.1 Comptes 2021 natures'!R2</f>
        <v>0</v>
      </c>
      <c r="S110" s="4">
        <f>'4.1 Comptes 2021 natures'!S110/'4.1 Comptes 2021 natures'!S2</f>
        <v>0</v>
      </c>
      <c r="T110" s="4">
        <f>'4.1 Comptes 2021 natures'!T110/'4.1 Comptes 2021 natures'!T2</f>
        <v>0</v>
      </c>
      <c r="U110" s="4">
        <f>'4.1 Comptes 2021 natures'!U110/'4.1 Comptes 2021 natures'!U2</f>
        <v>19.330855018587361</v>
      </c>
      <c r="V110" s="4">
        <f>'4.1 Comptes 2021 natures'!V110/'4.1 Comptes 2021 natures'!V2</f>
        <v>0</v>
      </c>
      <c r="W110" s="4">
        <f>'4.1 Comptes 2021 natures'!W110/'4.1 Comptes 2021 natures'!W2</f>
        <v>0</v>
      </c>
      <c r="X110" s="4">
        <f>'4.1 Comptes 2021 natures'!X110/'4.1 Comptes 2021 natures'!X2</f>
        <v>0</v>
      </c>
      <c r="Y110" s="4">
        <f>'4.1 Comptes 2021 natures'!Y110/'4.1 Comptes 2021 natures'!Y2</f>
        <v>0</v>
      </c>
      <c r="Z110" s="4">
        <f>'4.1 Comptes 2021 natures'!Z110/'4.1 Comptes 2021 natures'!Z2</f>
        <v>0</v>
      </c>
      <c r="AA110" s="4">
        <f>'4.1 Comptes 2021 natures'!AA110/'4.1 Comptes 2021 natures'!AA2</f>
        <v>0</v>
      </c>
      <c r="AB110" s="4">
        <f>'4.1 Comptes 2021 natures'!AB110/'4.1 Comptes 2021 natures'!AB2</f>
        <v>52.135135135135137</v>
      </c>
      <c r="AC110" s="4">
        <f>'4.1 Comptes 2021 natures'!AC110/'4.1 Comptes 2021 natures'!AC2</f>
        <v>14.980694980694981</v>
      </c>
      <c r="AD110" s="4">
        <f>'4.1 Comptes 2021 natures'!AD110/'4.1 Comptes 2021 natures'!AD2</f>
        <v>7.1326676176890159E-3</v>
      </c>
      <c r="AE110" s="4">
        <f>'4.1 Comptes 2021 natures'!AE110/'4.1 Comptes 2021 natures'!AE2</f>
        <v>4.4326241134751775E-2</v>
      </c>
      <c r="AF110" s="4">
        <f>'4.1 Comptes 2021 natures'!AF110/'4.1 Comptes 2021 natures'!AF2</f>
        <v>198.27342857142858</v>
      </c>
      <c r="AG110" s="4">
        <f>'4.1 Comptes 2021 natures'!AG110/'4.1 Comptes 2021 natures'!AG2</f>
        <v>0</v>
      </c>
      <c r="AH110" s="4">
        <f>'4.1 Comptes 2021 natures'!AH110/'4.1 Comptes 2021 natures'!AH2</f>
        <v>7.5717054263565888</v>
      </c>
      <c r="AI110" s="4">
        <f>'4.1 Comptes 2021 natures'!AI110/'4.1 Comptes 2021 natures'!AI2</f>
        <v>0</v>
      </c>
      <c r="AJ110" s="4">
        <f>'4.1 Comptes 2021 natures'!AJ110/'4.1 Comptes 2021 natures'!AJ2</f>
        <v>0</v>
      </c>
      <c r="AK110" s="4">
        <f>'4.1 Comptes 2021 natures'!AK110/'4.1 Comptes 2021 natures'!AK2</f>
        <v>0</v>
      </c>
      <c r="AL110" s="4">
        <f>'4.1 Comptes 2021 natures'!AL110/'4.1 Comptes 2021 natures'!AL2</f>
        <v>10.337477797513321</v>
      </c>
      <c r="AM110" s="4">
        <f>'4.1 Comptes 2021 natures'!AM110/'4.1 Comptes 2021 natures'!AM2</f>
        <v>0</v>
      </c>
      <c r="AN110" s="4">
        <f>'4.1 Comptes 2021 natures'!AN110/'4.1 Comptes 2021 natures'!AN2</f>
        <v>0</v>
      </c>
      <c r="AO110" s="4">
        <f>'4.1 Comptes 2021 natures'!AO110/'4.1 Comptes 2021 natures'!AO2</f>
        <v>0</v>
      </c>
      <c r="AP110" s="4">
        <f>'4.1 Comptes 2021 natures'!AP110/'4.1 Comptes 2021 natures'!AP2</f>
        <v>0</v>
      </c>
      <c r="AQ110" s="4">
        <f>'4.1 Comptes 2021 natures'!AQ110/'4.1 Comptes 2021 natures'!AQ2</f>
        <v>0</v>
      </c>
      <c r="AR110" s="4">
        <f>'4.1 Comptes 2021 natures'!AR110/'4.1 Comptes 2021 natures'!AR2</f>
        <v>0</v>
      </c>
      <c r="AS110" s="4">
        <f>'4.1 Comptes 2021 natures'!AS110/'4.1 Comptes 2021 natures'!AS2</f>
        <v>66.347469220246239</v>
      </c>
      <c r="AT110" s="4">
        <f>'4.1 Comptes 2021 natures'!AT110/'4.1 Comptes 2021 natures'!AT2</f>
        <v>0</v>
      </c>
      <c r="AU110" s="4">
        <f>'4.1 Comptes 2021 natures'!AU110/'4.1 Comptes 2021 natures'!AU2</f>
        <v>0</v>
      </c>
      <c r="AV110" s="4">
        <f>'4.1 Comptes 2021 natures'!AV110/'4.1 Comptes 2021 natures'!AV2</f>
        <v>0</v>
      </c>
      <c r="AW110" s="4">
        <f>'4.1 Comptes 2021 natures'!AW110/'4.1 Comptes 2021 natures'!AW2</f>
        <v>21.1156462585034</v>
      </c>
      <c r="AX110" s="4">
        <f>'4.1 Comptes 2021 natures'!AX110/'4.1 Comptes 2021 natures'!AX2</f>
        <v>0</v>
      </c>
      <c r="AY110" s="4">
        <f>'4.1 Comptes 2021 natures'!AY110/'4.1 Comptes 2021 natures'!AY2</f>
        <v>0</v>
      </c>
      <c r="AZ110" s="4">
        <f>'4.1 Comptes 2021 natures'!AZ110/'4.1 Comptes 2021 natures'!AZ2</f>
        <v>11.3877430760165</v>
      </c>
      <c r="BA110" s="4">
        <f>'4.1 Comptes 2021 natures'!BA110/'4.1 Comptes 2021 natures'!BA2</f>
        <v>0.10256410256410256</v>
      </c>
      <c r="BB110" s="4">
        <f>'4.1 Comptes 2021 natures'!BB110/'4.1 Comptes 2021 natures'!BB2</f>
        <v>7.3578751164958058</v>
      </c>
      <c r="BC110" s="4">
        <f>'4.1 Comptes 2021 natures'!BC110/'4.1 Comptes 2021 natures'!BC2</f>
        <v>0</v>
      </c>
      <c r="BD110" s="4">
        <f>'4.1 Comptes 2021 natures'!BD110/'4.1 Comptes 2021 natures'!BD2</f>
        <v>156.58153417878131</v>
      </c>
      <c r="BE110" s="4">
        <f>'4.1 Comptes 2021 natures'!BE110/'4.1 Comptes 2021 natures'!BE2</f>
        <v>28.922182468694096</v>
      </c>
      <c r="BF110" s="4">
        <f t="shared" si="68"/>
        <v>880.85274235393013</v>
      </c>
      <c r="BG110" s="4">
        <f t="shared" si="69"/>
        <v>305.68782711274758</v>
      </c>
      <c r="BH110" s="4">
        <f t="shared" si="70"/>
        <v>273.01242302236773</v>
      </c>
      <c r="BI110" s="4">
        <f t="shared" si="71"/>
        <v>302.15249221881476</v>
      </c>
    </row>
    <row r="111" spans="2:61" x14ac:dyDescent="0.25">
      <c r="C111">
        <v>445</v>
      </c>
      <c r="D111" t="s">
        <v>167</v>
      </c>
      <c r="E111" s="4">
        <f>'4.1 Comptes 2021 natures'!E111/'4.1 Comptes 2021 natures'!E2</f>
        <v>0</v>
      </c>
      <c r="F111" s="4">
        <f>'4.1 Comptes 2021 natures'!F111/'4.1 Comptes 2021 natures'!F2</f>
        <v>0</v>
      </c>
      <c r="G111" s="4">
        <f>'4.1 Comptes 2021 natures'!G111/'4.1 Comptes 2021 natures'!G2</f>
        <v>0</v>
      </c>
      <c r="H111" s="4">
        <f>'4.1 Comptes 2021 natures'!H111/'4.1 Comptes 2021 natures'!H2</f>
        <v>0</v>
      </c>
      <c r="I111" s="4">
        <f>'4.1 Comptes 2021 natures'!I111/'4.1 Comptes 2021 natures'!I2</f>
        <v>0</v>
      </c>
      <c r="J111" s="4">
        <f>'4.1 Comptes 2021 natures'!J111/'4.1 Comptes 2021 natures'!J2</f>
        <v>0</v>
      </c>
      <c r="K111" s="4">
        <f>'4.1 Comptes 2021 natures'!K111/'4.1 Comptes 2021 natures'!K2</f>
        <v>0</v>
      </c>
      <c r="L111" s="4">
        <f>'4.1 Comptes 2021 natures'!L111/'4.1 Comptes 2021 natures'!L2</f>
        <v>14.470630659507973</v>
      </c>
      <c r="M111" s="4">
        <f>'4.1 Comptes 2021 natures'!M111/'4.1 Comptes 2021 natures'!M2</f>
        <v>0</v>
      </c>
      <c r="N111" s="4">
        <f>'4.1 Comptes 2021 natures'!N111/'4.1 Comptes 2021 natures'!N2</f>
        <v>0</v>
      </c>
      <c r="O111" s="4">
        <f>'4.1 Comptes 2021 natures'!O111/'4.1 Comptes 2021 natures'!O2</f>
        <v>0</v>
      </c>
      <c r="P111" s="4">
        <f>'4.1 Comptes 2021 natures'!P111/'4.1 Comptes 2021 natures'!P2</f>
        <v>0</v>
      </c>
      <c r="Q111" s="4">
        <f>'4.1 Comptes 2021 natures'!Q111/'4.1 Comptes 2021 natures'!Q2</f>
        <v>0</v>
      </c>
      <c r="R111" s="4">
        <f>'4.1 Comptes 2021 natures'!R111/'4.1 Comptes 2021 natures'!R2</f>
        <v>0</v>
      </c>
      <c r="S111" s="4">
        <f>'4.1 Comptes 2021 natures'!S111/'4.1 Comptes 2021 natures'!S2</f>
        <v>0</v>
      </c>
      <c r="T111" s="4">
        <f>'4.1 Comptes 2021 natures'!T111/'4.1 Comptes 2021 natures'!T2</f>
        <v>0</v>
      </c>
      <c r="U111" s="4">
        <f>'4.1 Comptes 2021 natures'!U111/'4.1 Comptes 2021 natures'!U2</f>
        <v>0</v>
      </c>
      <c r="V111" s="4">
        <f>'4.1 Comptes 2021 natures'!V111/'4.1 Comptes 2021 natures'!V2</f>
        <v>0</v>
      </c>
      <c r="W111" s="4">
        <f>'4.1 Comptes 2021 natures'!W111/'4.1 Comptes 2021 natures'!W2</f>
        <v>0</v>
      </c>
      <c r="X111" s="4">
        <f>'4.1 Comptes 2021 natures'!X111/'4.1 Comptes 2021 natures'!X2</f>
        <v>0</v>
      </c>
      <c r="Y111" s="4">
        <f>'4.1 Comptes 2021 natures'!Y111/'4.1 Comptes 2021 natures'!Y2</f>
        <v>0</v>
      </c>
      <c r="Z111" s="4">
        <f>'4.1 Comptes 2021 natures'!Z111/'4.1 Comptes 2021 natures'!Z2</f>
        <v>0</v>
      </c>
      <c r="AA111" s="4">
        <f>'4.1 Comptes 2021 natures'!AA111/'4.1 Comptes 2021 natures'!AA2</f>
        <v>0</v>
      </c>
      <c r="AB111" s="4">
        <f>'4.1 Comptes 2021 natures'!AB111/'4.1 Comptes 2021 natures'!AB2</f>
        <v>0</v>
      </c>
      <c r="AC111" s="4">
        <f>'4.1 Comptes 2021 natures'!AC111/'4.1 Comptes 2021 natures'!AC2</f>
        <v>0</v>
      </c>
      <c r="AD111" s="4">
        <f>'4.1 Comptes 2021 natures'!AD111/'4.1 Comptes 2021 natures'!AD2</f>
        <v>0</v>
      </c>
      <c r="AE111" s="4">
        <f>'4.1 Comptes 2021 natures'!AE111/'4.1 Comptes 2021 natures'!AE2</f>
        <v>0</v>
      </c>
      <c r="AF111" s="4">
        <f>'4.1 Comptes 2021 natures'!AF111/'4.1 Comptes 2021 natures'!AF2</f>
        <v>0</v>
      </c>
      <c r="AG111" s="4">
        <f>'4.1 Comptes 2021 natures'!AG111/'4.1 Comptes 2021 natures'!AG2</f>
        <v>0</v>
      </c>
      <c r="AH111" s="4">
        <f>'4.1 Comptes 2021 natures'!AH111/'4.1 Comptes 2021 natures'!AH2</f>
        <v>0</v>
      </c>
      <c r="AI111" s="4">
        <f>'4.1 Comptes 2021 natures'!AI111/'4.1 Comptes 2021 natures'!AI2</f>
        <v>0</v>
      </c>
      <c r="AJ111" s="4">
        <f>'4.1 Comptes 2021 natures'!AJ111/'4.1 Comptes 2021 natures'!AJ2</f>
        <v>0</v>
      </c>
      <c r="AK111" s="4">
        <f>'4.1 Comptes 2021 natures'!AK111/'4.1 Comptes 2021 natures'!AK2</f>
        <v>0</v>
      </c>
      <c r="AL111" s="4">
        <f>'4.1 Comptes 2021 natures'!AL111/'4.1 Comptes 2021 natures'!AL2</f>
        <v>397.02206927175843</v>
      </c>
      <c r="AM111" s="4">
        <f>'4.1 Comptes 2021 natures'!AM111/'4.1 Comptes 2021 natures'!AM2</f>
        <v>0</v>
      </c>
      <c r="AN111" s="4">
        <f>'4.1 Comptes 2021 natures'!AN111/'4.1 Comptes 2021 natures'!AN2</f>
        <v>0.21538461538461537</v>
      </c>
      <c r="AO111" s="4">
        <f>'4.1 Comptes 2021 natures'!AO111/'4.1 Comptes 2021 natures'!AO2</f>
        <v>0</v>
      </c>
      <c r="AP111" s="4">
        <f>'4.1 Comptes 2021 natures'!AP111/'4.1 Comptes 2021 natures'!AP2</f>
        <v>0</v>
      </c>
      <c r="AQ111" s="4">
        <f>'4.1 Comptes 2021 natures'!AQ111/'4.1 Comptes 2021 natures'!AQ2</f>
        <v>0</v>
      </c>
      <c r="AR111" s="4">
        <f>'4.1 Comptes 2021 natures'!AR111/'4.1 Comptes 2021 natures'!AR2</f>
        <v>0</v>
      </c>
      <c r="AS111" s="4">
        <f>'4.1 Comptes 2021 natures'!AS111/'4.1 Comptes 2021 natures'!AS2</f>
        <v>0</v>
      </c>
      <c r="AT111" s="4">
        <f>'4.1 Comptes 2021 natures'!AT111/'4.1 Comptes 2021 natures'!AT2</f>
        <v>0</v>
      </c>
      <c r="AU111" s="4">
        <f>'4.1 Comptes 2021 natures'!AU111/'4.1 Comptes 2021 natures'!AU2</f>
        <v>0</v>
      </c>
      <c r="AV111" s="4">
        <f>'4.1 Comptes 2021 natures'!AV111/'4.1 Comptes 2021 natures'!AV2</f>
        <v>0</v>
      </c>
      <c r="AW111" s="4">
        <f>'4.1 Comptes 2021 natures'!AW111/'4.1 Comptes 2021 natures'!AW2</f>
        <v>0</v>
      </c>
      <c r="AX111" s="4">
        <f>'4.1 Comptes 2021 natures'!AX111/'4.1 Comptes 2021 natures'!AX2</f>
        <v>0</v>
      </c>
      <c r="AY111" s="4">
        <f>'4.1 Comptes 2021 natures'!AY111/'4.1 Comptes 2021 natures'!AY2</f>
        <v>0</v>
      </c>
      <c r="AZ111" s="4">
        <f>'4.1 Comptes 2021 natures'!AZ111/'4.1 Comptes 2021 natures'!AZ2</f>
        <v>0</v>
      </c>
      <c r="BA111" s="4">
        <f>'4.1 Comptes 2021 natures'!BA111/'4.1 Comptes 2021 natures'!BA2</f>
        <v>0</v>
      </c>
      <c r="BB111" s="4">
        <f>'4.1 Comptes 2021 natures'!BB111/'4.1 Comptes 2021 natures'!BB2</f>
        <v>0</v>
      </c>
      <c r="BC111" s="4">
        <f>'4.1 Comptes 2021 natures'!BC111/'4.1 Comptes 2021 natures'!BC2</f>
        <v>0</v>
      </c>
      <c r="BD111" s="4">
        <f>'4.1 Comptes 2021 natures'!BD111/'4.1 Comptes 2021 natures'!BD2</f>
        <v>0</v>
      </c>
      <c r="BE111" s="4">
        <f>'4.1 Comptes 2021 natures'!BE111/'4.1 Comptes 2021 natures'!BE2</f>
        <v>0</v>
      </c>
      <c r="BF111" s="4">
        <f t="shared" si="68"/>
        <v>411.70808454665098</v>
      </c>
      <c r="BG111" s="4">
        <f t="shared" si="69"/>
        <v>14.470630659507973</v>
      </c>
      <c r="BH111" s="4">
        <f t="shared" si="70"/>
        <v>0</v>
      </c>
      <c r="BI111" s="4">
        <f t="shared" si="71"/>
        <v>397.23745388714303</v>
      </c>
    </row>
    <row r="112" spans="2:61" x14ac:dyDescent="0.25">
      <c r="C112">
        <v>446</v>
      </c>
      <c r="D112" t="s">
        <v>168</v>
      </c>
      <c r="E112" s="4">
        <f>'4.1 Comptes 2021 natures'!E112/'4.1 Comptes 2021 natures'!E2</f>
        <v>0</v>
      </c>
      <c r="F112" s="4">
        <f>'4.1 Comptes 2021 natures'!F112/'4.1 Comptes 2021 natures'!F2</f>
        <v>0</v>
      </c>
      <c r="G112" s="4">
        <f>'4.1 Comptes 2021 natures'!G112/'4.1 Comptes 2021 natures'!G2</f>
        <v>0</v>
      </c>
      <c r="H112" s="4">
        <f>'4.1 Comptes 2021 natures'!H112/'4.1 Comptes 2021 natures'!H2</f>
        <v>0</v>
      </c>
      <c r="I112" s="4">
        <f>'4.1 Comptes 2021 natures'!I112/'4.1 Comptes 2021 natures'!I2</f>
        <v>0</v>
      </c>
      <c r="J112" s="4">
        <f>'4.1 Comptes 2021 natures'!J112/'4.1 Comptes 2021 natures'!J2</f>
        <v>0</v>
      </c>
      <c r="K112" s="4">
        <f>'4.1 Comptes 2021 natures'!K112/'4.1 Comptes 2021 natures'!K2</f>
        <v>0</v>
      </c>
      <c r="L112" s="4">
        <f>'4.1 Comptes 2021 natures'!L112/'4.1 Comptes 2021 natures'!L2</f>
        <v>0</v>
      </c>
      <c r="M112" s="4">
        <f>'4.1 Comptes 2021 natures'!M112/'4.1 Comptes 2021 natures'!M2</f>
        <v>0</v>
      </c>
      <c r="N112" s="4">
        <f>'4.1 Comptes 2021 natures'!N112/'4.1 Comptes 2021 natures'!N2</f>
        <v>0</v>
      </c>
      <c r="O112" s="4">
        <f>'4.1 Comptes 2021 natures'!O112/'4.1 Comptes 2021 natures'!O2</f>
        <v>0</v>
      </c>
      <c r="P112" s="4">
        <f>'4.1 Comptes 2021 natures'!P112/'4.1 Comptes 2021 natures'!P2</f>
        <v>0</v>
      </c>
      <c r="Q112" s="4">
        <f>'4.1 Comptes 2021 natures'!Q112/'4.1 Comptes 2021 natures'!Q2</f>
        <v>0</v>
      </c>
      <c r="R112" s="4">
        <f>'4.1 Comptes 2021 natures'!R112/'4.1 Comptes 2021 natures'!R2</f>
        <v>0</v>
      </c>
      <c r="S112" s="4">
        <f>'4.1 Comptes 2021 natures'!S112/'4.1 Comptes 2021 natures'!S2</f>
        <v>0</v>
      </c>
      <c r="T112" s="4">
        <f>'4.1 Comptes 2021 natures'!T112/'4.1 Comptes 2021 natures'!T2</f>
        <v>0</v>
      </c>
      <c r="U112" s="4">
        <f>'4.1 Comptes 2021 natures'!U112/'4.1 Comptes 2021 natures'!U2</f>
        <v>0</v>
      </c>
      <c r="V112" s="4">
        <f>'4.1 Comptes 2021 natures'!V112/'4.1 Comptes 2021 natures'!V2</f>
        <v>0</v>
      </c>
      <c r="W112" s="4">
        <f>'4.1 Comptes 2021 natures'!W112/'4.1 Comptes 2021 natures'!W2</f>
        <v>0</v>
      </c>
      <c r="X112" s="4">
        <f>'4.1 Comptes 2021 natures'!X112/'4.1 Comptes 2021 natures'!X2</f>
        <v>0</v>
      </c>
      <c r="Y112" s="4">
        <f>'4.1 Comptes 2021 natures'!Y112/'4.1 Comptes 2021 natures'!Y2</f>
        <v>0</v>
      </c>
      <c r="Z112" s="4">
        <f>'4.1 Comptes 2021 natures'!Z112/'4.1 Comptes 2021 natures'!Z2</f>
        <v>0</v>
      </c>
      <c r="AA112" s="4">
        <f>'4.1 Comptes 2021 natures'!AA112/'4.1 Comptes 2021 natures'!AA2</f>
        <v>0</v>
      </c>
      <c r="AB112" s="4">
        <f>'4.1 Comptes 2021 natures'!AB112/'4.1 Comptes 2021 natures'!AB2</f>
        <v>0</v>
      </c>
      <c r="AC112" s="4">
        <f>'4.1 Comptes 2021 natures'!AC112/'4.1 Comptes 2021 natures'!AC2</f>
        <v>0</v>
      </c>
      <c r="AD112" s="4">
        <f>'4.1 Comptes 2021 natures'!AD112/'4.1 Comptes 2021 natures'!AD2</f>
        <v>0</v>
      </c>
      <c r="AE112" s="4">
        <f>'4.1 Comptes 2021 natures'!AE112/'4.1 Comptes 2021 natures'!AE2</f>
        <v>0</v>
      </c>
      <c r="AF112" s="4">
        <f>'4.1 Comptes 2021 natures'!AF112/'4.1 Comptes 2021 natures'!AF2</f>
        <v>0</v>
      </c>
      <c r="AG112" s="4">
        <f>'4.1 Comptes 2021 natures'!AG112/'4.1 Comptes 2021 natures'!AG2</f>
        <v>0</v>
      </c>
      <c r="AH112" s="4">
        <f>'4.1 Comptes 2021 natures'!AH112/'4.1 Comptes 2021 natures'!AH2</f>
        <v>0</v>
      </c>
      <c r="AI112" s="4">
        <f>'4.1 Comptes 2021 natures'!AI112/'4.1 Comptes 2021 natures'!AI2</f>
        <v>0</v>
      </c>
      <c r="AJ112" s="4">
        <f>'4.1 Comptes 2021 natures'!AJ112/'4.1 Comptes 2021 natures'!AJ2</f>
        <v>0</v>
      </c>
      <c r="AK112" s="4">
        <f>'4.1 Comptes 2021 natures'!AK112/'4.1 Comptes 2021 natures'!AK2</f>
        <v>0</v>
      </c>
      <c r="AL112" s="4">
        <f>'4.1 Comptes 2021 natures'!AL112/'4.1 Comptes 2021 natures'!AL2</f>
        <v>0</v>
      </c>
      <c r="AM112" s="4">
        <f>'4.1 Comptes 2021 natures'!AM112/'4.1 Comptes 2021 natures'!AM2</f>
        <v>0</v>
      </c>
      <c r="AN112" s="4">
        <f>'4.1 Comptes 2021 natures'!AN112/'4.1 Comptes 2021 natures'!AN2</f>
        <v>0</v>
      </c>
      <c r="AO112" s="4">
        <f>'4.1 Comptes 2021 natures'!AO112/'4.1 Comptes 2021 natures'!AO2</f>
        <v>0</v>
      </c>
      <c r="AP112" s="4">
        <f>'4.1 Comptes 2021 natures'!AP112/'4.1 Comptes 2021 natures'!AP2</f>
        <v>0</v>
      </c>
      <c r="AQ112" s="4">
        <f>'4.1 Comptes 2021 natures'!AQ112/'4.1 Comptes 2021 natures'!AQ2</f>
        <v>0</v>
      </c>
      <c r="AR112" s="4">
        <f>'4.1 Comptes 2021 natures'!AR112/'4.1 Comptes 2021 natures'!AR2</f>
        <v>0</v>
      </c>
      <c r="AS112" s="4">
        <f>'4.1 Comptes 2021 natures'!AS112/'4.1 Comptes 2021 natures'!AS2</f>
        <v>0</v>
      </c>
      <c r="AT112" s="4">
        <f>'4.1 Comptes 2021 natures'!AT112/'4.1 Comptes 2021 natures'!AT2</f>
        <v>0</v>
      </c>
      <c r="AU112" s="4">
        <f>'4.1 Comptes 2021 natures'!AU112/'4.1 Comptes 2021 natures'!AU2</f>
        <v>0</v>
      </c>
      <c r="AV112" s="4">
        <f>'4.1 Comptes 2021 natures'!AV112/'4.1 Comptes 2021 natures'!AV2</f>
        <v>0</v>
      </c>
      <c r="AW112" s="4">
        <f>'4.1 Comptes 2021 natures'!AW112/'4.1 Comptes 2021 natures'!AW2</f>
        <v>0</v>
      </c>
      <c r="AX112" s="4">
        <f>'4.1 Comptes 2021 natures'!AX112/'4.1 Comptes 2021 natures'!AX2</f>
        <v>0</v>
      </c>
      <c r="AY112" s="4">
        <f>'4.1 Comptes 2021 natures'!AY112/'4.1 Comptes 2021 natures'!AY2</f>
        <v>0</v>
      </c>
      <c r="AZ112" s="4">
        <f>'4.1 Comptes 2021 natures'!AZ112/'4.1 Comptes 2021 natures'!AZ2</f>
        <v>0</v>
      </c>
      <c r="BA112" s="4">
        <f>'4.1 Comptes 2021 natures'!BA112/'4.1 Comptes 2021 natures'!BA2</f>
        <v>0</v>
      </c>
      <c r="BB112" s="4">
        <f>'4.1 Comptes 2021 natures'!BB112/'4.1 Comptes 2021 natures'!BB2</f>
        <v>0</v>
      </c>
      <c r="BC112" s="4">
        <f>'4.1 Comptes 2021 natures'!BC112/'4.1 Comptes 2021 natures'!BC2</f>
        <v>0</v>
      </c>
      <c r="BD112" s="4">
        <f>'4.1 Comptes 2021 natures'!BD112/'4.1 Comptes 2021 natures'!BD2</f>
        <v>0</v>
      </c>
      <c r="BE112" s="4">
        <f>'4.1 Comptes 2021 natures'!BE112/'4.1 Comptes 2021 natures'!BE2</f>
        <v>0</v>
      </c>
      <c r="BF112" s="4">
        <f t="shared" si="68"/>
        <v>0</v>
      </c>
      <c r="BG112" s="4">
        <f t="shared" si="69"/>
        <v>0</v>
      </c>
      <c r="BH112" s="4">
        <f t="shared" si="70"/>
        <v>0</v>
      </c>
      <c r="BI112" s="4">
        <f t="shared" si="71"/>
        <v>0</v>
      </c>
    </row>
    <row r="113" spans="2:61" x14ac:dyDescent="0.25">
      <c r="C113">
        <v>447</v>
      </c>
      <c r="D113" t="s">
        <v>169</v>
      </c>
      <c r="E113" s="4">
        <f>'4.1 Comptes 2021 natures'!E113/'4.1 Comptes 2021 natures'!E2</f>
        <v>1.5701161562829991</v>
      </c>
      <c r="F113" s="4">
        <f>'4.1 Comptes 2021 natures'!F113/'4.1 Comptes 2021 natures'!F2</f>
        <v>6</v>
      </c>
      <c r="G113" s="4">
        <f>'4.1 Comptes 2021 natures'!G113/'4.1 Comptes 2021 natures'!G2</f>
        <v>4.8614072494669509</v>
      </c>
      <c r="H113" s="4">
        <f>'4.1 Comptes 2021 natures'!H113/'4.1 Comptes 2021 natures'!H2</f>
        <v>114.57858769931663</v>
      </c>
      <c r="I113" s="4">
        <f>'4.1 Comptes 2021 natures'!I113/'4.1 Comptes 2021 natures'!I2</f>
        <v>19.518025751072962</v>
      </c>
      <c r="J113" s="4">
        <f>'4.1 Comptes 2021 natures'!J113/'4.1 Comptes 2021 natures'!J2</f>
        <v>12.941330343796711</v>
      </c>
      <c r="K113" s="4">
        <f>'4.1 Comptes 2021 natures'!K113/'4.1 Comptes 2021 natures'!K2</f>
        <v>37.677224736048267</v>
      </c>
      <c r="L113" s="4">
        <f>'4.1 Comptes 2021 natures'!L113/'4.1 Comptes 2021 natures'!L2</f>
        <v>99.70989021556214</v>
      </c>
      <c r="M113" s="4">
        <f>'4.1 Comptes 2021 natures'!M113/'4.1 Comptes 2021 natures'!M2</f>
        <v>14.356144223693892</v>
      </c>
      <c r="N113" s="4">
        <f>'4.1 Comptes 2021 natures'!N113/'4.1 Comptes 2021 natures'!N2</f>
        <v>5.1282051282051286</v>
      </c>
      <c r="O113" s="4">
        <f>'4.1 Comptes 2021 natures'!O113/'4.1 Comptes 2021 natures'!O2</f>
        <v>25.24938025065418</v>
      </c>
      <c r="P113" s="4">
        <f>'4.1 Comptes 2021 natures'!P113/'4.1 Comptes 2021 natures'!P2</f>
        <v>71.226765799256512</v>
      </c>
      <c r="Q113" s="4">
        <f>'4.1 Comptes 2021 natures'!Q113/'4.1 Comptes 2021 natures'!Q2</f>
        <v>44.864864864864863</v>
      </c>
      <c r="R113" s="4">
        <f>'4.1 Comptes 2021 natures'!R113/'4.1 Comptes 2021 natures'!R2</f>
        <v>10.921733966745844</v>
      </c>
      <c r="S113" s="4">
        <f>'4.1 Comptes 2021 natures'!S113/'4.1 Comptes 2021 natures'!S2</f>
        <v>0.34682080924855491</v>
      </c>
      <c r="T113" s="4">
        <f>'4.1 Comptes 2021 natures'!T113/'4.1 Comptes 2021 natures'!T2</f>
        <v>3.0985915492957745</v>
      </c>
      <c r="U113" s="4">
        <f>'4.1 Comptes 2021 natures'!U113/'4.1 Comptes 2021 natures'!U2</f>
        <v>116.75836431226766</v>
      </c>
      <c r="V113" s="4">
        <f>'4.1 Comptes 2021 natures'!V113/'4.1 Comptes 2021 natures'!V2</f>
        <v>69.595454545454544</v>
      </c>
      <c r="W113" s="4">
        <f>'4.1 Comptes 2021 natures'!W113/'4.1 Comptes 2021 natures'!W2</f>
        <v>59.150681325487767</v>
      </c>
      <c r="X113" s="4">
        <f>'4.1 Comptes 2021 natures'!X113/'4.1 Comptes 2021 natures'!X2</f>
        <v>156.54193548387096</v>
      </c>
      <c r="Y113" s="4">
        <f>'4.1 Comptes 2021 natures'!Y113/'4.1 Comptes 2021 natures'!Y2</f>
        <v>15.661220472440945</v>
      </c>
      <c r="Z113" s="4">
        <f>'4.1 Comptes 2021 natures'!Z113/'4.1 Comptes 2021 natures'!Z2</f>
        <v>12.114442231075696</v>
      </c>
      <c r="AA113" s="4">
        <f>'4.1 Comptes 2021 natures'!AA113/'4.1 Comptes 2021 natures'!AA2</f>
        <v>151.76041666666666</v>
      </c>
      <c r="AB113" s="4">
        <f>'4.1 Comptes 2021 natures'!AB113/'4.1 Comptes 2021 natures'!AB2</f>
        <v>0</v>
      </c>
      <c r="AC113" s="4">
        <f>'4.1 Comptes 2021 natures'!AC113/'4.1 Comptes 2021 natures'!AC2</f>
        <v>66.41332046332046</v>
      </c>
      <c r="AD113" s="4">
        <f>'4.1 Comptes 2021 natures'!AD113/'4.1 Comptes 2021 natures'!AD2</f>
        <v>81.677318116975755</v>
      </c>
      <c r="AE113" s="4">
        <f>'4.1 Comptes 2021 natures'!AE113/'4.1 Comptes 2021 natures'!AE2</f>
        <v>13.457446808510639</v>
      </c>
      <c r="AF113" s="4">
        <f>'4.1 Comptes 2021 natures'!AF113/'4.1 Comptes 2021 natures'!AF2</f>
        <v>72.638095238095232</v>
      </c>
      <c r="AG113" s="4">
        <f>'4.1 Comptes 2021 natures'!AG113/'4.1 Comptes 2021 natures'!AG2</f>
        <v>37.995285489785225</v>
      </c>
      <c r="AH113" s="4">
        <f>'4.1 Comptes 2021 natures'!AH113/'4.1 Comptes 2021 natures'!AH2</f>
        <v>75.165910852713168</v>
      </c>
      <c r="AI113" s="4">
        <f>'4.1 Comptes 2021 natures'!AI113/'4.1 Comptes 2021 natures'!AI2</f>
        <v>120.38198198198198</v>
      </c>
      <c r="AJ113" s="4">
        <f>'4.1 Comptes 2021 natures'!AJ113/'4.1 Comptes 2021 natures'!AJ2</f>
        <v>4.6511627906976747</v>
      </c>
      <c r="AK113" s="4">
        <f>'4.1 Comptes 2021 natures'!AK113/'4.1 Comptes 2021 natures'!AK2</f>
        <v>8.1340560549973553</v>
      </c>
      <c r="AL113" s="4">
        <f>'4.1 Comptes 2021 natures'!AL113/'4.1 Comptes 2021 natures'!AL2</f>
        <v>0</v>
      </c>
      <c r="AM113" s="4">
        <f>'4.1 Comptes 2021 natures'!AM113/'4.1 Comptes 2021 natures'!AM2</f>
        <v>45.857346938775507</v>
      </c>
      <c r="AN113" s="4">
        <f>'4.1 Comptes 2021 natures'!AN113/'4.1 Comptes 2021 natures'!AN2</f>
        <v>89.326068376068378</v>
      </c>
      <c r="AO113" s="4">
        <f>'4.1 Comptes 2021 natures'!AO113/'4.1 Comptes 2021 natures'!AO2</f>
        <v>6.5278902953586497</v>
      </c>
      <c r="AP113" s="4">
        <f>'4.1 Comptes 2021 natures'!AP113/'4.1 Comptes 2021 natures'!AP2</f>
        <v>110.35049844236761</v>
      </c>
      <c r="AQ113" s="4">
        <f>'4.1 Comptes 2021 natures'!AQ113/'4.1 Comptes 2021 natures'!AQ2</f>
        <v>36.198104265402847</v>
      </c>
      <c r="AR113" s="4">
        <f>'4.1 Comptes 2021 natures'!AR113/'4.1 Comptes 2021 natures'!AR2</f>
        <v>116.33543613707165</v>
      </c>
      <c r="AS113" s="4">
        <f>'4.1 Comptes 2021 natures'!AS113/'4.1 Comptes 2021 natures'!AS2</f>
        <v>70.773324213406298</v>
      </c>
      <c r="AT113" s="4">
        <f>'4.1 Comptes 2021 natures'!AT113/'4.1 Comptes 2021 natures'!AT2</f>
        <v>67.744143700787404</v>
      </c>
      <c r="AU113" s="4">
        <f>'4.1 Comptes 2021 natures'!AU113/'4.1 Comptes 2021 natures'!AU2</f>
        <v>42.039473684210527</v>
      </c>
      <c r="AV113" s="4">
        <f>'4.1 Comptes 2021 natures'!AV113/'4.1 Comptes 2021 natures'!AV2</f>
        <v>34.456343283582086</v>
      </c>
      <c r="AW113" s="4">
        <f>'4.1 Comptes 2021 natures'!AW113/'4.1 Comptes 2021 natures'!AW2</f>
        <v>16.122448979591837</v>
      </c>
      <c r="AX113" s="4">
        <f>'4.1 Comptes 2021 natures'!AX113/'4.1 Comptes 2021 natures'!AX2</f>
        <v>64.180540540540534</v>
      </c>
      <c r="AY113" s="4">
        <f>'4.1 Comptes 2021 natures'!AY113/'4.1 Comptes 2021 natures'!AY2</f>
        <v>12.74514705882353</v>
      </c>
      <c r="AZ113" s="4">
        <f>'4.1 Comptes 2021 natures'!AZ113/'4.1 Comptes 2021 natures'!AZ2</f>
        <v>27.8918680023571</v>
      </c>
      <c r="BA113" s="4">
        <f>'4.1 Comptes 2021 natures'!BA113/'4.1 Comptes 2021 natures'!BA2</f>
        <v>0.46153846153846156</v>
      </c>
      <c r="BB113" s="4">
        <f>'4.1 Comptes 2021 natures'!BB113/'4.1 Comptes 2021 natures'!BB2</f>
        <v>104.72684063373718</v>
      </c>
      <c r="BC113" s="4">
        <f>'4.1 Comptes 2021 natures'!BC113/'4.1 Comptes 2021 natures'!BC2</f>
        <v>48.688315217391299</v>
      </c>
      <c r="BD113" s="4">
        <f>'4.1 Comptes 2021 natures'!BD113/'4.1 Comptes 2021 natures'!BD2</f>
        <v>140.31755954222083</v>
      </c>
      <c r="BE113" s="4">
        <f>'4.1 Comptes 2021 natures'!BE113/'4.1 Comptes 2021 natures'!BE2</f>
        <v>0</v>
      </c>
      <c r="BF113" s="4">
        <f t="shared" si="68"/>
        <v>2568.8890693510848</v>
      </c>
      <c r="BG113" s="4">
        <f t="shared" si="69"/>
        <v>717.55358892672132</v>
      </c>
      <c r="BH113" s="4">
        <f t="shared" si="70"/>
        <v>808.45853659613442</v>
      </c>
      <c r="BI113" s="4">
        <f t="shared" si="71"/>
        <v>1042.8769438282291</v>
      </c>
    </row>
    <row r="114" spans="2:61" x14ac:dyDescent="0.25">
      <c r="C114">
        <v>448</v>
      </c>
      <c r="D114" t="s">
        <v>170</v>
      </c>
      <c r="E114" s="4">
        <f>'4.1 Comptes 2021 natures'!E114/'4.1 Comptes 2021 natures'!E2</f>
        <v>0</v>
      </c>
      <c r="F114" s="4">
        <f>'4.1 Comptes 2021 natures'!F114/'4.1 Comptes 2021 natures'!F2</f>
        <v>0</v>
      </c>
      <c r="G114" s="4">
        <f>'4.1 Comptes 2021 natures'!G114/'4.1 Comptes 2021 natures'!G2</f>
        <v>0</v>
      </c>
      <c r="H114" s="4">
        <f>'4.1 Comptes 2021 natures'!H114/'4.1 Comptes 2021 natures'!H2</f>
        <v>0</v>
      </c>
      <c r="I114" s="4">
        <f>'4.1 Comptes 2021 natures'!I114/'4.1 Comptes 2021 natures'!I2</f>
        <v>0</v>
      </c>
      <c r="J114" s="4">
        <f>'4.1 Comptes 2021 natures'!J114/'4.1 Comptes 2021 natures'!J2</f>
        <v>0</v>
      </c>
      <c r="K114" s="4">
        <f>'4.1 Comptes 2021 natures'!K114/'4.1 Comptes 2021 natures'!K2</f>
        <v>0</v>
      </c>
      <c r="L114" s="4">
        <f>'4.1 Comptes 2021 natures'!L114/'4.1 Comptes 2021 natures'!L2</f>
        <v>0</v>
      </c>
      <c r="M114" s="4">
        <f>'4.1 Comptes 2021 natures'!M114/'4.1 Comptes 2021 natures'!M2</f>
        <v>0</v>
      </c>
      <c r="N114" s="4">
        <f>'4.1 Comptes 2021 natures'!N114/'4.1 Comptes 2021 natures'!N2</f>
        <v>0</v>
      </c>
      <c r="O114" s="4">
        <f>'4.1 Comptes 2021 natures'!O114/'4.1 Comptes 2021 natures'!O2</f>
        <v>0</v>
      </c>
      <c r="P114" s="4">
        <f>'4.1 Comptes 2021 natures'!P114/'4.1 Comptes 2021 natures'!P2</f>
        <v>0</v>
      </c>
      <c r="Q114" s="4">
        <f>'4.1 Comptes 2021 natures'!Q114/'4.1 Comptes 2021 natures'!Q2</f>
        <v>0</v>
      </c>
      <c r="R114" s="4">
        <f>'4.1 Comptes 2021 natures'!R114/'4.1 Comptes 2021 natures'!R2</f>
        <v>0</v>
      </c>
      <c r="S114" s="4">
        <f>'4.1 Comptes 2021 natures'!S114/'4.1 Comptes 2021 natures'!S2</f>
        <v>0</v>
      </c>
      <c r="T114" s="4">
        <f>'4.1 Comptes 2021 natures'!T114/'4.1 Comptes 2021 natures'!T2</f>
        <v>0</v>
      </c>
      <c r="U114" s="4">
        <f>'4.1 Comptes 2021 natures'!U114/'4.1 Comptes 2021 natures'!U2</f>
        <v>0</v>
      </c>
      <c r="V114" s="4">
        <f>'4.1 Comptes 2021 natures'!V114/'4.1 Comptes 2021 natures'!V2</f>
        <v>0</v>
      </c>
      <c r="W114" s="4">
        <f>'4.1 Comptes 2021 natures'!W114/'4.1 Comptes 2021 natures'!W2</f>
        <v>0</v>
      </c>
      <c r="X114" s="4">
        <f>'4.1 Comptes 2021 natures'!X114/'4.1 Comptes 2021 natures'!X2</f>
        <v>0.4838709677419355</v>
      </c>
      <c r="Y114" s="4">
        <f>'4.1 Comptes 2021 natures'!Y114/'4.1 Comptes 2021 natures'!Y2</f>
        <v>0</v>
      </c>
      <c r="Z114" s="4">
        <f>'4.1 Comptes 2021 natures'!Z114/'4.1 Comptes 2021 natures'!Z2</f>
        <v>0</v>
      </c>
      <c r="AA114" s="4">
        <f>'4.1 Comptes 2021 natures'!AA114/'4.1 Comptes 2021 natures'!AA2</f>
        <v>0</v>
      </c>
      <c r="AB114" s="4">
        <f>'4.1 Comptes 2021 natures'!AB114/'4.1 Comptes 2021 natures'!AB2</f>
        <v>0</v>
      </c>
      <c r="AC114" s="4">
        <f>'4.1 Comptes 2021 natures'!AC114/'4.1 Comptes 2021 natures'!AC2</f>
        <v>0</v>
      </c>
      <c r="AD114" s="4">
        <f>'4.1 Comptes 2021 natures'!AD114/'4.1 Comptes 2021 natures'!AD2</f>
        <v>0</v>
      </c>
      <c r="AE114" s="4">
        <f>'4.1 Comptes 2021 natures'!AE114/'4.1 Comptes 2021 natures'!AE2</f>
        <v>0</v>
      </c>
      <c r="AF114" s="4">
        <f>'4.1 Comptes 2021 natures'!AF114/'4.1 Comptes 2021 natures'!AF2</f>
        <v>0</v>
      </c>
      <c r="AG114" s="4">
        <f>'4.1 Comptes 2021 natures'!AG114/'4.1 Comptes 2021 natures'!AG2</f>
        <v>0</v>
      </c>
      <c r="AH114" s="4">
        <f>'4.1 Comptes 2021 natures'!AH114/'4.1 Comptes 2021 natures'!AH2</f>
        <v>0</v>
      </c>
      <c r="AI114" s="4">
        <f>'4.1 Comptes 2021 natures'!AI114/'4.1 Comptes 2021 natures'!AI2</f>
        <v>0</v>
      </c>
      <c r="AJ114" s="4">
        <f>'4.1 Comptes 2021 natures'!AJ114/'4.1 Comptes 2021 natures'!AJ2</f>
        <v>0</v>
      </c>
      <c r="AK114" s="4">
        <f>'4.1 Comptes 2021 natures'!AK114/'4.1 Comptes 2021 natures'!AK2</f>
        <v>0</v>
      </c>
      <c r="AL114" s="4">
        <f>'4.1 Comptes 2021 natures'!AL114/'4.1 Comptes 2021 natures'!AL2</f>
        <v>0</v>
      </c>
      <c r="AM114" s="4">
        <f>'4.1 Comptes 2021 natures'!AM114/'4.1 Comptes 2021 natures'!AM2</f>
        <v>0</v>
      </c>
      <c r="AN114" s="4">
        <f>'4.1 Comptes 2021 natures'!AN114/'4.1 Comptes 2021 natures'!AN2</f>
        <v>0</v>
      </c>
      <c r="AO114" s="4">
        <f>'4.1 Comptes 2021 natures'!AO114/'4.1 Comptes 2021 natures'!AO2</f>
        <v>0</v>
      </c>
      <c r="AP114" s="4">
        <f>'4.1 Comptes 2021 natures'!AP114/'4.1 Comptes 2021 natures'!AP2</f>
        <v>0</v>
      </c>
      <c r="AQ114" s="4">
        <f>'4.1 Comptes 2021 natures'!AQ114/'4.1 Comptes 2021 natures'!AQ2</f>
        <v>0</v>
      </c>
      <c r="AR114" s="4">
        <f>'4.1 Comptes 2021 natures'!AR114/'4.1 Comptes 2021 natures'!AR2</f>
        <v>0</v>
      </c>
      <c r="AS114" s="4">
        <f>'4.1 Comptes 2021 natures'!AS114/'4.1 Comptes 2021 natures'!AS2</f>
        <v>0</v>
      </c>
      <c r="AT114" s="4">
        <f>'4.1 Comptes 2021 natures'!AT114/'4.1 Comptes 2021 natures'!AT2</f>
        <v>0</v>
      </c>
      <c r="AU114" s="4">
        <f>'4.1 Comptes 2021 natures'!AU114/'4.1 Comptes 2021 natures'!AU2</f>
        <v>0</v>
      </c>
      <c r="AV114" s="4">
        <f>'4.1 Comptes 2021 natures'!AV114/'4.1 Comptes 2021 natures'!AV2</f>
        <v>0</v>
      </c>
      <c r="AW114" s="4">
        <f>'4.1 Comptes 2021 natures'!AW114/'4.1 Comptes 2021 natures'!AW2</f>
        <v>0</v>
      </c>
      <c r="AX114" s="4">
        <f>'4.1 Comptes 2021 natures'!AX114/'4.1 Comptes 2021 natures'!AX2</f>
        <v>0</v>
      </c>
      <c r="AY114" s="4">
        <f>'4.1 Comptes 2021 natures'!AY114/'4.1 Comptes 2021 natures'!AY2</f>
        <v>0</v>
      </c>
      <c r="AZ114" s="4">
        <f>'4.1 Comptes 2021 natures'!AZ114/'4.1 Comptes 2021 natures'!AZ2</f>
        <v>0</v>
      </c>
      <c r="BA114" s="4">
        <f>'4.1 Comptes 2021 natures'!BA114/'4.1 Comptes 2021 natures'!BA2</f>
        <v>0</v>
      </c>
      <c r="BB114" s="4">
        <f>'4.1 Comptes 2021 natures'!BB114/'4.1 Comptes 2021 natures'!BB2</f>
        <v>0</v>
      </c>
      <c r="BC114" s="4">
        <f>'4.1 Comptes 2021 natures'!BC114/'4.1 Comptes 2021 natures'!BC2</f>
        <v>0</v>
      </c>
      <c r="BD114" s="4">
        <f>'4.1 Comptes 2021 natures'!BD114/'4.1 Comptes 2021 natures'!BD2</f>
        <v>0</v>
      </c>
      <c r="BE114" s="4">
        <f>'4.1 Comptes 2021 natures'!BE114/'4.1 Comptes 2021 natures'!BE2</f>
        <v>0</v>
      </c>
      <c r="BF114" s="4">
        <f t="shared" si="68"/>
        <v>0.4838709677419355</v>
      </c>
      <c r="BG114" s="4">
        <f t="shared" si="69"/>
        <v>0</v>
      </c>
      <c r="BH114" s="4">
        <f t="shared" si="70"/>
        <v>0.4838709677419355</v>
      </c>
      <c r="BI114" s="4">
        <f t="shared" si="71"/>
        <v>0</v>
      </c>
    </row>
    <row r="115" spans="2:61" x14ac:dyDescent="0.25">
      <c r="C115">
        <v>449</v>
      </c>
      <c r="D115" t="s">
        <v>171</v>
      </c>
      <c r="E115" s="4">
        <f>'4.1 Comptes 2021 natures'!E115/'4.1 Comptes 2021 natures'!E2</f>
        <v>0</v>
      </c>
      <c r="F115" s="4">
        <f>'4.1 Comptes 2021 natures'!F115/'4.1 Comptes 2021 natures'!F2</f>
        <v>0</v>
      </c>
      <c r="G115" s="4">
        <f>'4.1 Comptes 2021 natures'!G115/'4.1 Comptes 2021 natures'!G2</f>
        <v>0</v>
      </c>
      <c r="H115" s="4">
        <f>'4.1 Comptes 2021 natures'!H115/'4.1 Comptes 2021 natures'!H2</f>
        <v>0</v>
      </c>
      <c r="I115" s="4">
        <f>'4.1 Comptes 2021 natures'!I115/'4.1 Comptes 2021 natures'!I2</f>
        <v>-0.19894581545064377</v>
      </c>
      <c r="J115" s="4">
        <f>'4.1 Comptes 2021 natures'!J115/'4.1 Comptes 2021 natures'!J2</f>
        <v>0.25411061285500747</v>
      </c>
      <c r="K115" s="4">
        <f>'4.1 Comptes 2021 natures'!K115/'4.1 Comptes 2021 natures'!K2</f>
        <v>0</v>
      </c>
      <c r="L115" s="4">
        <f>'4.1 Comptes 2021 natures'!L115/'4.1 Comptes 2021 natures'!L2</f>
        <v>0</v>
      </c>
      <c r="M115" s="4">
        <f>'4.1 Comptes 2021 natures'!M115/'4.1 Comptes 2021 natures'!M2</f>
        <v>0</v>
      </c>
      <c r="N115" s="4">
        <f>'4.1 Comptes 2021 natures'!N115/'4.1 Comptes 2021 natures'!N2</f>
        <v>0</v>
      </c>
      <c r="O115" s="4">
        <f>'4.1 Comptes 2021 natures'!O115/'4.1 Comptes 2021 natures'!O2</f>
        <v>0.61855254097231793</v>
      </c>
      <c r="P115" s="4">
        <f>'4.1 Comptes 2021 natures'!P115/'4.1 Comptes 2021 natures'!P2</f>
        <v>0</v>
      </c>
      <c r="Q115" s="4">
        <f>'4.1 Comptes 2021 natures'!Q115/'4.1 Comptes 2021 natures'!Q2</f>
        <v>0</v>
      </c>
      <c r="R115" s="4">
        <f>'4.1 Comptes 2021 natures'!R115/'4.1 Comptes 2021 natures'!R2</f>
        <v>0</v>
      </c>
      <c r="S115" s="4">
        <f>'4.1 Comptes 2021 natures'!S115/'4.1 Comptes 2021 natures'!S2</f>
        <v>0</v>
      </c>
      <c r="T115" s="4">
        <f>'4.1 Comptes 2021 natures'!T115/'4.1 Comptes 2021 natures'!T2</f>
        <v>0</v>
      </c>
      <c r="U115" s="4">
        <f>'4.1 Comptes 2021 natures'!U115/'4.1 Comptes 2021 natures'!U2</f>
        <v>0</v>
      </c>
      <c r="V115" s="4">
        <f>'4.1 Comptes 2021 natures'!V115/'4.1 Comptes 2021 natures'!V2</f>
        <v>0</v>
      </c>
      <c r="W115" s="4">
        <f>'4.1 Comptes 2021 natures'!W115/'4.1 Comptes 2021 natures'!W2</f>
        <v>0</v>
      </c>
      <c r="X115" s="4">
        <f>'4.1 Comptes 2021 natures'!X115/'4.1 Comptes 2021 natures'!X2</f>
        <v>0</v>
      </c>
      <c r="Y115" s="4">
        <f>'4.1 Comptes 2021 natures'!Y115/'4.1 Comptes 2021 natures'!Y2</f>
        <v>0</v>
      </c>
      <c r="Z115" s="4">
        <f>'4.1 Comptes 2021 natures'!Z115/'4.1 Comptes 2021 natures'!Z2</f>
        <v>-0.11670650730411686</v>
      </c>
      <c r="AA115" s="4">
        <f>'4.1 Comptes 2021 natures'!AA115/'4.1 Comptes 2021 natures'!AA2</f>
        <v>0</v>
      </c>
      <c r="AB115" s="4">
        <f>'4.1 Comptes 2021 natures'!AB115/'4.1 Comptes 2021 natures'!AB2</f>
        <v>0</v>
      </c>
      <c r="AC115" s="4">
        <f>'4.1 Comptes 2021 natures'!AC115/'4.1 Comptes 2021 natures'!AC2</f>
        <v>0</v>
      </c>
      <c r="AD115" s="4">
        <f>'4.1 Comptes 2021 natures'!AD115/'4.1 Comptes 2021 natures'!AD2</f>
        <v>0</v>
      </c>
      <c r="AE115" s="4">
        <f>'4.1 Comptes 2021 natures'!AE115/'4.1 Comptes 2021 natures'!AE2</f>
        <v>0</v>
      </c>
      <c r="AF115" s="4">
        <f>'4.1 Comptes 2021 natures'!AF115/'4.1 Comptes 2021 natures'!AF2</f>
        <v>0</v>
      </c>
      <c r="AG115" s="4">
        <f>'4.1 Comptes 2021 natures'!AG115/'4.1 Comptes 2021 natures'!AG2</f>
        <v>3.8606600314300683E-3</v>
      </c>
      <c r="AH115" s="4">
        <f>'4.1 Comptes 2021 natures'!AH115/'4.1 Comptes 2021 natures'!AH2</f>
        <v>0</v>
      </c>
      <c r="AI115" s="4">
        <f>'4.1 Comptes 2021 natures'!AI115/'4.1 Comptes 2021 natures'!AI2</f>
        <v>0</v>
      </c>
      <c r="AJ115" s="4">
        <f>'4.1 Comptes 2021 natures'!AJ115/'4.1 Comptes 2021 natures'!AJ2</f>
        <v>0</v>
      </c>
      <c r="AK115" s="4">
        <f>'4.1 Comptes 2021 natures'!AK115/'4.1 Comptes 2021 natures'!AK2</f>
        <v>0</v>
      </c>
      <c r="AL115" s="4">
        <f>'4.1 Comptes 2021 natures'!AL115/'4.1 Comptes 2021 natures'!AL2</f>
        <v>1.2948490230905862</v>
      </c>
      <c r="AM115" s="4">
        <f>'4.1 Comptes 2021 natures'!AM115/'4.1 Comptes 2021 natures'!AM2</f>
        <v>0</v>
      </c>
      <c r="AN115" s="4">
        <f>'4.1 Comptes 2021 natures'!AN115/'4.1 Comptes 2021 natures'!AN2</f>
        <v>0</v>
      </c>
      <c r="AO115" s="4">
        <f>'4.1 Comptes 2021 natures'!AO115/'4.1 Comptes 2021 natures'!AO2</f>
        <v>0</v>
      </c>
      <c r="AP115" s="4">
        <f>'4.1 Comptes 2021 natures'!AP115/'4.1 Comptes 2021 natures'!AP2</f>
        <v>0</v>
      </c>
      <c r="AQ115" s="4">
        <f>'4.1 Comptes 2021 natures'!AQ115/'4.1 Comptes 2021 natures'!AQ2</f>
        <v>0</v>
      </c>
      <c r="AR115" s="4">
        <f>'4.1 Comptes 2021 natures'!AR115/'4.1 Comptes 2021 natures'!AR2</f>
        <v>0</v>
      </c>
      <c r="AS115" s="4">
        <f>'4.1 Comptes 2021 natures'!AS115/'4.1 Comptes 2021 natures'!AS2</f>
        <v>0</v>
      </c>
      <c r="AT115" s="4">
        <f>'4.1 Comptes 2021 natures'!AT115/'4.1 Comptes 2021 natures'!AT2</f>
        <v>-0.52868110236220467</v>
      </c>
      <c r="AU115" s="4">
        <f>'4.1 Comptes 2021 natures'!AU115/'4.1 Comptes 2021 natures'!AU2</f>
        <v>0.14769736842105263</v>
      </c>
      <c r="AV115" s="4">
        <f>'4.1 Comptes 2021 natures'!AV115/'4.1 Comptes 2021 natures'!AV2</f>
        <v>1.4349087893864012E-2</v>
      </c>
      <c r="AW115" s="4">
        <f>'4.1 Comptes 2021 natures'!AW115/'4.1 Comptes 2021 natures'!AW2</f>
        <v>0</v>
      </c>
      <c r="AX115" s="4">
        <f>'4.1 Comptes 2021 natures'!AX115/'4.1 Comptes 2021 natures'!AX2</f>
        <v>0</v>
      </c>
      <c r="AY115" s="4">
        <f>'4.1 Comptes 2021 natures'!AY115/'4.1 Comptes 2021 natures'!AY2</f>
        <v>0</v>
      </c>
      <c r="AZ115" s="4">
        <f>'4.1 Comptes 2021 natures'!AZ115/'4.1 Comptes 2021 natures'!AZ2</f>
        <v>0</v>
      </c>
      <c r="BA115" s="4">
        <f>'4.1 Comptes 2021 natures'!BA115/'4.1 Comptes 2021 natures'!BA2</f>
        <v>0</v>
      </c>
      <c r="BB115" s="4">
        <f>'4.1 Comptes 2021 natures'!BB115/'4.1 Comptes 2021 natures'!BB2</f>
        <v>0</v>
      </c>
      <c r="BC115" s="4">
        <f>'4.1 Comptes 2021 natures'!BC115/'4.1 Comptes 2021 natures'!BC2</f>
        <v>0</v>
      </c>
      <c r="BD115" s="4">
        <f>'4.1 Comptes 2021 natures'!BD115/'4.1 Comptes 2021 natures'!BD2</f>
        <v>110.48034797401795</v>
      </c>
      <c r="BE115" s="4">
        <f>'4.1 Comptes 2021 natures'!BE115/'4.1 Comptes 2021 natures'!BE2</f>
        <v>0</v>
      </c>
      <c r="BF115" s="4">
        <f t="shared" si="68"/>
        <v>111.96943384216524</v>
      </c>
      <c r="BG115" s="4">
        <f t="shared" si="69"/>
        <v>0.67371733837668168</v>
      </c>
      <c r="BH115" s="4">
        <f t="shared" si="70"/>
        <v>-0.11284584727268679</v>
      </c>
      <c r="BI115" s="4">
        <f t="shared" si="71"/>
        <v>111.40856235106125</v>
      </c>
    </row>
    <row r="116" spans="2:61" x14ac:dyDescent="0.25">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row>
    <row r="117" spans="2:61" x14ac:dyDescent="0.25">
      <c r="B117" s="78">
        <v>45</v>
      </c>
      <c r="C117" s="78"/>
      <c r="D117" s="78" t="s">
        <v>174</v>
      </c>
      <c r="E117" s="73">
        <f>E118+E119</f>
        <v>49.395353748680044</v>
      </c>
      <c r="F117" s="73">
        <f t="shared" ref="F117:BI117" si="72">F118+F119</f>
        <v>0</v>
      </c>
      <c r="G117" s="73">
        <f t="shared" si="72"/>
        <v>48.036353944562904</v>
      </c>
      <c r="H117" s="73">
        <f t="shared" si="72"/>
        <v>0</v>
      </c>
      <c r="I117" s="73">
        <f t="shared" si="72"/>
        <v>15.799356223175966</v>
      </c>
      <c r="J117" s="73">
        <f t="shared" si="72"/>
        <v>2.4510762331838567</v>
      </c>
      <c r="K117" s="73">
        <f t="shared" si="72"/>
        <v>49.338650075414783</v>
      </c>
      <c r="L117" s="73">
        <f t="shared" si="72"/>
        <v>2.7564348104816094</v>
      </c>
      <c r="M117" s="73">
        <f t="shared" si="72"/>
        <v>40.990058866813833</v>
      </c>
      <c r="N117" s="73">
        <f t="shared" si="72"/>
        <v>0</v>
      </c>
      <c r="O117" s="73">
        <f t="shared" si="72"/>
        <v>3.5260184547582973</v>
      </c>
      <c r="P117" s="73">
        <f t="shared" si="72"/>
        <v>0</v>
      </c>
      <c r="Q117" s="73">
        <f t="shared" si="72"/>
        <v>0</v>
      </c>
      <c r="R117" s="73">
        <f t="shared" si="72"/>
        <v>0</v>
      </c>
      <c r="S117" s="73">
        <f t="shared" si="72"/>
        <v>0</v>
      </c>
      <c r="T117" s="73">
        <f t="shared" si="72"/>
        <v>-2.6883098591549297</v>
      </c>
      <c r="U117" s="73">
        <f t="shared" si="72"/>
        <v>2.3258364312267656</v>
      </c>
      <c r="V117" s="73">
        <f t="shared" si="72"/>
        <v>41.142727272727271</v>
      </c>
      <c r="W117" s="73">
        <f t="shared" si="72"/>
        <v>2.4495819139052339</v>
      </c>
      <c r="X117" s="73">
        <f t="shared" si="72"/>
        <v>118.26822580645161</v>
      </c>
      <c r="Y117" s="73">
        <f t="shared" si="72"/>
        <v>2.4407874015748035</v>
      </c>
      <c r="Z117" s="73">
        <f t="shared" si="72"/>
        <v>2.8383798140770251</v>
      </c>
      <c r="AA117" s="73">
        <f t="shared" si="72"/>
        <v>-2.0833333333333335</v>
      </c>
      <c r="AB117" s="73">
        <f t="shared" si="72"/>
        <v>2.4986486486486488</v>
      </c>
      <c r="AC117" s="73">
        <f t="shared" si="72"/>
        <v>19.916988416988417</v>
      </c>
      <c r="AD117" s="73">
        <f t="shared" si="72"/>
        <v>0</v>
      </c>
      <c r="AE117" s="73">
        <f t="shared" si="72"/>
        <v>2.4638297872340424</v>
      </c>
      <c r="AF117" s="73">
        <f t="shared" si="72"/>
        <v>4.9653333333333336</v>
      </c>
      <c r="AG117" s="73">
        <f t="shared" si="72"/>
        <v>29.1651388161341</v>
      </c>
      <c r="AH117" s="73">
        <f t="shared" si="72"/>
        <v>6.4646899224806207</v>
      </c>
      <c r="AI117" s="73">
        <f t="shared" si="72"/>
        <v>5.361936936936937</v>
      </c>
      <c r="AJ117" s="73">
        <f t="shared" si="72"/>
        <v>24.809457364341085</v>
      </c>
      <c r="AK117" s="73">
        <f t="shared" si="72"/>
        <v>0</v>
      </c>
      <c r="AL117" s="73">
        <f t="shared" si="72"/>
        <v>3.4305062166962701</v>
      </c>
      <c r="AM117" s="73">
        <f t="shared" si="72"/>
        <v>109.71428571428571</v>
      </c>
      <c r="AN117" s="73">
        <f t="shared" si="72"/>
        <v>2.5333333333333332</v>
      </c>
      <c r="AO117" s="73">
        <f t="shared" si="72"/>
        <v>0</v>
      </c>
      <c r="AP117" s="73">
        <f t="shared" si="72"/>
        <v>0.65420560747663548</v>
      </c>
      <c r="AQ117" s="73">
        <f t="shared" si="72"/>
        <v>0</v>
      </c>
      <c r="AR117" s="73">
        <f t="shared" si="72"/>
        <v>10.2601246105919</v>
      </c>
      <c r="AS117" s="73">
        <f t="shared" si="72"/>
        <v>114.85837209302326</v>
      </c>
      <c r="AT117" s="73">
        <f t="shared" si="72"/>
        <v>33.050649606299217</v>
      </c>
      <c r="AU117" s="73">
        <f t="shared" si="72"/>
        <v>12.450822368421052</v>
      </c>
      <c r="AV117" s="73">
        <f t="shared" si="72"/>
        <v>2.4683665008291875</v>
      </c>
      <c r="AW117" s="73">
        <f t="shared" si="72"/>
        <v>2.5374829931972789</v>
      </c>
      <c r="AX117" s="73">
        <f t="shared" si="72"/>
        <v>2.2794594594594595</v>
      </c>
      <c r="AY117" s="73">
        <f t="shared" si="72"/>
        <v>2.5300000000000002</v>
      </c>
      <c r="AZ117" s="73">
        <f t="shared" si="72"/>
        <v>2.7144667059516792</v>
      </c>
      <c r="BA117" s="73">
        <f t="shared" si="72"/>
        <v>0</v>
      </c>
      <c r="BB117" s="73">
        <f t="shared" si="72"/>
        <v>5.4931500465983225</v>
      </c>
      <c r="BC117" s="73">
        <f t="shared" si="72"/>
        <v>0</v>
      </c>
      <c r="BD117" s="73">
        <f t="shared" si="72"/>
        <v>8.4904191153727187</v>
      </c>
      <c r="BE117" s="73">
        <f t="shared" si="72"/>
        <v>15.864042933810376</v>
      </c>
      <c r="BF117" s="73">
        <f t="shared" si="72"/>
        <v>801.96290833598937</v>
      </c>
      <c r="BG117" s="73">
        <f t="shared" si="72"/>
        <v>255.52313811577562</v>
      </c>
      <c r="BH117" s="73">
        <f t="shared" si="72"/>
        <v>217.11008291486729</v>
      </c>
      <c r="BI117" s="73">
        <f t="shared" si="72"/>
        <v>329.3296873053464</v>
      </c>
    </row>
    <row r="118" spans="2:61" x14ac:dyDescent="0.25">
      <c r="C118">
        <v>450</v>
      </c>
      <c r="D118" t="s">
        <v>172</v>
      </c>
      <c r="E118" s="4">
        <f>'4.1 Comptes 2021 natures'!E118/'4.1 Comptes 2021 natures'!E2</f>
        <v>4.4477296726504756</v>
      </c>
      <c r="F118" s="4">
        <f>'4.1 Comptes 2021 natures'!F118/'4.1 Comptes 2021 natures'!F2</f>
        <v>0</v>
      </c>
      <c r="G118" s="4">
        <f>'4.1 Comptes 2021 natures'!G118/'4.1 Comptes 2021 natures'!G2</f>
        <v>14.853731343283581</v>
      </c>
      <c r="H118" s="4">
        <f>'4.1 Comptes 2021 natures'!H118/'4.1 Comptes 2021 natures'!H2</f>
        <v>0</v>
      </c>
      <c r="I118" s="4">
        <f>'4.1 Comptes 2021 natures'!I118/'4.1 Comptes 2021 natures'!I2</f>
        <v>2.3873390557939915</v>
      </c>
      <c r="J118" s="4">
        <f>'4.1 Comptes 2021 natures'!J118/'4.1 Comptes 2021 natures'!J2</f>
        <v>2.4510762331838567</v>
      </c>
      <c r="K118" s="4">
        <f>'4.1 Comptes 2021 natures'!K118/'4.1 Comptes 2021 natures'!K2</f>
        <v>4.7451923076923075</v>
      </c>
      <c r="L118" s="4">
        <f>'4.1 Comptes 2021 natures'!L118/'4.1 Comptes 2021 natures'!L2</f>
        <v>2.7564348104816094</v>
      </c>
      <c r="M118" s="4">
        <f>'4.1 Comptes 2021 natures'!M118/'4.1 Comptes 2021 natures'!M2</f>
        <v>2.4963944076526858</v>
      </c>
      <c r="N118" s="4">
        <f>'4.1 Comptes 2021 natures'!N118/'4.1 Comptes 2021 natures'!N2</f>
        <v>0</v>
      </c>
      <c r="O118" s="4">
        <f>'4.1 Comptes 2021 natures'!O118/'4.1 Comptes 2021 natures'!O2</f>
        <v>0</v>
      </c>
      <c r="P118" s="4">
        <f>'4.1 Comptes 2021 natures'!P118/'4.1 Comptes 2021 natures'!P2</f>
        <v>0</v>
      </c>
      <c r="Q118" s="4">
        <f>'4.1 Comptes 2021 natures'!Q118/'4.1 Comptes 2021 natures'!Q2</f>
        <v>0</v>
      </c>
      <c r="R118" s="4">
        <f>'4.1 Comptes 2021 natures'!R118/'4.1 Comptes 2021 natures'!R2</f>
        <v>0</v>
      </c>
      <c r="S118" s="4">
        <f>'4.1 Comptes 2021 natures'!S118/'4.1 Comptes 2021 natures'!S2</f>
        <v>0</v>
      </c>
      <c r="T118" s="4">
        <f>'4.1 Comptes 2021 natures'!T118/'4.1 Comptes 2021 natures'!T2</f>
        <v>-2.6883098591549297</v>
      </c>
      <c r="U118" s="4">
        <f>'4.1 Comptes 2021 natures'!U118/'4.1 Comptes 2021 natures'!U2</f>
        <v>2.3258364312267656</v>
      </c>
      <c r="V118" s="4">
        <f>'4.1 Comptes 2021 natures'!V118/'4.1 Comptes 2021 natures'!V2</f>
        <v>14.214318181818182</v>
      </c>
      <c r="W118" s="4">
        <f>'4.1 Comptes 2021 natures'!W118/'4.1 Comptes 2021 natures'!W2</f>
        <v>2.4495819139052339</v>
      </c>
      <c r="X118" s="4">
        <f>'4.1 Comptes 2021 natures'!X118/'4.1 Comptes 2021 natures'!X2</f>
        <v>0</v>
      </c>
      <c r="Y118" s="4">
        <f>'4.1 Comptes 2021 natures'!Y118/'4.1 Comptes 2021 natures'!Y2</f>
        <v>2.4407874015748035</v>
      </c>
      <c r="Z118" s="4">
        <f>'4.1 Comptes 2021 natures'!Z118/'4.1 Comptes 2021 natures'!Z2</f>
        <v>2.516500664010624</v>
      </c>
      <c r="AA118" s="4">
        <f>'4.1 Comptes 2021 natures'!AA118/'4.1 Comptes 2021 natures'!AA2</f>
        <v>0</v>
      </c>
      <c r="AB118" s="4">
        <f>'4.1 Comptes 2021 natures'!AB118/'4.1 Comptes 2021 natures'!AB2</f>
        <v>2.4986486486486488</v>
      </c>
      <c r="AC118" s="4">
        <f>'4.1 Comptes 2021 natures'!AC118/'4.1 Comptes 2021 natures'!AC2</f>
        <v>2.4785714285714286</v>
      </c>
      <c r="AD118" s="4">
        <f>'4.1 Comptes 2021 natures'!AD118/'4.1 Comptes 2021 natures'!AD2</f>
        <v>0</v>
      </c>
      <c r="AE118" s="4">
        <f>'4.1 Comptes 2021 natures'!AE118/'4.1 Comptes 2021 natures'!AE2</f>
        <v>2.4638297872340424</v>
      </c>
      <c r="AF118" s="4">
        <f>'4.1 Comptes 2021 natures'!AF118/'4.1 Comptes 2021 natures'!AF2</f>
        <v>4.9653333333333336</v>
      </c>
      <c r="AG118" s="4">
        <f>'4.1 Comptes 2021 natures'!AG118/'4.1 Comptes 2021 natures'!AG2</f>
        <v>2.4968831849135675</v>
      </c>
      <c r="AH118" s="4">
        <f>'4.1 Comptes 2021 natures'!AH118/'4.1 Comptes 2021 natures'!AH2</f>
        <v>2.5014341085271319</v>
      </c>
      <c r="AI118" s="4">
        <f>'4.1 Comptes 2021 natures'!AI118/'4.1 Comptes 2021 natures'!AI2</f>
        <v>5.361936936936937</v>
      </c>
      <c r="AJ118" s="4">
        <f>'4.1 Comptes 2021 natures'!AJ118/'4.1 Comptes 2021 natures'!AJ2</f>
        <v>0</v>
      </c>
      <c r="AK118" s="4">
        <f>'4.1 Comptes 2021 natures'!AK118/'4.1 Comptes 2021 natures'!AK2</f>
        <v>0</v>
      </c>
      <c r="AL118" s="4">
        <f>'4.1 Comptes 2021 natures'!AL118/'4.1 Comptes 2021 natures'!AL2</f>
        <v>0</v>
      </c>
      <c r="AM118" s="4">
        <f>'4.1 Comptes 2021 natures'!AM118/'4.1 Comptes 2021 natures'!AM2</f>
        <v>0</v>
      </c>
      <c r="AN118" s="4">
        <f>'4.1 Comptes 2021 natures'!AN118/'4.1 Comptes 2021 natures'!AN2</f>
        <v>2.5333333333333332</v>
      </c>
      <c r="AO118" s="4">
        <f>'4.1 Comptes 2021 natures'!AO118/'4.1 Comptes 2021 natures'!AO2</f>
        <v>0</v>
      </c>
      <c r="AP118" s="4">
        <f>'4.1 Comptes 2021 natures'!AP118/'4.1 Comptes 2021 natures'!AP2</f>
        <v>0</v>
      </c>
      <c r="AQ118" s="4">
        <f>'4.1 Comptes 2021 natures'!AQ118/'4.1 Comptes 2021 natures'!AQ2</f>
        <v>0</v>
      </c>
      <c r="AR118" s="4">
        <f>'4.1 Comptes 2021 natures'!AR118/'4.1 Comptes 2021 natures'!AR2</f>
        <v>3.2507788161993769</v>
      </c>
      <c r="AS118" s="4">
        <f>'4.1 Comptes 2021 natures'!AS118/'4.1 Comptes 2021 natures'!AS2</f>
        <v>0</v>
      </c>
      <c r="AT118" s="4">
        <f>'4.1 Comptes 2021 natures'!AT118/'4.1 Comptes 2021 natures'!AT2</f>
        <v>22.188681102362207</v>
      </c>
      <c r="AU118" s="4">
        <f>'4.1 Comptes 2021 natures'!AU118/'4.1 Comptes 2021 natures'!AU2</f>
        <v>12.450822368421052</v>
      </c>
      <c r="AV118" s="4">
        <f>'4.1 Comptes 2021 natures'!AV118/'4.1 Comptes 2021 natures'!AV2</f>
        <v>2.4683665008291875</v>
      </c>
      <c r="AW118" s="4">
        <f>'4.1 Comptes 2021 natures'!AW118/'4.1 Comptes 2021 natures'!AW2</f>
        <v>2.5374829931972789</v>
      </c>
      <c r="AX118" s="4">
        <f>'4.1 Comptes 2021 natures'!AX118/'4.1 Comptes 2021 natures'!AX2</f>
        <v>0</v>
      </c>
      <c r="AY118" s="4">
        <f>'4.1 Comptes 2021 natures'!AY118/'4.1 Comptes 2021 natures'!AY2</f>
        <v>2.5300000000000002</v>
      </c>
      <c r="AZ118" s="4">
        <f>'4.1 Comptes 2021 natures'!AZ118/'4.1 Comptes 2021 natures'!AZ2</f>
        <v>2.4669711255156157</v>
      </c>
      <c r="BA118" s="4">
        <f>'4.1 Comptes 2021 natures'!BA118/'4.1 Comptes 2021 natures'!BA2</f>
        <v>0</v>
      </c>
      <c r="BB118" s="4">
        <f>'4.1 Comptes 2021 natures'!BB118/'4.1 Comptes 2021 natures'!BB2</f>
        <v>5.4931500465983225</v>
      </c>
      <c r="BC118" s="4">
        <f>'4.1 Comptes 2021 natures'!BC118/'4.1 Comptes 2021 natures'!BC2</f>
        <v>0</v>
      </c>
      <c r="BD118" s="4">
        <f>'4.1 Comptes 2021 natures'!BD118/'4.1 Comptes 2021 natures'!BD2</f>
        <v>8.4904191153727187</v>
      </c>
      <c r="BE118" s="4">
        <f>'4.1 Comptes 2021 natures'!BE118/'4.1 Comptes 2021 natures'!BE2</f>
        <v>0</v>
      </c>
      <c r="BF118" s="4">
        <f t="shared" ref="BF118:BF119" si="73">SUM(E118:BE118)</f>
        <v>142.57325539411337</v>
      </c>
      <c r="BG118" s="4">
        <f t="shared" ref="BG118:BG119" si="74">SUM(E118:W118)</f>
        <v>50.43932449853375</v>
      </c>
      <c r="BH118" s="4">
        <f t="shared" ref="BH118:BH119" si="75">SUM(X118:AJ118)</f>
        <v>27.723925493750514</v>
      </c>
      <c r="BI118" s="4">
        <f t="shared" ref="BI118:BI119" si="76">SUM(AK118:BE118)</f>
        <v>64.410005401829096</v>
      </c>
    </row>
    <row r="119" spans="2:61" x14ac:dyDescent="0.25">
      <c r="C119">
        <v>451</v>
      </c>
      <c r="D119" t="s">
        <v>173</v>
      </c>
      <c r="E119" s="4">
        <f>'4.1 Comptes 2021 natures'!E119/'4.1 Comptes 2021 natures'!E2</f>
        <v>44.94762407602957</v>
      </c>
      <c r="F119" s="4">
        <f>'4.1 Comptes 2021 natures'!F119/'4.1 Comptes 2021 natures'!F2</f>
        <v>0</v>
      </c>
      <c r="G119" s="4">
        <f>'4.1 Comptes 2021 natures'!G119/'4.1 Comptes 2021 natures'!G2</f>
        <v>33.18262260127932</v>
      </c>
      <c r="H119" s="4">
        <f>'4.1 Comptes 2021 natures'!H119/'4.1 Comptes 2021 natures'!H2</f>
        <v>0</v>
      </c>
      <c r="I119" s="4">
        <f>'4.1 Comptes 2021 natures'!I119/'4.1 Comptes 2021 natures'!I2</f>
        <v>13.412017167381974</v>
      </c>
      <c r="J119" s="4">
        <f>'4.1 Comptes 2021 natures'!J119/'4.1 Comptes 2021 natures'!J2</f>
        <v>0</v>
      </c>
      <c r="K119" s="4">
        <f>'4.1 Comptes 2021 natures'!K119/'4.1 Comptes 2021 natures'!K2</f>
        <v>44.593457767722477</v>
      </c>
      <c r="L119" s="4">
        <f>'4.1 Comptes 2021 natures'!L119/'4.1 Comptes 2021 natures'!L2</f>
        <v>0</v>
      </c>
      <c r="M119" s="4">
        <f>'4.1 Comptes 2021 natures'!M119/'4.1 Comptes 2021 natures'!M2</f>
        <v>38.493664459161145</v>
      </c>
      <c r="N119" s="4">
        <f>'4.1 Comptes 2021 natures'!N119/'4.1 Comptes 2021 natures'!N2</f>
        <v>0</v>
      </c>
      <c r="O119" s="4">
        <f>'4.1 Comptes 2021 natures'!O119/'4.1 Comptes 2021 natures'!O2</f>
        <v>3.5260184547582973</v>
      </c>
      <c r="P119" s="4">
        <f>'4.1 Comptes 2021 natures'!P119/'4.1 Comptes 2021 natures'!P2</f>
        <v>0</v>
      </c>
      <c r="Q119" s="4">
        <f>'4.1 Comptes 2021 natures'!Q119/'4.1 Comptes 2021 natures'!Q2</f>
        <v>0</v>
      </c>
      <c r="R119" s="4">
        <f>'4.1 Comptes 2021 natures'!R119/'4.1 Comptes 2021 natures'!R2</f>
        <v>0</v>
      </c>
      <c r="S119" s="4">
        <f>'4.1 Comptes 2021 natures'!S119/'4.1 Comptes 2021 natures'!S2</f>
        <v>0</v>
      </c>
      <c r="T119" s="4">
        <f>'4.1 Comptes 2021 natures'!T119/'4.1 Comptes 2021 natures'!T2</f>
        <v>0</v>
      </c>
      <c r="U119" s="4">
        <f>'4.1 Comptes 2021 natures'!U119/'4.1 Comptes 2021 natures'!U2</f>
        <v>0</v>
      </c>
      <c r="V119" s="4">
        <f>'4.1 Comptes 2021 natures'!V119/'4.1 Comptes 2021 natures'!V2</f>
        <v>26.928409090909092</v>
      </c>
      <c r="W119" s="4">
        <f>'4.1 Comptes 2021 natures'!W119/'4.1 Comptes 2021 natures'!W2</f>
        <v>0</v>
      </c>
      <c r="X119" s="4">
        <f>'4.1 Comptes 2021 natures'!X119/'4.1 Comptes 2021 natures'!X2</f>
        <v>118.26822580645161</v>
      </c>
      <c r="Y119" s="4">
        <f>'4.1 Comptes 2021 natures'!Y119/'4.1 Comptes 2021 natures'!Y2</f>
        <v>0</v>
      </c>
      <c r="Z119" s="4">
        <f>'4.1 Comptes 2021 natures'!Z119/'4.1 Comptes 2021 natures'!Z2</f>
        <v>0.32187915006640105</v>
      </c>
      <c r="AA119" s="4">
        <f>'4.1 Comptes 2021 natures'!AA119/'4.1 Comptes 2021 natures'!AA2</f>
        <v>-2.0833333333333335</v>
      </c>
      <c r="AB119" s="4">
        <f>'4.1 Comptes 2021 natures'!AB119/'4.1 Comptes 2021 natures'!AB2</f>
        <v>0</v>
      </c>
      <c r="AC119" s="4">
        <f>'4.1 Comptes 2021 natures'!AC119/'4.1 Comptes 2021 natures'!AC2</f>
        <v>17.438416988416989</v>
      </c>
      <c r="AD119" s="4">
        <f>'4.1 Comptes 2021 natures'!AD119/'4.1 Comptes 2021 natures'!AD2</f>
        <v>0</v>
      </c>
      <c r="AE119" s="4">
        <f>'4.1 Comptes 2021 natures'!AE119/'4.1 Comptes 2021 natures'!AE2</f>
        <v>0</v>
      </c>
      <c r="AF119" s="4">
        <f>'4.1 Comptes 2021 natures'!AF119/'4.1 Comptes 2021 natures'!AF2</f>
        <v>0</v>
      </c>
      <c r="AG119" s="4">
        <f>'4.1 Comptes 2021 natures'!AG119/'4.1 Comptes 2021 natures'!AG2</f>
        <v>26.668255631220532</v>
      </c>
      <c r="AH119" s="4">
        <f>'4.1 Comptes 2021 natures'!AH119/'4.1 Comptes 2021 natures'!AH2</f>
        <v>3.9632558139534888</v>
      </c>
      <c r="AI119" s="4">
        <f>'4.1 Comptes 2021 natures'!AI119/'4.1 Comptes 2021 natures'!AI2</f>
        <v>0</v>
      </c>
      <c r="AJ119" s="4">
        <f>'4.1 Comptes 2021 natures'!AJ119/'4.1 Comptes 2021 natures'!AJ2</f>
        <v>24.809457364341085</v>
      </c>
      <c r="AK119" s="4">
        <f>'4.1 Comptes 2021 natures'!AK119/'4.1 Comptes 2021 natures'!AK2</f>
        <v>0</v>
      </c>
      <c r="AL119" s="4">
        <f>'4.1 Comptes 2021 natures'!AL119/'4.1 Comptes 2021 natures'!AL2</f>
        <v>3.4305062166962701</v>
      </c>
      <c r="AM119" s="4">
        <f>'4.1 Comptes 2021 natures'!AM119/'4.1 Comptes 2021 natures'!AM2</f>
        <v>109.71428571428571</v>
      </c>
      <c r="AN119" s="4">
        <f>'4.1 Comptes 2021 natures'!AN119/'4.1 Comptes 2021 natures'!AN2</f>
        <v>0</v>
      </c>
      <c r="AO119" s="4">
        <f>'4.1 Comptes 2021 natures'!AO119/'4.1 Comptes 2021 natures'!AO2</f>
        <v>0</v>
      </c>
      <c r="AP119" s="4">
        <f>'4.1 Comptes 2021 natures'!AP119/'4.1 Comptes 2021 natures'!AP2</f>
        <v>0.65420560747663548</v>
      </c>
      <c r="AQ119" s="4">
        <f>'4.1 Comptes 2021 natures'!AQ119/'4.1 Comptes 2021 natures'!AQ2</f>
        <v>0</v>
      </c>
      <c r="AR119" s="4">
        <f>'4.1 Comptes 2021 natures'!AR119/'4.1 Comptes 2021 natures'!AR2</f>
        <v>7.009345794392523</v>
      </c>
      <c r="AS119" s="4">
        <f>'4.1 Comptes 2021 natures'!AS119/'4.1 Comptes 2021 natures'!AS2</f>
        <v>114.85837209302326</v>
      </c>
      <c r="AT119" s="4">
        <f>'4.1 Comptes 2021 natures'!AT119/'4.1 Comptes 2021 natures'!AT2</f>
        <v>10.861968503937009</v>
      </c>
      <c r="AU119" s="4">
        <f>'4.1 Comptes 2021 natures'!AU119/'4.1 Comptes 2021 natures'!AU2</f>
        <v>0</v>
      </c>
      <c r="AV119" s="4">
        <f>'4.1 Comptes 2021 natures'!AV119/'4.1 Comptes 2021 natures'!AV2</f>
        <v>0</v>
      </c>
      <c r="AW119" s="4">
        <f>'4.1 Comptes 2021 natures'!AW119/'4.1 Comptes 2021 natures'!AW2</f>
        <v>0</v>
      </c>
      <c r="AX119" s="4">
        <f>'4.1 Comptes 2021 natures'!AX119/'4.1 Comptes 2021 natures'!AX2</f>
        <v>2.2794594594594595</v>
      </c>
      <c r="AY119" s="4">
        <f>'4.1 Comptes 2021 natures'!AY119/'4.1 Comptes 2021 natures'!AY2</f>
        <v>0</v>
      </c>
      <c r="AZ119" s="4">
        <f>'4.1 Comptes 2021 natures'!AZ119/'4.1 Comptes 2021 natures'!AZ2</f>
        <v>0.24749558043606365</v>
      </c>
      <c r="BA119" s="4">
        <f>'4.1 Comptes 2021 natures'!BA119/'4.1 Comptes 2021 natures'!BA2</f>
        <v>0</v>
      </c>
      <c r="BB119" s="4">
        <f>'4.1 Comptes 2021 natures'!BB119/'4.1 Comptes 2021 natures'!BB2</f>
        <v>0</v>
      </c>
      <c r="BC119" s="4">
        <f>'4.1 Comptes 2021 natures'!BC119/'4.1 Comptes 2021 natures'!BC2</f>
        <v>0</v>
      </c>
      <c r="BD119" s="4">
        <f>'4.1 Comptes 2021 natures'!BD119/'4.1 Comptes 2021 natures'!BD2</f>
        <v>0</v>
      </c>
      <c r="BE119" s="4">
        <f>'4.1 Comptes 2021 natures'!BE119/'4.1 Comptes 2021 natures'!BE2</f>
        <v>15.864042933810376</v>
      </c>
      <c r="BF119" s="4">
        <f t="shared" si="73"/>
        <v>659.38965294187597</v>
      </c>
      <c r="BG119" s="4">
        <f t="shared" si="74"/>
        <v>205.08381361724187</v>
      </c>
      <c r="BH119" s="4">
        <f t="shared" si="75"/>
        <v>189.38615742111676</v>
      </c>
      <c r="BI119" s="4">
        <f t="shared" si="76"/>
        <v>264.9196819035173</v>
      </c>
    </row>
    <row r="120" spans="2:61" x14ac:dyDescent="0.25">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row>
    <row r="121" spans="2:61" x14ac:dyDescent="0.25">
      <c r="B121" s="78">
        <v>46</v>
      </c>
      <c r="C121" s="78"/>
      <c r="D121" s="78" t="s">
        <v>175</v>
      </c>
      <c r="E121" s="73">
        <f>E122+E123+E124+E125+E126</f>
        <v>358.57038014783524</v>
      </c>
      <c r="F121" s="73">
        <f t="shared" ref="F121:BI121" si="77">F122+F123+F124+F125+F126</f>
        <v>551.03452830188689</v>
      </c>
      <c r="G121" s="73">
        <f t="shared" si="77"/>
        <v>241.56663113006397</v>
      </c>
      <c r="H121" s="73">
        <f t="shared" si="77"/>
        <v>436.79464692482912</v>
      </c>
      <c r="I121" s="73">
        <f t="shared" si="77"/>
        <v>559.41613465665228</v>
      </c>
      <c r="J121" s="73">
        <f t="shared" si="77"/>
        <v>412.17569506726454</v>
      </c>
      <c r="K121" s="73">
        <f t="shared" si="77"/>
        <v>322.84590497737554</v>
      </c>
      <c r="L121" s="73">
        <f t="shared" si="77"/>
        <v>1786.3390632262201</v>
      </c>
      <c r="M121" s="73">
        <f t="shared" si="77"/>
        <v>927.27461368653417</v>
      </c>
      <c r="N121" s="73">
        <f t="shared" si="77"/>
        <v>1978.5482051282049</v>
      </c>
      <c r="O121" s="73">
        <f t="shared" si="77"/>
        <v>457.58231373089109</v>
      </c>
      <c r="P121" s="73">
        <f t="shared" si="77"/>
        <v>646.91282527881037</v>
      </c>
      <c r="Q121" s="73">
        <f t="shared" si="77"/>
        <v>169.32612612612616</v>
      </c>
      <c r="R121" s="73">
        <f t="shared" si="77"/>
        <v>502.85</v>
      </c>
      <c r="S121" s="73">
        <f t="shared" si="77"/>
        <v>740.16343930635844</v>
      </c>
      <c r="T121" s="73">
        <f t="shared" si="77"/>
        <v>57.904436619718311</v>
      </c>
      <c r="U121" s="73">
        <f t="shared" si="77"/>
        <v>713.32137546468391</v>
      </c>
      <c r="V121" s="73">
        <f t="shared" si="77"/>
        <v>1103.9756818181818</v>
      </c>
      <c r="W121" s="73">
        <f t="shared" si="77"/>
        <v>615.84933106224844</v>
      </c>
      <c r="X121" s="73">
        <f t="shared" si="77"/>
        <v>1640.1717741935483</v>
      </c>
      <c r="Y121" s="73">
        <f t="shared" si="77"/>
        <v>621.63094488188983</v>
      </c>
      <c r="Z121" s="73">
        <f t="shared" si="77"/>
        <v>1137.044754316069</v>
      </c>
      <c r="AA121" s="73">
        <f t="shared" si="77"/>
        <v>1079.0619791666668</v>
      </c>
      <c r="AB121" s="73">
        <f t="shared" si="77"/>
        <v>790.41891891891885</v>
      </c>
      <c r="AC121" s="73">
        <f t="shared" si="77"/>
        <v>420.52924710424708</v>
      </c>
      <c r="AD121" s="73">
        <f t="shared" si="77"/>
        <v>990.85596291012837</v>
      </c>
      <c r="AE121" s="73">
        <f t="shared" si="77"/>
        <v>682.43164893617006</v>
      </c>
      <c r="AF121" s="73">
        <f t="shared" si="77"/>
        <v>525.83857142857141</v>
      </c>
      <c r="AG121" s="73">
        <f t="shared" si="77"/>
        <v>411.63053954950232</v>
      </c>
      <c r="AH121" s="73">
        <f t="shared" si="77"/>
        <v>491.71422480620157</v>
      </c>
      <c r="AI121" s="73">
        <f t="shared" si="77"/>
        <v>1422.8342342342341</v>
      </c>
      <c r="AJ121" s="73">
        <f t="shared" si="77"/>
        <v>727.17480620155038</v>
      </c>
      <c r="AK121" s="73">
        <f t="shared" si="77"/>
        <v>639.33915917503975</v>
      </c>
      <c r="AL121" s="73">
        <f t="shared" si="77"/>
        <v>889.19369449378314</v>
      </c>
      <c r="AM121" s="73">
        <f t="shared" si="77"/>
        <v>1320.1903265306123</v>
      </c>
      <c r="AN121" s="73">
        <f t="shared" si="77"/>
        <v>710.73760683760679</v>
      </c>
      <c r="AO121" s="73">
        <f t="shared" si="77"/>
        <v>320.25258227848104</v>
      </c>
      <c r="AP121" s="73">
        <f t="shared" si="77"/>
        <v>1416.2421806853581</v>
      </c>
      <c r="AQ121" s="73">
        <f t="shared" si="77"/>
        <v>260.61800947867295</v>
      </c>
      <c r="AR121" s="73">
        <f t="shared" si="77"/>
        <v>1334.4982866043615</v>
      </c>
      <c r="AS121" s="73">
        <f t="shared" si="77"/>
        <v>803.67414500683992</v>
      </c>
      <c r="AT121" s="73">
        <f t="shared" si="77"/>
        <v>740.2680905511811</v>
      </c>
      <c r="AU121" s="73">
        <f t="shared" si="77"/>
        <v>339.90141447368421</v>
      </c>
      <c r="AV121" s="73">
        <f t="shared" si="77"/>
        <v>716.60241293532329</v>
      </c>
      <c r="AW121" s="73">
        <f t="shared" si="77"/>
        <v>304.02183673469386</v>
      </c>
      <c r="AX121" s="73">
        <f t="shared" si="77"/>
        <v>421.32702702702704</v>
      </c>
      <c r="AY121" s="73">
        <f t="shared" si="77"/>
        <v>420.4161764705882</v>
      </c>
      <c r="AZ121" s="73">
        <f t="shared" si="77"/>
        <v>603.33653506187386</v>
      </c>
      <c r="BA121" s="73">
        <f t="shared" si="77"/>
        <v>1062.634</v>
      </c>
      <c r="BB121" s="73">
        <f t="shared" si="77"/>
        <v>767.50555452003721</v>
      </c>
      <c r="BC121" s="73">
        <f t="shared" si="77"/>
        <v>1083.2103260869567</v>
      </c>
      <c r="BD121" s="73">
        <f t="shared" si="77"/>
        <v>1205.5870244355087</v>
      </c>
      <c r="BE121" s="73">
        <f t="shared" si="77"/>
        <v>973.70420393559925</v>
      </c>
      <c r="BF121" s="73">
        <f t="shared" si="77"/>
        <v>39857.049532624813</v>
      </c>
      <c r="BG121" s="73">
        <f t="shared" si="77"/>
        <v>12582.451332653887</v>
      </c>
      <c r="BH121" s="73">
        <f t="shared" si="77"/>
        <v>10941.337606647698</v>
      </c>
      <c r="BI121" s="73">
        <f t="shared" si="77"/>
        <v>16333.260593323232</v>
      </c>
    </row>
    <row r="122" spans="2:61" x14ac:dyDescent="0.25">
      <c r="C122">
        <v>460</v>
      </c>
      <c r="D122" t="s">
        <v>176</v>
      </c>
      <c r="E122" s="4">
        <f>'4.1 Comptes 2021 natures'!E122/'4.1 Comptes 2021 natures'!E2</f>
        <v>8.4772967265047523</v>
      </c>
      <c r="F122" s="4">
        <f>'4.1 Comptes 2021 natures'!F122/'4.1 Comptes 2021 natures'!F2</f>
        <v>0</v>
      </c>
      <c r="G122" s="4">
        <f>'4.1 Comptes 2021 natures'!G122/'4.1 Comptes 2021 natures'!G2</f>
        <v>5.2857142857142856</v>
      </c>
      <c r="H122" s="4">
        <f>'4.1 Comptes 2021 natures'!H122/'4.1 Comptes 2021 natures'!H2</f>
        <v>0</v>
      </c>
      <c r="I122" s="4">
        <f>'4.1 Comptes 2021 natures'!I122/'4.1 Comptes 2021 natures'!I2</f>
        <v>9.1896459227467808</v>
      </c>
      <c r="J122" s="4">
        <f>'4.1 Comptes 2021 natures'!J122/'4.1 Comptes 2021 natures'!J2</f>
        <v>7.8941704035874443</v>
      </c>
      <c r="K122" s="4">
        <f>'4.1 Comptes 2021 natures'!K122/'4.1 Comptes 2021 natures'!K2</f>
        <v>17.62971342383107</v>
      </c>
      <c r="L122" s="4">
        <f>'4.1 Comptes 2021 natures'!L122/'4.1 Comptes 2021 natures'!L2</f>
        <v>40.148489462296659</v>
      </c>
      <c r="M122" s="4">
        <f>'4.1 Comptes 2021 natures'!M122/'4.1 Comptes 2021 natures'!M2</f>
        <v>23.821927888153052</v>
      </c>
      <c r="N122" s="4">
        <f>'4.1 Comptes 2021 natures'!N122/'4.1 Comptes 2021 natures'!N2</f>
        <v>2.8205128205128207</v>
      </c>
      <c r="O122" s="4">
        <f>'4.1 Comptes 2021 natures'!O122/'4.1 Comptes 2021 natures'!O2</f>
        <v>0</v>
      </c>
      <c r="P122" s="4">
        <f>'4.1 Comptes 2021 natures'!P122/'4.1 Comptes 2021 natures'!P2</f>
        <v>0</v>
      </c>
      <c r="Q122" s="4">
        <f>'4.1 Comptes 2021 natures'!Q122/'4.1 Comptes 2021 natures'!Q2</f>
        <v>-0.13513513513513514</v>
      </c>
      <c r="R122" s="4">
        <f>'4.1 Comptes 2021 natures'!R122/'4.1 Comptes 2021 natures'!R2</f>
        <v>0</v>
      </c>
      <c r="S122" s="4">
        <f>'4.1 Comptes 2021 natures'!S122/'4.1 Comptes 2021 natures'!S2</f>
        <v>0</v>
      </c>
      <c r="T122" s="4">
        <f>'4.1 Comptes 2021 natures'!T122/'4.1 Comptes 2021 natures'!T2</f>
        <v>3.6845774647887328</v>
      </c>
      <c r="U122" s="4">
        <f>'4.1 Comptes 2021 natures'!U122/'4.1 Comptes 2021 natures'!U2</f>
        <v>0</v>
      </c>
      <c r="V122" s="4">
        <f>'4.1 Comptes 2021 natures'!V122/'4.1 Comptes 2021 natures'!V2</f>
        <v>34.940909090909088</v>
      </c>
      <c r="W122" s="4">
        <f>'4.1 Comptes 2021 natures'!W122/'4.1 Comptes 2021 natures'!W2</f>
        <v>6.783214617528647</v>
      </c>
      <c r="X122" s="4">
        <f>'4.1 Comptes 2021 natures'!X122/'4.1 Comptes 2021 natures'!X2</f>
        <v>0</v>
      </c>
      <c r="Y122" s="4">
        <f>'4.1 Comptes 2021 natures'!Y122/'4.1 Comptes 2021 natures'!Y2</f>
        <v>6.7448818897637794</v>
      </c>
      <c r="Z122" s="4">
        <f>'4.1 Comptes 2021 natures'!Z122/'4.1 Comptes 2021 natures'!Z2</f>
        <v>178.33399734395749</v>
      </c>
      <c r="AA122" s="4">
        <f>'4.1 Comptes 2021 natures'!AA122/'4.1 Comptes 2021 natures'!AA2</f>
        <v>0</v>
      </c>
      <c r="AB122" s="4">
        <f>'4.1 Comptes 2021 natures'!AB122/'4.1 Comptes 2021 natures'!AB2</f>
        <v>0</v>
      </c>
      <c r="AC122" s="4">
        <f>'4.1 Comptes 2021 natures'!AC122/'4.1 Comptes 2021 natures'!AC2</f>
        <v>10.609555984555984</v>
      </c>
      <c r="AD122" s="4">
        <f>'4.1 Comptes 2021 natures'!AD122/'4.1 Comptes 2021 natures'!AD2</f>
        <v>4.2524964336661908</v>
      </c>
      <c r="AE122" s="4">
        <f>'4.1 Comptes 2021 natures'!AE122/'4.1 Comptes 2021 natures'!AE2</f>
        <v>1.8670212765957446</v>
      </c>
      <c r="AF122" s="4">
        <f>'4.1 Comptes 2021 natures'!AF122/'4.1 Comptes 2021 natures'!AF2</f>
        <v>0</v>
      </c>
      <c r="AG122" s="4">
        <f>'4.1 Comptes 2021 natures'!AG122/'4.1 Comptes 2021 natures'!AG2</f>
        <v>45.902042954426399</v>
      </c>
      <c r="AH122" s="4">
        <f>'4.1 Comptes 2021 natures'!AH122/'4.1 Comptes 2021 natures'!AH2</f>
        <v>10.879069767441861</v>
      </c>
      <c r="AI122" s="4">
        <f>'4.1 Comptes 2021 natures'!AI122/'4.1 Comptes 2021 natures'!AI2</f>
        <v>0</v>
      </c>
      <c r="AJ122" s="4">
        <f>'4.1 Comptes 2021 natures'!AJ122/'4.1 Comptes 2021 natures'!AJ2</f>
        <v>0</v>
      </c>
      <c r="AK122" s="4">
        <f>'4.1 Comptes 2021 natures'!AK122/'4.1 Comptes 2021 natures'!AK2</f>
        <v>0.52882072977260708</v>
      </c>
      <c r="AL122" s="4">
        <f>'4.1 Comptes 2021 natures'!AL122/'4.1 Comptes 2021 natures'!AL2</f>
        <v>0</v>
      </c>
      <c r="AM122" s="4">
        <f>'4.1 Comptes 2021 natures'!AM122/'4.1 Comptes 2021 natures'!AM2</f>
        <v>0</v>
      </c>
      <c r="AN122" s="4">
        <f>'4.1 Comptes 2021 natures'!AN122/'4.1 Comptes 2021 natures'!AN2</f>
        <v>0</v>
      </c>
      <c r="AO122" s="4">
        <f>'4.1 Comptes 2021 natures'!AO122/'4.1 Comptes 2021 natures'!AO2</f>
        <v>131.27088607594936</v>
      </c>
      <c r="AP122" s="4">
        <f>'4.1 Comptes 2021 natures'!AP122/'4.1 Comptes 2021 natures'!AP2</f>
        <v>31.855140186915889</v>
      </c>
      <c r="AQ122" s="4">
        <f>'4.1 Comptes 2021 natures'!AQ122/'4.1 Comptes 2021 natures'!AQ2</f>
        <v>10.186413902053712</v>
      </c>
      <c r="AR122" s="4">
        <f>'4.1 Comptes 2021 natures'!AR122/'4.1 Comptes 2021 natures'!AR2</f>
        <v>2.4112149532710281</v>
      </c>
      <c r="AS122" s="4">
        <f>'4.1 Comptes 2021 natures'!AS122/'4.1 Comptes 2021 natures'!AS2</f>
        <v>0</v>
      </c>
      <c r="AT122" s="4">
        <f>'4.1 Comptes 2021 natures'!AT122/'4.1 Comptes 2021 natures'!AT2</f>
        <v>0</v>
      </c>
      <c r="AU122" s="4">
        <f>'4.1 Comptes 2021 natures'!AU122/'4.1 Comptes 2021 natures'!AU2</f>
        <v>25.828947368421051</v>
      </c>
      <c r="AV122" s="4">
        <f>'4.1 Comptes 2021 natures'!AV122/'4.1 Comptes 2021 natures'!AV2</f>
        <v>15.966417910447761</v>
      </c>
      <c r="AW122" s="4">
        <f>'4.1 Comptes 2021 natures'!AW122/'4.1 Comptes 2021 natures'!AW2</f>
        <v>33.863945578231295</v>
      </c>
      <c r="AX122" s="4">
        <f>'4.1 Comptes 2021 natures'!AX122/'4.1 Comptes 2021 natures'!AX2</f>
        <v>0</v>
      </c>
      <c r="AY122" s="4">
        <f>'4.1 Comptes 2021 natures'!AY122/'4.1 Comptes 2021 natures'!AY2</f>
        <v>1.8588235294117648</v>
      </c>
      <c r="AZ122" s="4">
        <f>'4.1 Comptes 2021 natures'!AZ122/'4.1 Comptes 2021 natures'!AZ2</f>
        <v>4.6576311137301118</v>
      </c>
      <c r="BA122" s="4">
        <f>'4.1 Comptes 2021 natures'!BA122/'4.1 Comptes 2021 natures'!BA2</f>
        <v>0</v>
      </c>
      <c r="BB122" s="4">
        <f>'4.1 Comptes 2021 natures'!BB122/'4.1 Comptes 2021 natures'!BB2</f>
        <v>39.24417520969245</v>
      </c>
      <c r="BC122" s="4">
        <f>'4.1 Comptes 2021 natures'!BC122/'4.1 Comptes 2021 natures'!BC2</f>
        <v>0.49456521739130432</v>
      </c>
      <c r="BD122" s="4">
        <f>'4.1 Comptes 2021 natures'!BD122/'4.1 Comptes 2021 natures'!BD2</f>
        <v>30.360037117228579</v>
      </c>
      <c r="BE122" s="4">
        <f>'4.1 Comptes 2021 natures'!BE122/'4.1 Comptes 2021 natures'!BE2</f>
        <v>0</v>
      </c>
      <c r="BF122" s="4">
        <f t="shared" ref="BF122:BF126" si="78">SUM(E122:BE122)</f>
        <v>747.65712151436253</v>
      </c>
      <c r="BG122" s="4">
        <f t="shared" ref="BG122:BG126" si="79">SUM(E122:W122)</f>
        <v>160.54103697143819</v>
      </c>
      <c r="BH122" s="4">
        <f t="shared" ref="BH122:BH126" si="80">SUM(X122:AJ122)</f>
        <v>258.58906565040746</v>
      </c>
      <c r="BI122" s="4">
        <f t="shared" ref="BI122:BI126" si="81">SUM(AK122:BE122)</f>
        <v>328.52701889251694</v>
      </c>
    </row>
    <row r="123" spans="2:61" x14ac:dyDescent="0.25">
      <c r="C123">
        <v>461</v>
      </c>
      <c r="D123" t="s">
        <v>177</v>
      </c>
      <c r="E123" s="4">
        <f>'4.1 Comptes 2021 natures'!E123/'4.1 Comptes 2021 natures'!E2</f>
        <v>290.67238648363252</v>
      </c>
      <c r="F123" s="4">
        <f>'4.1 Comptes 2021 natures'!F123/'4.1 Comptes 2021 natures'!F2</f>
        <v>23.586981132075472</v>
      </c>
      <c r="G123" s="4">
        <f>'4.1 Comptes 2021 natures'!G123/'4.1 Comptes 2021 natures'!G2</f>
        <v>64.388059701492537</v>
      </c>
      <c r="H123" s="4">
        <f>'4.1 Comptes 2021 natures'!H123/'4.1 Comptes 2021 natures'!H2</f>
        <v>4.349430523917996</v>
      </c>
      <c r="I123" s="4">
        <f>'4.1 Comptes 2021 natures'!I123/'4.1 Comptes 2021 natures'!I2</f>
        <v>121.68263143776824</v>
      </c>
      <c r="J123" s="4">
        <f>'4.1 Comptes 2021 natures'!J123/'4.1 Comptes 2021 natures'!J2</f>
        <v>260.81711509715996</v>
      </c>
      <c r="K123" s="4">
        <f>'4.1 Comptes 2021 natures'!K123/'4.1 Comptes 2021 natures'!K2</f>
        <v>255.38101055806936</v>
      </c>
      <c r="L123" s="4">
        <f>'4.1 Comptes 2021 natures'!L123/'4.1 Comptes 2021 natures'!L2</f>
        <v>938.91193444987573</v>
      </c>
      <c r="M123" s="4">
        <f>'4.1 Comptes 2021 natures'!M123/'4.1 Comptes 2021 natures'!M2</f>
        <v>558.45728476821193</v>
      </c>
      <c r="N123" s="4">
        <f>'4.1 Comptes 2021 natures'!N123/'4.1 Comptes 2021 natures'!N2</f>
        <v>890.11829059829051</v>
      </c>
      <c r="O123" s="4">
        <f>'4.1 Comptes 2021 natures'!O123/'4.1 Comptes 2021 natures'!O2</f>
        <v>139.07651149979341</v>
      </c>
      <c r="P123" s="4">
        <f>'4.1 Comptes 2021 natures'!P123/'4.1 Comptes 2021 natures'!P2</f>
        <v>8.2323420074349443</v>
      </c>
      <c r="Q123" s="4">
        <f>'4.1 Comptes 2021 natures'!Q123/'4.1 Comptes 2021 natures'!Q2</f>
        <v>3.4337837837837837</v>
      </c>
      <c r="R123" s="4">
        <f>'4.1 Comptes 2021 natures'!R123/'4.1 Comptes 2021 natures'!R2</f>
        <v>13.2687648456057</v>
      </c>
      <c r="S123" s="4">
        <f>'4.1 Comptes 2021 natures'!S123/'4.1 Comptes 2021 natures'!S2</f>
        <v>177.64898843930638</v>
      </c>
      <c r="T123" s="4">
        <f>'4.1 Comptes 2021 natures'!T123/'4.1 Comptes 2021 natures'!T2</f>
        <v>1.419718309859155</v>
      </c>
      <c r="U123" s="4">
        <f>'4.1 Comptes 2021 natures'!U123/'4.1 Comptes 2021 natures'!U2</f>
        <v>1.154460966542751</v>
      </c>
      <c r="V123" s="4">
        <f>'4.1 Comptes 2021 natures'!V123/'4.1 Comptes 2021 natures'!V2</f>
        <v>878.68909090909096</v>
      </c>
      <c r="W123" s="4">
        <f>'4.1 Comptes 2021 natures'!W123/'4.1 Comptes 2021 natures'!W2</f>
        <v>121.92022297925055</v>
      </c>
      <c r="X123" s="4">
        <f>'4.1 Comptes 2021 natures'!X123/'4.1 Comptes 2021 natures'!X2</f>
        <v>2.3254838709677417</v>
      </c>
      <c r="Y123" s="4">
        <f>'4.1 Comptes 2021 natures'!Y123/'4.1 Comptes 2021 natures'!Y2</f>
        <v>531.30673228346461</v>
      </c>
      <c r="Z123" s="4">
        <f>'4.1 Comptes 2021 natures'!Z123/'4.1 Comptes 2021 natures'!Z2</f>
        <v>594.70199203187246</v>
      </c>
      <c r="AA123" s="4">
        <f>'4.1 Comptes 2021 natures'!AA123/'4.1 Comptes 2021 natures'!AA2</f>
        <v>62.428645833333327</v>
      </c>
      <c r="AB123" s="4">
        <f>'4.1 Comptes 2021 natures'!AB123/'4.1 Comptes 2021 natures'!AB2</f>
        <v>245.29729729729729</v>
      </c>
      <c r="AC123" s="4">
        <f>'4.1 Comptes 2021 natures'!AC123/'4.1 Comptes 2021 natures'!AC2</f>
        <v>129.00936293436294</v>
      </c>
      <c r="AD123" s="4">
        <f>'4.1 Comptes 2021 natures'!AD123/'4.1 Comptes 2021 natures'!AD2</f>
        <v>398.73185449358061</v>
      </c>
      <c r="AE123" s="4">
        <f>'4.1 Comptes 2021 natures'!AE123/'4.1 Comptes 2021 natures'!AE2</f>
        <v>311.82367021276593</v>
      </c>
      <c r="AF123" s="4">
        <f>'4.1 Comptes 2021 natures'!AF123/'4.1 Comptes 2021 natures'!AF2</f>
        <v>6.6038095238095238</v>
      </c>
      <c r="AG123" s="4">
        <f>'4.1 Comptes 2021 natures'!AG123/'4.1 Comptes 2021 natures'!AG2</f>
        <v>218.8828444211629</v>
      </c>
      <c r="AH123" s="4">
        <f>'4.1 Comptes 2021 natures'!AH123/'4.1 Comptes 2021 natures'!AH2</f>
        <v>81.070813953488383</v>
      </c>
      <c r="AI123" s="4">
        <f>'4.1 Comptes 2021 natures'!AI123/'4.1 Comptes 2021 natures'!AI2</f>
        <v>213.57635135135135</v>
      </c>
      <c r="AJ123" s="4">
        <f>'4.1 Comptes 2021 natures'!AJ123/'4.1 Comptes 2021 natures'!AJ2</f>
        <v>106.65503875968992</v>
      </c>
      <c r="AK123" s="4">
        <f>'4.1 Comptes 2021 natures'!AK123/'4.1 Comptes 2021 natures'!AK2</f>
        <v>367.22377049180329</v>
      </c>
      <c r="AL123" s="4">
        <f>'4.1 Comptes 2021 natures'!AL123/'4.1 Comptes 2021 natures'!AL2</f>
        <v>74.380381882770862</v>
      </c>
      <c r="AM123" s="4">
        <f>'4.1 Comptes 2021 natures'!AM123/'4.1 Comptes 2021 natures'!AM2</f>
        <v>490.84746122448979</v>
      </c>
      <c r="AN123" s="4">
        <f>'4.1 Comptes 2021 natures'!AN123/'4.1 Comptes 2021 natures'!AN2</f>
        <v>0.58119658119658124</v>
      </c>
      <c r="AO123" s="4">
        <f>'4.1 Comptes 2021 natures'!AO123/'4.1 Comptes 2021 natures'!AO2</f>
        <v>10.591679324894514</v>
      </c>
      <c r="AP123" s="4">
        <f>'4.1 Comptes 2021 natures'!AP123/'4.1 Comptes 2021 natures'!AP2</f>
        <v>1155.0759034267912</v>
      </c>
      <c r="AQ123" s="4">
        <f>'4.1 Comptes 2021 natures'!AQ123/'4.1 Comptes 2021 natures'!AQ2</f>
        <v>8.9169036334913105</v>
      </c>
      <c r="AR123" s="4">
        <f>'4.1 Comptes 2021 natures'!AR123/'4.1 Comptes 2021 natures'!AR2</f>
        <v>733.19622274143296</v>
      </c>
      <c r="AS123" s="4">
        <f>'4.1 Comptes 2021 natures'!AS123/'4.1 Comptes 2021 natures'!AS2</f>
        <v>74.017920656634743</v>
      </c>
      <c r="AT123" s="4">
        <f>'4.1 Comptes 2021 natures'!AT123/'4.1 Comptes 2021 natures'!AT2</f>
        <v>98.246486220472434</v>
      </c>
      <c r="AU123" s="4">
        <f>'4.1 Comptes 2021 natures'!AU123/'4.1 Comptes 2021 natures'!AU2</f>
        <v>114.33957236842106</v>
      </c>
      <c r="AV123" s="4">
        <f>'4.1 Comptes 2021 natures'!AV123/'4.1 Comptes 2021 natures'!AV2</f>
        <v>653.38630597014924</v>
      </c>
      <c r="AW123" s="4">
        <f>'4.1 Comptes 2021 natures'!AW123/'4.1 Comptes 2021 natures'!AW2</f>
        <v>82.68442176870748</v>
      </c>
      <c r="AX123" s="4">
        <f>'4.1 Comptes 2021 natures'!AX123/'4.1 Comptes 2021 natures'!AX2</f>
        <v>5.241621621621622</v>
      </c>
      <c r="AY123" s="4">
        <f>'4.1 Comptes 2021 natures'!AY123/'4.1 Comptes 2021 natures'!AY2</f>
        <v>8.8523529411764716</v>
      </c>
      <c r="AZ123" s="4">
        <f>'4.1 Comptes 2021 natures'!AZ123/'4.1 Comptes 2021 natures'!AZ2</f>
        <v>251.33099587507365</v>
      </c>
      <c r="BA123" s="4">
        <f>'4.1 Comptes 2021 natures'!BA123/'4.1 Comptes 2021 natures'!BA2</f>
        <v>492.60605128205123</v>
      </c>
      <c r="BB123" s="4">
        <f>'4.1 Comptes 2021 natures'!BB123/'4.1 Comptes 2021 natures'!BB2</f>
        <v>580.29576887232054</v>
      </c>
      <c r="BC123" s="4">
        <f>'4.1 Comptes 2021 natures'!BC123/'4.1 Comptes 2021 natures'!BC2</f>
        <v>1.4728260869565217</v>
      </c>
      <c r="BD123" s="4">
        <f>'4.1 Comptes 2021 natures'!BD123/'4.1 Comptes 2021 natures'!BD2</f>
        <v>914.64746365604697</v>
      </c>
      <c r="BE123" s="4">
        <f>'4.1 Comptes 2021 natures'!BE123/'4.1 Comptes 2021 natures'!BE2</f>
        <v>288.40635062611807</v>
      </c>
      <c r="BF123" s="4">
        <f t="shared" si="78"/>
        <v>14061.964562710929</v>
      </c>
      <c r="BG123" s="4">
        <f t="shared" si="79"/>
        <v>4753.2090084911624</v>
      </c>
      <c r="BH123" s="4">
        <f t="shared" si="80"/>
        <v>2902.4138969671471</v>
      </c>
      <c r="BI123" s="4">
        <f t="shared" si="81"/>
        <v>6406.3416572526221</v>
      </c>
    </row>
    <row r="124" spans="2:61" x14ac:dyDescent="0.25">
      <c r="C124">
        <v>462</v>
      </c>
      <c r="D124" t="s">
        <v>113</v>
      </c>
      <c r="E124" s="4">
        <f>'4.1 Comptes 2021 natures'!E124/'4.1 Comptes 2021 natures'!E2</f>
        <v>0</v>
      </c>
      <c r="F124" s="4">
        <f>'4.1 Comptes 2021 natures'!F124/'4.1 Comptes 2021 natures'!F2</f>
        <v>430.70943396226414</v>
      </c>
      <c r="G124" s="4">
        <f>'4.1 Comptes 2021 natures'!G124/'4.1 Comptes 2021 natures'!G2</f>
        <v>125.6503198294243</v>
      </c>
      <c r="H124" s="4">
        <f>'4.1 Comptes 2021 natures'!H124/'4.1 Comptes 2021 natures'!H2</f>
        <v>335.55808656036447</v>
      </c>
      <c r="I124" s="4">
        <f>'4.1 Comptes 2021 natures'!I124/'4.1 Comptes 2021 natures'!I2</f>
        <v>350.83369098712444</v>
      </c>
      <c r="J124" s="4">
        <f>'4.1 Comptes 2021 natures'!J124/'4.1 Comptes 2021 natures'!J2</f>
        <v>46.203587443946191</v>
      </c>
      <c r="K124" s="4">
        <f>'4.1 Comptes 2021 natures'!K124/'4.1 Comptes 2021 natures'!K2</f>
        <v>0</v>
      </c>
      <c r="L124" s="4">
        <f>'4.1 Comptes 2021 natures'!L124/'4.1 Comptes 2021 natures'!L2</f>
        <v>74.49188236236877</v>
      </c>
      <c r="M124" s="4">
        <f>'4.1 Comptes 2021 natures'!M124/'4.1 Comptes 2021 natures'!M2</f>
        <v>0</v>
      </c>
      <c r="N124" s="4">
        <f>'4.1 Comptes 2021 natures'!N124/'4.1 Comptes 2021 natures'!N2</f>
        <v>978.46153846153845</v>
      </c>
      <c r="O124" s="4">
        <f>'4.1 Comptes 2021 natures'!O124/'4.1 Comptes 2021 natures'!O2</f>
        <v>213.88858283982921</v>
      </c>
      <c r="P124" s="4">
        <f>'4.1 Comptes 2021 natures'!P124/'4.1 Comptes 2021 natures'!P2</f>
        <v>570.2342007434944</v>
      </c>
      <c r="Q124" s="4">
        <f>'4.1 Comptes 2021 natures'!Q124/'4.1 Comptes 2021 natures'!Q2</f>
        <v>112.8018018018018</v>
      </c>
      <c r="R124" s="4">
        <f>'4.1 Comptes 2021 natures'!R124/'4.1 Comptes 2021 natures'!R2</f>
        <v>462.63657957244658</v>
      </c>
      <c r="S124" s="4">
        <f>'4.1 Comptes 2021 natures'!S124/'4.1 Comptes 2021 natures'!S2</f>
        <v>503.56647398843933</v>
      </c>
      <c r="T124" s="4">
        <f>'4.1 Comptes 2021 natures'!T124/'4.1 Comptes 2021 natures'!T2</f>
        <v>0</v>
      </c>
      <c r="U124" s="4">
        <f>'4.1 Comptes 2021 natures'!U124/'4.1 Comptes 2021 natures'!U2</f>
        <v>604.16356877323415</v>
      </c>
      <c r="V124" s="4">
        <f>'4.1 Comptes 2021 natures'!V124/'4.1 Comptes 2021 natures'!V2</f>
        <v>0</v>
      </c>
      <c r="W124" s="4">
        <f>'4.1 Comptes 2021 natures'!W124/'4.1 Comptes 2021 natures'!W2</f>
        <v>381.17993186745122</v>
      </c>
      <c r="X124" s="4">
        <f>'4.1 Comptes 2021 natures'!X124/'4.1 Comptes 2021 natures'!X2</f>
        <v>109.23870967741935</v>
      </c>
      <c r="Y124" s="4">
        <f>'4.1 Comptes 2021 natures'!Y124/'4.1 Comptes 2021 natures'!Y2</f>
        <v>11.13228346456693</v>
      </c>
      <c r="Z124" s="4">
        <f>'4.1 Comptes 2021 natures'!Z124/'4.1 Comptes 2021 natures'!Z2</f>
        <v>18.631474103585656</v>
      </c>
      <c r="AA124" s="4">
        <f>'4.1 Comptes 2021 natures'!AA124/'4.1 Comptes 2021 natures'!AA2</f>
        <v>956.39583333333337</v>
      </c>
      <c r="AB124" s="4">
        <f>'4.1 Comptes 2021 natures'!AB124/'4.1 Comptes 2021 natures'!AB2</f>
        <v>416.7837837837838</v>
      </c>
      <c r="AC124" s="4">
        <f>'4.1 Comptes 2021 natures'!AC124/'4.1 Comptes 2021 natures'!AC2</f>
        <v>0</v>
      </c>
      <c r="AD124" s="4">
        <f>'4.1 Comptes 2021 natures'!AD124/'4.1 Comptes 2021 natures'!AD2</f>
        <v>451.72325249643364</v>
      </c>
      <c r="AE124" s="4">
        <f>'4.1 Comptes 2021 natures'!AE124/'4.1 Comptes 2021 natures'!AE2</f>
        <v>215.30141843971631</v>
      </c>
      <c r="AF124" s="4">
        <f>'4.1 Comptes 2021 natures'!AF124/'4.1 Comptes 2021 natures'!AF2</f>
        <v>0</v>
      </c>
      <c r="AG124" s="4">
        <f>'4.1 Comptes 2021 natures'!AG124/'4.1 Comptes 2021 natures'!AG2</f>
        <v>0</v>
      </c>
      <c r="AH124" s="4">
        <f>'4.1 Comptes 2021 natures'!AH124/'4.1 Comptes 2021 natures'!AH2</f>
        <v>107.59302325581395</v>
      </c>
      <c r="AI124" s="4">
        <f>'4.1 Comptes 2021 natures'!AI124/'4.1 Comptes 2021 natures'!AI2</f>
        <v>973.06306306306305</v>
      </c>
      <c r="AJ124" s="4">
        <f>'4.1 Comptes 2021 natures'!AJ124/'4.1 Comptes 2021 natures'!AJ2</f>
        <v>431.03875968992247</v>
      </c>
      <c r="AK124" s="4">
        <f>'4.1 Comptes 2021 natures'!AK124/'4.1 Comptes 2021 natures'!AK2</f>
        <v>173.40243257535695</v>
      </c>
      <c r="AL124" s="4">
        <f>'4.1 Comptes 2021 natures'!AL124/'4.1 Comptes 2021 natures'!AL2</f>
        <v>566.30550621669624</v>
      </c>
      <c r="AM124" s="4">
        <f>'4.1 Comptes 2021 natures'!AM124/'4.1 Comptes 2021 natures'!AM2</f>
        <v>667.16897959183677</v>
      </c>
      <c r="AN124" s="4">
        <f>'4.1 Comptes 2021 natures'!AN124/'4.1 Comptes 2021 natures'!AN2</f>
        <v>423.33333333333331</v>
      </c>
      <c r="AO124" s="4">
        <f>'4.1 Comptes 2021 natures'!AO124/'4.1 Comptes 2021 natures'!AO2</f>
        <v>0</v>
      </c>
      <c r="AP124" s="4">
        <f>'4.1 Comptes 2021 natures'!AP124/'4.1 Comptes 2021 natures'!AP2</f>
        <v>9.6713395638629276</v>
      </c>
      <c r="AQ124" s="4">
        <f>'4.1 Comptes 2021 natures'!AQ124/'4.1 Comptes 2021 natures'!AQ2</f>
        <v>0</v>
      </c>
      <c r="AR124" s="4">
        <f>'4.1 Comptes 2021 natures'!AR124/'4.1 Comptes 2021 natures'!AR2</f>
        <v>512.96417445482871</v>
      </c>
      <c r="AS124" s="4">
        <f>'4.1 Comptes 2021 natures'!AS124/'4.1 Comptes 2021 natures'!AS2</f>
        <v>654.33378932968537</v>
      </c>
      <c r="AT124" s="4">
        <f>'4.1 Comptes 2021 natures'!AT124/'4.1 Comptes 2021 natures'!AT2</f>
        <v>324.96850393700788</v>
      </c>
      <c r="AU124" s="4">
        <f>'4.1 Comptes 2021 natures'!AU124/'4.1 Comptes 2021 natures'!AU2</f>
        <v>0</v>
      </c>
      <c r="AV124" s="4">
        <f>'4.1 Comptes 2021 natures'!AV124/'4.1 Comptes 2021 natures'!AV2</f>
        <v>0</v>
      </c>
      <c r="AW124" s="4">
        <f>'4.1 Comptes 2021 natures'!AW124/'4.1 Comptes 2021 natures'!AW2</f>
        <v>7.1374149659863946</v>
      </c>
      <c r="AX124" s="4">
        <f>'4.1 Comptes 2021 natures'!AX124/'4.1 Comptes 2021 natures'!AX2</f>
        <v>331.81621621621622</v>
      </c>
      <c r="AY124" s="4">
        <f>'4.1 Comptes 2021 natures'!AY124/'4.1 Comptes 2021 natures'!AY2</f>
        <v>346.64117647058822</v>
      </c>
      <c r="AZ124" s="4">
        <f>'4.1 Comptes 2021 natures'!AZ124/'4.1 Comptes 2021 natures'!AZ2</f>
        <v>290.54036535061874</v>
      </c>
      <c r="BA124" s="4">
        <f>'4.1 Comptes 2021 natures'!BA124/'4.1 Comptes 2021 natures'!BA2</f>
        <v>487.26923076923077</v>
      </c>
      <c r="BB124" s="4">
        <f>'4.1 Comptes 2021 natures'!BB124/'4.1 Comptes 2021 natures'!BB2</f>
        <v>0</v>
      </c>
      <c r="BC124" s="4">
        <f>'4.1 Comptes 2021 natures'!BC124/'4.1 Comptes 2021 natures'!BC2</f>
        <v>843.63043478260875</v>
      </c>
      <c r="BD124" s="4">
        <f>'4.1 Comptes 2021 natures'!BD124/'4.1 Comptes 2021 natures'!BD2</f>
        <v>68.274512836374882</v>
      </c>
      <c r="BE124" s="4">
        <f>'4.1 Comptes 2021 natures'!BE124/'4.1 Comptes 2021 natures'!BE2</f>
        <v>422.32558139534882</v>
      </c>
      <c r="BF124" s="4">
        <f t="shared" si="78"/>
        <v>15011.064272290947</v>
      </c>
      <c r="BG124" s="4">
        <f t="shared" si="79"/>
        <v>5190.3796791937275</v>
      </c>
      <c r="BH124" s="4">
        <f t="shared" si="80"/>
        <v>3690.901601307638</v>
      </c>
      <c r="BI124" s="4">
        <f t="shared" si="81"/>
        <v>6129.7829917895815</v>
      </c>
    </row>
    <row r="125" spans="2:61" x14ac:dyDescent="0.25">
      <c r="C125">
        <v>463</v>
      </c>
      <c r="D125" t="s">
        <v>178</v>
      </c>
      <c r="E125" s="4">
        <f>'4.1 Comptes 2021 natures'!E125/'4.1 Comptes 2021 natures'!E2</f>
        <v>59.308870116156285</v>
      </c>
      <c r="F125" s="4">
        <f>'4.1 Comptes 2021 natures'!F125/'4.1 Comptes 2021 natures'!F2</f>
        <v>96.701509433962272</v>
      </c>
      <c r="G125" s="4">
        <f>'4.1 Comptes 2021 natures'!G125/'4.1 Comptes 2021 natures'!G2</f>
        <v>46.242537313432834</v>
      </c>
      <c r="H125" s="4">
        <f>'4.1 Comptes 2021 natures'!H125/'4.1 Comptes 2021 natures'!H2</f>
        <v>96.765717539863331</v>
      </c>
      <c r="I125" s="4">
        <f>'4.1 Comptes 2021 natures'!I125/'4.1 Comptes 2021 natures'!I2</f>
        <v>77.440356759656652</v>
      </c>
      <c r="J125" s="4">
        <f>'4.1 Comptes 2021 natures'!J125/'4.1 Comptes 2021 natures'!J2</f>
        <v>97.052032884902843</v>
      </c>
      <c r="K125" s="4">
        <f>'4.1 Comptes 2021 natures'!K125/'4.1 Comptes 2021 natures'!K2</f>
        <v>49.755015082956255</v>
      </c>
      <c r="L125" s="4">
        <f>'4.1 Comptes 2021 natures'!L125/'4.1 Comptes 2021 natures'!L2</f>
        <v>142.04923791970509</v>
      </c>
      <c r="M125" s="4">
        <f>'4.1 Comptes 2021 natures'!M125/'4.1 Comptes 2021 natures'!M2</f>
        <v>77.169278881530545</v>
      </c>
      <c r="N125" s="4">
        <f>'4.1 Comptes 2021 natures'!N125/'4.1 Comptes 2021 natures'!N2</f>
        <v>107.14786324786324</v>
      </c>
      <c r="O125" s="4">
        <f>'4.1 Comptes 2021 natures'!O125/'4.1 Comptes 2021 natures'!O2</f>
        <v>100.65139512463848</v>
      </c>
      <c r="P125" s="4">
        <f>'4.1 Comptes 2021 natures'!P125/'4.1 Comptes 2021 natures'!P2</f>
        <v>68.446282527881039</v>
      </c>
      <c r="Q125" s="4">
        <f>'4.1 Comptes 2021 natures'!Q125/'4.1 Comptes 2021 natures'!Q2</f>
        <v>53.117117117117118</v>
      </c>
      <c r="R125" s="4">
        <f>'4.1 Comptes 2021 natures'!R125/'4.1 Comptes 2021 natures'!R2</f>
        <v>26.809382422802852</v>
      </c>
      <c r="S125" s="4">
        <f>'4.1 Comptes 2021 natures'!S125/'4.1 Comptes 2021 natures'!S2</f>
        <v>58.874277456647398</v>
      </c>
      <c r="T125" s="4">
        <f>'4.1 Comptes 2021 natures'!T125/'4.1 Comptes 2021 natures'!T2</f>
        <v>52.800140845070423</v>
      </c>
      <c r="U125" s="4">
        <f>'4.1 Comptes 2021 natures'!U125/'4.1 Comptes 2021 natures'!U2</f>
        <v>108.00334572490706</v>
      </c>
      <c r="V125" s="4">
        <f>'4.1 Comptes 2021 natures'!V125/'4.1 Comptes 2021 natures'!V2</f>
        <v>190.17886363636362</v>
      </c>
      <c r="W125" s="4">
        <f>'4.1 Comptes 2021 natures'!W125/'4.1 Comptes 2021 natures'!W2</f>
        <v>105.81243109321773</v>
      </c>
      <c r="X125" s="4">
        <f>'4.1 Comptes 2021 natures'!X125/'4.1 Comptes 2021 natures'!X2</f>
        <v>1526.5696774193548</v>
      </c>
      <c r="Y125" s="4">
        <f>'4.1 Comptes 2021 natures'!Y125/'4.1 Comptes 2021 natures'!Y2</f>
        <v>68.425787401574809</v>
      </c>
      <c r="Z125" s="4">
        <f>'4.1 Comptes 2021 natures'!Z125/'4.1 Comptes 2021 natures'!Z2</f>
        <v>345.11128818061087</v>
      </c>
      <c r="AA125" s="4">
        <f>'4.1 Comptes 2021 natures'!AA125/'4.1 Comptes 2021 natures'!AA2</f>
        <v>57.755208333333336</v>
      </c>
      <c r="AB125" s="4">
        <f>'4.1 Comptes 2021 natures'!AB125/'4.1 Comptes 2021 natures'!AB2</f>
        <v>123.13141891891892</v>
      </c>
      <c r="AC125" s="4">
        <f>'4.1 Comptes 2021 natures'!AC125/'4.1 Comptes 2021 natures'!AC2</f>
        <v>278.08484555984558</v>
      </c>
      <c r="AD125" s="4">
        <f>'4.1 Comptes 2021 natures'!AD125/'4.1 Comptes 2021 natures'!AD2</f>
        <v>135.25057061340939</v>
      </c>
      <c r="AE125" s="4">
        <f>'4.1 Comptes 2021 natures'!AE125/'4.1 Comptes 2021 natures'!AE2</f>
        <v>153.31640070921986</v>
      </c>
      <c r="AF125" s="4">
        <f>'4.1 Comptes 2021 natures'!AF125/'4.1 Comptes 2021 natures'!AF2</f>
        <v>519.23476190476185</v>
      </c>
      <c r="AG125" s="4">
        <f>'4.1 Comptes 2021 natures'!AG125/'4.1 Comptes 2021 natures'!AG2</f>
        <v>145.75570979570458</v>
      </c>
      <c r="AH125" s="4">
        <f>'4.1 Comptes 2021 natures'!AH125/'4.1 Comptes 2021 natures'!AH2</f>
        <v>289.51420542635663</v>
      </c>
      <c r="AI125" s="4">
        <f>'4.1 Comptes 2021 natures'!AI125/'4.1 Comptes 2021 natures'!AI2</f>
        <v>234.79662162162163</v>
      </c>
      <c r="AJ125" s="4">
        <f>'4.1 Comptes 2021 natures'!AJ125/'4.1 Comptes 2021 natures'!AJ2</f>
        <v>188.06589147286823</v>
      </c>
      <c r="AK125" s="4">
        <f>'4.1 Comptes 2021 natures'!AK125/'4.1 Comptes 2021 natures'!AK2</f>
        <v>97.288974087784254</v>
      </c>
      <c r="AL125" s="4">
        <f>'4.1 Comptes 2021 natures'!AL125/'4.1 Comptes 2021 natures'!AL2</f>
        <v>234.206918294849</v>
      </c>
      <c r="AM125" s="4">
        <f>'4.1 Comptes 2021 natures'!AM125/'4.1 Comptes 2021 natures'!AM2</f>
        <v>153.10878367346939</v>
      </c>
      <c r="AN125" s="4">
        <f>'4.1 Comptes 2021 natures'!AN125/'4.1 Comptes 2021 natures'!AN2</f>
        <v>281.90811965811963</v>
      </c>
      <c r="AO125" s="4">
        <f>'4.1 Comptes 2021 natures'!AO125/'4.1 Comptes 2021 natures'!AO2</f>
        <v>178.13313924050632</v>
      </c>
      <c r="AP125" s="4">
        <f>'4.1 Comptes 2021 natures'!AP125/'4.1 Comptes 2021 natures'!AP2</f>
        <v>216.97281931464173</v>
      </c>
      <c r="AQ125" s="4">
        <f>'4.1 Comptes 2021 natures'!AQ125/'4.1 Comptes 2021 natures'!AQ2</f>
        <v>231.92022116903632</v>
      </c>
      <c r="AR125" s="4">
        <f>'4.1 Comptes 2021 natures'!AR125/'4.1 Comptes 2021 natures'!AR2</f>
        <v>76.262305295950156</v>
      </c>
      <c r="AS125" s="4">
        <f>'4.1 Comptes 2021 natures'!AS125/'4.1 Comptes 2021 natures'!AS2</f>
        <v>73.757865937072509</v>
      </c>
      <c r="AT125" s="4">
        <f>'4.1 Comptes 2021 natures'!AT125/'4.1 Comptes 2021 natures'!AT2</f>
        <v>316.95910433070867</v>
      </c>
      <c r="AU125" s="4">
        <f>'4.1 Comptes 2021 natures'!AU125/'4.1 Comptes 2021 natures'!AU2</f>
        <v>197.15756578947369</v>
      </c>
      <c r="AV125" s="4">
        <f>'4.1 Comptes 2021 natures'!AV125/'4.1 Comptes 2021 natures'!AV2</f>
        <v>47.153399668325044</v>
      </c>
      <c r="AW125" s="4">
        <f>'4.1 Comptes 2021 natures'!AW125/'4.1 Comptes 2021 natures'!AW2</f>
        <v>178.74374149659863</v>
      </c>
      <c r="AX125" s="4">
        <f>'4.1 Comptes 2021 natures'!AX125/'4.1 Comptes 2021 natures'!AX2</f>
        <v>74.127837837837831</v>
      </c>
      <c r="AY125" s="4">
        <f>'4.1 Comptes 2021 natures'!AY125/'4.1 Comptes 2021 natures'!AY2</f>
        <v>54.386764705882356</v>
      </c>
      <c r="AZ125" s="4">
        <f>'4.1 Comptes 2021 natures'!AZ125/'4.1 Comptes 2021 natures'!AZ2</f>
        <v>56.682262816735417</v>
      </c>
      <c r="BA125" s="4">
        <f>'4.1 Comptes 2021 natures'!BA125/'4.1 Comptes 2021 natures'!BA2</f>
        <v>82.683076923076925</v>
      </c>
      <c r="BB125" s="4">
        <f>'4.1 Comptes 2021 natures'!BB125/'4.1 Comptes 2021 natures'!BB2</f>
        <v>147.68299161230198</v>
      </c>
      <c r="BC125" s="4">
        <f>'4.1 Comptes 2021 natures'!BC125/'4.1 Comptes 2021 natures'!BC2</f>
        <v>227.33423913043478</v>
      </c>
      <c r="BD125" s="4">
        <f>'4.1 Comptes 2021 natures'!BD125/'4.1 Comptes 2021 natures'!BD2</f>
        <v>183.11333900402104</v>
      </c>
      <c r="BE125" s="4">
        <f>'4.1 Comptes 2021 natures'!BE125/'4.1 Comptes 2021 natures'!BE2</f>
        <v>250.6973166368515</v>
      </c>
      <c r="BF125" s="4">
        <f t="shared" si="78"/>
        <v>9039.6188291099334</v>
      </c>
      <c r="BG125" s="4">
        <f t="shared" si="79"/>
        <v>1614.3256551286752</v>
      </c>
      <c r="BH125" s="4">
        <f t="shared" si="80"/>
        <v>4065.0123873575803</v>
      </c>
      <c r="BI125" s="4">
        <f t="shared" si="81"/>
        <v>3360.2807866236776</v>
      </c>
    </row>
    <row r="126" spans="2:61" x14ac:dyDescent="0.25">
      <c r="C126">
        <v>469</v>
      </c>
      <c r="D126" t="s">
        <v>179</v>
      </c>
      <c r="E126" s="4">
        <f>'4.1 Comptes 2021 natures'!E126/'4.1 Comptes 2021 natures'!E2</f>
        <v>0.11182682154171067</v>
      </c>
      <c r="F126" s="4">
        <f>'4.1 Comptes 2021 natures'!F126/'4.1 Comptes 2021 natures'!F2</f>
        <v>3.6603773584905658E-2</v>
      </c>
      <c r="G126" s="4">
        <f>'4.1 Comptes 2021 natures'!G126/'4.1 Comptes 2021 natures'!G2</f>
        <v>0</v>
      </c>
      <c r="H126" s="4">
        <f>'4.1 Comptes 2021 natures'!H126/'4.1 Comptes 2021 natures'!H2</f>
        <v>0.12141230068337129</v>
      </c>
      <c r="I126" s="4">
        <f>'4.1 Comptes 2021 natures'!I126/'4.1 Comptes 2021 natures'!I2</f>
        <v>0.2698095493562232</v>
      </c>
      <c r="J126" s="4">
        <f>'4.1 Comptes 2021 natures'!J126/'4.1 Comptes 2021 natures'!J2</f>
        <v>0.20878923766816143</v>
      </c>
      <c r="K126" s="4">
        <f>'4.1 Comptes 2021 natures'!K126/'4.1 Comptes 2021 natures'!K2</f>
        <v>8.0165912518853688E-2</v>
      </c>
      <c r="L126" s="4">
        <f>'4.1 Comptes 2021 natures'!L126/'4.1 Comptes 2021 natures'!L2</f>
        <v>590.73751903197376</v>
      </c>
      <c r="M126" s="4">
        <f>'4.1 Comptes 2021 natures'!M126/'4.1 Comptes 2021 natures'!M2</f>
        <v>267.82612214863872</v>
      </c>
      <c r="N126" s="4">
        <f>'4.1 Comptes 2021 natures'!N126/'4.1 Comptes 2021 natures'!N2</f>
        <v>0</v>
      </c>
      <c r="O126" s="4">
        <f>'4.1 Comptes 2021 natures'!O126/'4.1 Comptes 2021 natures'!O2</f>
        <v>3.9658242666299404</v>
      </c>
      <c r="P126" s="4">
        <f>'4.1 Comptes 2021 natures'!P126/'4.1 Comptes 2021 natures'!P2</f>
        <v>0</v>
      </c>
      <c r="Q126" s="4">
        <f>'4.1 Comptes 2021 natures'!Q126/'4.1 Comptes 2021 natures'!Q2</f>
        <v>0.10855855855855856</v>
      </c>
      <c r="R126" s="4">
        <f>'4.1 Comptes 2021 natures'!R126/'4.1 Comptes 2021 natures'!R2</f>
        <v>0.13527315914489313</v>
      </c>
      <c r="S126" s="4">
        <f>'4.1 Comptes 2021 natures'!S126/'4.1 Comptes 2021 natures'!S2</f>
        <v>7.3699421965317924E-2</v>
      </c>
      <c r="T126" s="4">
        <f>'4.1 Comptes 2021 natures'!T126/'4.1 Comptes 2021 natures'!T2</f>
        <v>0</v>
      </c>
      <c r="U126" s="4">
        <f>'4.1 Comptes 2021 natures'!U126/'4.1 Comptes 2021 natures'!U2</f>
        <v>0</v>
      </c>
      <c r="V126" s="4">
        <f>'4.1 Comptes 2021 natures'!V126/'4.1 Comptes 2021 natures'!V2</f>
        <v>0.16681818181818184</v>
      </c>
      <c r="W126" s="4">
        <f>'4.1 Comptes 2021 natures'!W126/'4.1 Comptes 2021 natures'!W2</f>
        <v>0.15353050480024774</v>
      </c>
      <c r="X126" s="4">
        <f>'4.1 Comptes 2021 natures'!X126/'4.1 Comptes 2021 natures'!X2</f>
        <v>2.0379032258064518</v>
      </c>
      <c r="Y126" s="4">
        <f>'4.1 Comptes 2021 natures'!Y126/'4.1 Comptes 2021 natures'!Y2</f>
        <v>4.0212598425196848</v>
      </c>
      <c r="Z126" s="4">
        <f>'4.1 Comptes 2021 natures'!Z126/'4.1 Comptes 2021 natures'!Z2</f>
        <v>0.26600265604249668</v>
      </c>
      <c r="AA126" s="4">
        <f>'4.1 Comptes 2021 natures'!AA126/'4.1 Comptes 2021 natures'!AA2</f>
        <v>2.4822916666666668</v>
      </c>
      <c r="AB126" s="4">
        <f>'4.1 Comptes 2021 natures'!AB126/'4.1 Comptes 2021 natures'!AB2</f>
        <v>5.2064189189189189</v>
      </c>
      <c r="AC126" s="4">
        <f>'4.1 Comptes 2021 natures'!AC126/'4.1 Comptes 2021 natures'!AC2</f>
        <v>2.8254826254826253</v>
      </c>
      <c r="AD126" s="4">
        <f>'4.1 Comptes 2021 natures'!AD126/'4.1 Comptes 2021 natures'!AD2</f>
        <v>0.8977888730385164</v>
      </c>
      <c r="AE126" s="4">
        <f>'4.1 Comptes 2021 natures'!AE126/'4.1 Comptes 2021 natures'!AE2</f>
        <v>0.12313829787234043</v>
      </c>
      <c r="AF126" s="4">
        <f>'4.1 Comptes 2021 natures'!AF126/'4.1 Comptes 2021 natures'!AF2</f>
        <v>0</v>
      </c>
      <c r="AG126" s="4">
        <f>'4.1 Comptes 2021 natures'!AG126/'4.1 Comptes 2021 natures'!AG2</f>
        <v>1.0899423782084861</v>
      </c>
      <c r="AH126" s="4">
        <f>'4.1 Comptes 2021 natures'!AH126/'4.1 Comptes 2021 natures'!AH2</f>
        <v>2.6571124031007751</v>
      </c>
      <c r="AI126" s="4">
        <f>'4.1 Comptes 2021 natures'!AI126/'4.1 Comptes 2021 natures'!AI2</f>
        <v>1.3981981981981981</v>
      </c>
      <c r="AJ126" s="4">
        <f>'4.1 Comptes 2021 natures'!AJ126/'4.1 Comptes 2021 natures'!AJ2</f>
        <v>1.4151162790697676</v>
      </c>
      <c r="AK126" s="4">
        <f>'4.1 Comptes 2021 natures'!AK126/'4.1 Comptes 2021 natures'!AK2</f>
        <v>0.89516129032258063</v>
      </c>
      <c r="AL126" s="4">
        <f>'4.1 Comptes 2021 natures'!AL126/'4.1 Comptes 2021 natures'!AL2</f>
        <v>14.300888099467139</v>
      </c>
      <c r="AM126" s="4">
        <f>'4.1 Comptes 2021 natures'!AM126/'4.1 Comptes 2021 natures'!AM2</f>
        <v>9.0651020408163259</v>
      </c>
      <c r="AN126" s="4">
        <f>'4.1 Comptes 2021 natures'!AN126/'4.1 Comptes 2021 natures'!AN2</f>
        <v>4.9149572649572644</v>
      </c>
      <c r="AO126" s="4">
        <f>'4.1 Comptes 2021 natures'!AO126/'4.1 Comptes 2021 natures'!AO2</f>
        <v>0.25687763713080169</v>
      </c>
      <c r="AP126" s="4">
        <f>'4.1 Comptes 2021 natures'!AP126/'4.1 Comptes 2021 natures'!AP2</f>
        <v>2.6669781931464174</v>
      </c>
      <c r="AQ126" s="4">
        <f>'4.1 Comptes 2021 natures'!AQ126/'4.1 Comptes 2021 natures'!AQ2</f>
        <v>9.5944707740916275</v>
      </c>
      <c r="AR126" s="4">
        <f>'4.1 Comptes 2021 natures'!AR126/'4.1 Comptes 2021 natures'!AR2</f>
        <v>9.6643691588785039</v>
      </c>
      <c r="AS126" s="4">
        <f>'4.1 Comptes 2021 natures'!AS126/'4.1 Comptes 2021 natures'!AS2</f>
        <v>1.5645690834473325</v>
      </c>
      <c r="AT126" s="4">
        <f>'4.1 Comptes 2021 natures'!AT126/'4.1 Comptes 2021 natures'!AT2</f>
        <v>9.3996062992125984E-2</v>
      </c>
      <c r="AU126" s="4">
        <f>'4.1 Comptes 2021 natures'!AU126/'4.1 Comptes 2021 natures'!AU2</f>
        <v>2.5753289473684209</v>
      </c>
      <c r="AV126" s="4">
        <f>'4.1 Comptes 2021 natures'!AV126/'4.1 Comptes 2021 natures'!AV2</f>
        <v>9.6289386401326699E-2</v>
      </c>
      <c r="AW126" s="4">
        <f>'4.1 Comptes 2021 natures'!AW126/'4.1 Comptes 2021 natures'!AW2</f>
        <v>1.5923129251700678</v>
      </c>
      <c r="AX126" s="4">
        <f>'4.1 Comptes 2021 natures'!AX126/'4.1 Comptes 2021 natures'!AX2</f>
        <v>10.141351351351352</v>
      </c>
      <c r="AY126" s="4">
        <f>'4.1 Comptes 2021 natures'!AY126/'4.1 Comptes 2021 natures'!AY2</f>
        <v>8.6770588235294106</v>
      </c>
      <c r="AZ126" s="4">
        <f>'4.1 Comptes 2021 natures'!AZ126/'4.1 Comptes 2021 natures'!AZ2</f>
        <v>0.12527990571596936</v>
      </c>
      <c r="BA126" s="4">
        <f>'4.1 Comptes 2021 natures'!BA126/'4.1 Comptes 2021 natures'!BA2</f>
        <v>7.5641025641025636E-2</v>
      </c>
      <c r="BB126" s="4">
        <f>'4.1 Comptes 2021 natures'!BB126/'4.1 Comptes 2021 natures'!BB2</f>
        <v>0.28261882572227398</v>
      </c>
      <c r="BC126" s="4">
        <f>'4.1 Comptes 2021 natures'!BC126/'4.1 Comptes 2021 natures'!BC2</f>
        <v>10.278260869565218</v>
      </c>
      <c r="BD126" s="4">
        <f>'4.1 Comptes 2021 natures'!BD126/'4.1 Comptes 2021 natures'!BD2</f>
        <v>9.1916718218373035</v>
      </c>
      <c r="BE126" s="4">
        <f>'4.1 Comptes 2021 natures'!BE126/'4.1 Comptes 2021 natures'!BE2</f>
        <v>12.274955277280858</v>
      </c>
      <c r="BF126" s="4">
        <f t="shared" si="78"/>
        <v>996.74474699864084</v>
      </c>
      <c r="BG126" s="4">
        <f t="shared" si="79"/>
        <v>863.99595286888291</v>
      </c>
      <c r="BH126" s="4">
        <f t="shared" si="80"/>
        <v>24.420655364924933</v>
      </c>
      <c r="BI126" s="4">
        <f t="shared" si="81"/>
        <v>108.32813876483333</v>
      </c>
    </row>
    <row r="127" spans="2:61" x14ac:dyDescent="0.25">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row>
    <row r="128" spans="2:61" x14ac:dyDescent="0.25">
      <c r="B128" s="78">
        <v>47</v>
      </c>
      <c r="C128" s="78"/>
      <c r="D128" s="78" t="s">
        <v>119</v>
      </c>
      <c r="E128" s="73">
        <f>E129</f>
        <v>0</v>
      </c>
      <c r="F128" s="73">
        <f t="shared" ref="F128:BI128" si="82">F129</f>
        <v>0</v>
      </c>
      <c r="G128" s="73">
        <f t="shared" si="82"/>
        <v>0</v>
      </c>
      <c r="H128" s="73">
        <f t="shared" si="82"/>
        <v>0</v>
      </c>
      <c r="I128" s="73">
        <f t="shared" si="82"/>
        <v>0</v>
      </c>
      <c r="J128" s="73">
        <f t="shared" si="82"/>
        <v>0</v>
      </c>
      <c r="K128" s="73">
        <f t="shared" si="82"/>
        <v>0</v>
      </c>
      <c r="L128" s="73">
        <f t="shared" si="82"/>
        <v>0</v>
      </c>
      <c r="M128" s="73">
        <f t="shared" si="82"/>
        <v>0</v>
      </c>
      <c r="N128" s="73">
        <f t="shared" si="82"/>
        <v>0</v>
      </c>
      <c r="O128" s="73">
        <f t="shared" si="82"/>
        <v>0</v>
      </c>
      <c r="P128" s="73">
        <f t="shared" si="82"/>
        <v>0</v>
      </c>
      <c r="Q128" s="73">
        <f t="shared" si="82"/>
        <v>0</v>
      </c>
      <c r="R128" s="73">
        <f t="shared" si="82"/>
        <v>0</v>
      </c>
      <c r="S128" s="73">
        <f t="shared" si="82"/>
        <v>0</v>
      </c>
      <c r="T128" s="73">
        <f t="shared" si="82"/>
        <v>0</v>
      </c>
      <c r="U128" s="73">
        <f t="shared" si="82"/>
        <v>0</v>
      </c>
      <c r="V128" s="73">
        <f t="shared" si="82"/>
        <v>0</v>
      </c>
      <c r="W128" s="73">
        <f t="shared" si="82"/>
        <v>0</v>
      </c>
      <c r="X128" s="73">
        <f t="shared" si="82"/>
        <v>0</v>
      </c>
      <c r="Y128" s="73">
        <f t="shared" si="82"/>
        <v>0</v>
      </c>
      <c r="Z128" s="73">
        <f t="shared" si="82"/>
        <v>284.95152722443561</v>
      </c>
      <c r="AA128" s="73">
        <f t="shared" si="82"/>
        <v>1658.4489583333334</v>
      </c>
      <c r="AB128" s="73">
        <f t="shared" si="82"/>
        <v>1361.9547297297297</v>
      </c>
      <c r="AC128" s="73">
        <f t="shared" si="82"/>
        <v>363.24777992277996</v>
      </c>
      <c r="AD128" s="73">
        <f t="shared" si="82"/>
        <v>0</v>
      </c>
      <c r="AE128" s="73">
        <f t="shared" si="82"/>
        <v>422.61950354609928</v>
      </c>
      <c r="AF128" s="73">
        <f t="shared" si="82"/>
        <v>1127.0987619047619</v>
      </c>
      <c r="AG128" s="73">
        <f t="shared" si="82"/>
        <v>219.53284442116291</v>
      </c>
      <c r="AH128" s="73">
        <f t="shared" si="82"/>
        <v>0</v>
      </c>
      <c r="AI128" s="73">
        <f t="shared" si="82"/>
        <v>18.839414414414417</v>
      </c>
      <c r="AJ128" s="73">
        <f t="shared" si="82"/>
        <v>0</v>
      </c>
      <c r="AK128" s="73">
        <f t="shared" si="82"/>
        <v>0</v>
      </c>
      <c r="AL128" s="73">
        <f t="shared" si="82"/>
        <v>0</v>
      </c>
      <c r="AM128" s="73">
        <f t="shared" si="82"/>
        <v>0</v>
      </c>
      <c r="AN128" s="73">
        <f t="shared" si="82"/>
        <v>0</v>
      </c>
      <c r="AO128" s="73">
        <f t="shared" si="82"/>
        <v>0</v>
      </c>
      <c r="AP128" s="73">
        <f t="shared" si="82"/>
        <v>0</v>
      </c>
      <c r="AQ128" s="73">
        <f t="shared" si="82"/>
        <v>0</v>
      </c>
      <c r="AR128" s="73">
        <f t="shared" si="82"/>
        <v>44.2183800623053</v>
      </c>
      <c r="AS128" s="73">
        <f t="shared" si="82"/>
        <v>0</v>
      </c>
      <c r="AT128" s="73">
        <f t="shared" si="82"/>
        <v>0</v>
      </c>
      <c r="AU128" s="73">
        <f t="shared" si="82"/>
        <v>0</v>
      </c>
      <c r="AV128" s="73">
        <f t="shared" si="82"/>
        <v>33.237686567164182</v>
      </c>
      <c r="AW128" s="73">
        <f t="shared" si="82"/>
        <v>0</v>
      </c>
      <c r="AX128" s="73">
        <f t="shared" si="82"/>
        <v>0</v>
      </c>
      <c r="AY128" s="73">
        <f t="shared" si="82"/>
        <v>0</v>
      </c>
      <c r="AZ128" s="73">
        <f t="shared" si="82"/>
        <v>0</v>
      </c>
      <c r="BA128" s="73">
        <f t="shared" si="82"/>
        <v>0</v>
      </c>
      <c r="BB128" s="73">
        <f t="shared" si="82"/>
        <v>0</v>
      </c>
      <c r="BC128" s="73">
        <f t="shared" si="82"/>
        <v>0</v>
      </c>
      <c r="BD128" s="73">
        <f t="shared" si="82"/>
        <v>0</v>
      </c>
      <c r="BE128" s="73">
        <f t="shared" si="82"/>
        <v>0</v>
      </c>
      <c r="BF128" s="73">
        <f t="shared" si="82"/>
        <v>5534.1495861261856</v>
      </c>
      <c r="BG128" s="73">
        <f t="shared" si="82"/>
        <v>0</v>
      </c>
      <c r="BH128" s="73">
        <f t="shared" si="82"/>
        <v>5456.6935194967164</v>
      </c>
      <c r="BI128" s="73">
        <f t="shared" si="82"/>
        <v>77.45606662946949</v>
      </c>
    </row>
    <row r="129" spans="2:61" x14ac:dyDescent="0.25">
      <c r="C129">
        <v>470</v>
      </c>
      <c r="D129" t="s">
        <v>180</v>
      </c>
      <c r="E129" s="4">
        <f>'4.1 Comptes 2021 natures'!E129/'4.1 Comptes 2021 natures'!E2</f>
        <v>0</v>
      </c>
      <c r="F129" s="4">
        <f>'4.1 Comptes 2021 natures'!F129/'4.1 Comptes 2021 natures'!F2</f>
        <v>0</v>
      </c>
      <c r="G129" s="4">
        <f>'4.1 Comptes 2021 natures'!G129/'4.1 Comptes 2021 natures'!G2</f>
        <v>0</v>
      </c>
      <c r="H129" s="4">
        <f>'4.1 Comptes 2021 natures'!H129/'4.1 Comptes 2021 natures'!H2</f>
        <v>0</v>
      </c>
      <c r="I129" s="4">
        <f>'4.1 Comptes 2021 natures'!I129/'4.1 Comptes 2021 natures'!I2</f>
        <v>0</v>
      </c>
      <c r="J129" s="4">
        <f>'4.1 Comptes 2021 natures'!J129/'4.1 Comptes 2021 natures'!J2</f>
        <v>0</v>
      </c>
      <c r="K129" s="4">
        <f>'4.1 Comptes 2021 natures'!K129/'4.1 Comptes 2021 natures'!K2</f>
        <v>0</v>
      </c>
      <c r="L129" s="4">
        <f>'4.1 Comptes 2021 natures'!L129/'4.1 Comptes 2021 natures'!L2</f>
        <v>0</v>
      </c>
      <c r="M129" s="4">
        <f>'4.1 Comptes 2021 natures'!M129/'4.1 Comptes 2021 natures'!M2</f>
        <v>0</v>
      </c>
      <c r="N129" s="4">
        <f>'4.1 Comptes 2021 natures'!N129/'4.1 Comptes 2021 natures'!N2</f>
        <v>0</v>
      </c>
      <c r="O129" s="4">
        <f>'4.1 Comptes 2021 natures'!O129/'4.1 Comptes 2021 natures'!O2</f>
        <v>0</v>
      </c>
      <c r="P129" s="4">
        <f>'4.1 Comptes 2021 natures'!P129/'4.1 Comptes 2021 natures'!P2</f>
        <v>0</v>
      </c>
      <c r="Q129" s="4">
        <f>'4.1 Comptes 2021 natures'!Q129/'4.1 Comptes 2021 natures'!Q2</f>
        <v>0</v>
      </c>
      <c r="R129" s="4">
        <f>'4.1 Comptes 2021 natures'!R129/'4.1 Comptes 2021 natures'!R2</f>
        <v>0</v>
      </c>
      <c r="S129" s="4">
        <f>'4.1 Comptes 2021 natures'!S129/'4.1 Comptes 2021 natures'!S2</f>
        <v>0</v>
      </c>
      <c r="T129" s="4">
        <f>'4.1 Comptes 2021 natures'!T129/'4.1 Comptes 2021 natures'!T2</f>
        <v>0</v>
      </c>
      <c r="U129" s="4">
        <f>'4.1 Comptes 2021 natures'!U129/'4.1 Comptes 2021 natures'!U2</f>
        <v>0</v>
      </c>
      <c r="V129" s="4">
        <f>'4.1 Comptes 2021 natures'!V129/'4.1 Comptes 2021 natures'!V2</f>
        <v>0</v>
      </c>
      <c r="W129" s="4">
        <f>'4.1 Comptes 2021 natures'!W129/'4.1 Comptes 2021 natures'!W2</f>
        <v>0</v>
      </c>
      <c r="X129" s="4">
        <f>'4.1 Comptes 2021 natures'!X129/'4.1 Comptes 2021 natures'!X2</f>
        <v>0</v>
      </c>
      <c r="Y129" s="4">
        <f>'4.1 Comptes 2021 natures'!Y129/'4.1 Comptes 2021 natures'!Y2</f>
        <v>0</v>
      </c>
      <c r="Z129" s="4">
        <f>'4.1 Comptes 2021 natures'!Z129/'4.1 Comptes 2021 natures'!Z2</f>
        <v>284.95152722443561</v>
      </c>
      <c r="AA129" s="4">
        <f>'4.1 Comptes 2021 natures'!AA129/'4.1 Comptes 2021 natures'!AA2</f>
        <v>1658.4489583333334</v>
      </c>
      <c r="AB129" s="4">
        <f>'4.1 Comptes 2021 natures'!AB129/'4.1 Comptes 2021 natures'!AB2</f>
        <v>1361.9547297297297</v>
      </c>
      <c r="AC129" s="4">
        <f>'4.1 Comptes 2021 natures'!AC129/'4.1 Comptes 2021 natures'!AC2</f>
        <v>363.24777992277996</v>
      </c>
      <c r="AD129" s="4">
        <f>'4.1 Comptes 2021 natures'!AD129/'4.1 Comptes 2021 natures'!AD2</f>
        <v>0</v>
      </c>
      <c r="AE129" s="4">
        <f>'4.1 Comptes 2021 natures'!AE129/'4.1 Comptes 2021 natures'!AE2</f>
        <v>422.61950354609928</v>
      </c>
      <c r="AF129" s="4">
        <f>'4.1 Comptes 2021 natures'!AF129/'4.1 Comptes 2021 natures'!AF2</f>
        <v>1127.0987619047619</v>
      </c>
      <c r="AG129" s="4">
        <f>'4.1 Comptes 2021 natures'!AG129/'4.1 Comptes 2021 natures'!AG2</f>
        <v>219.53284442116291</v>
      </c>
      <c r="AH129" s="4">
        <f>'4.1 Comptes 2021 natures'!AH129/'4.1 Comptes 2021 natures'!AH2</f>
        <v>0</v>
      </c>
      <c r="AI129" s="4">
        <f>'4.1 Comptes 2021 natures'!AI129/'4.1 Comptes 2021 natures'!AI2</f>
        <v>18.839414414414417</v>
      </c>
      <c r="AJ129" s="4">
        <f>'4.1 Comptes 2021 natures'!AJ129/'4.1 Comptes 2021 natures'!AJ2</f>
        <v>0</v>
      </c>
      <c r="AK129" s="4">
        <f>'4.1 Comptes 2021 natures'!AK129/'4.1 Comptes 2021 natures'!AK2</f>
        <v>0</v>
      </c>
      <c r="AL129" s="4">
        <f>'4.1 Comptes 2021 natures'!AL129/'4.1 Comptes 2021 natures'!AL2</f>
        <v>0</v>
      </c>
      <c r="AM129" s="4">
        <f>'4.1 Comptes 2021 natures'!AM129/'4.1 Comptes 2021 natures'!AM2</f>
        <v>0</v>
      </c>
      <c r="AN129" s="4">
        <f>'4.1 Comptes 2021 natures'!AN129/'4.1 Comptes 2021 natures'!AN2</f>
        <v>0</v>
      </c>
      <c r="AO129" s="4">
        <f>'4.1 Comptes 2021 natures'!AO129/'4.1 Comptes 2021 natures'!AO2</f>
        <v>0</v>
      </c>
      <c r="AP129" s="4">
        <f>'4.1 Comptes 2021 natures'!AP129/'4.1 Comptes 2021 natures'!AP2</f>
        <v>0</v>
      </c>
      <c r="AQ129" s="4">
        <f>'4.1 Comptes 2021 natures'!AQ129/'4.1 Comptes 2021 natures'!AQ2</f>
        <v>0</v>
      </c>
      <c r="AR129" s="4">
        <f>'4.1 Comptes 2021 natures'!AR129/'4.1 Comptes 2021 natures'!AR2</f>
        <v>44.2183800623053</v>
      </c>
      <c r="AS129" s="4">
        <f>'4.1 Comptes 2021 natures'!AS129/'4.1 Comptes 2021 natures'!AS2</f>
        <v>0</v>
      </c>
      <c r="AT129" s="4">
        <f>'4.1 Comptes 2021 natures'!AT129/'4.1 Comptes 2021 natures'!AT2</f>
        <v>0</v>
      </c>
      <c r="AU129" s="4">
        <f>'4.1 Comptes 2021 natures'!AU129/'4.1 Comptes 2021 natures'!AU2</f>
        <v>0</v>
      </c>
      <c r="AV129" s="4">
        <f>'4.1 Comptes 2021 natures'!AV129/'4.1 Comptes 2021 natures'!AV2</f>
        <v>33.237686567164182</v>
      </c>
      <c r="AW129" s="4">
        <f>'4.1 Comptes 2021 natures'!AW129/'4.1 Comptes 2021 natures'!AW2</f>
        <v>0</v>
      </c>
      <c r="AX129" s="4">
        <f>'4.1 Comptes 2021 natures'!AX129/'4.1 Comptes 2021 natures'!AX2</f>
        <v>0</v>
      </c>
      <c r="AY129" s="4">
        <f>'4.1 Comptes 2021 natures'!AY129/'4.1 Comptes 2021 natures'!AY2</f>
        <v>0</v>
      </c>
      <c r="AZ129" s="4">
        <f>'4.1 Comptes 2021 natures'!AZ129/'4.1 Comptes 2021 natures'!AZ2</f>
        <v>0</v>
      </c>
      <c r="BA129" s="4">
        <f>'4.1 Comptes 2021 natures'!BA129/'4.1 Comptes 2021 natures'!BA2</f>
        <v>0</v>
      </c>
      <c r="BB129" s="4">
        <f>'4.1 Comptes 2021 natures'!BB129/'4.1 Comptes 2021 natures'!BB2</f>
        <v>0</v>
      </c>
      <c r="BC129" s="4">
        <f>'4.1 Comptes 2021 natures'!BC129/'4.1 Comptes 2021 natures'!BC2</f>
        <v>0</v>
      </c>
      <c r="BD129" s="4">
        <f>'4.1 Comptes 2021 natures'!BD129/'4.1 Comptes 2021 natures'!BD2</f>
        <v>0</v>
      </c>
      <c r="BE129" s="4">
        <f>'4.1 Comptes 2021 natures'!BE129/'4.1 Comptes 2021 natures'!BE2</f>
        <v>0</v>
      </c>
      <c r="BF129" s="4">
        <f t="shared" ref="BF129" si="83">SUM(E129:BE129)</f>
        <v>5534.1495861261856</v>
      </c>
      <c r="BG129" s="4">
        <f t="shared" ref="BG129" si="84">SUM(E129:W129)</f>
        <v>0</v>
      </c>
      <c r="BH129" s="4">
        <f t="shared" ref="BH129" si="85">SUM(X129:AJ129)</f>
        <v>5456.6935194967164</v>
      </c>
      <c r="BI129" s="4">
        <f t="shared" ref="BI129" si="86">SUM(AK129:BE129)</f>
        <v>77.45606662946949</v>
      </c>
    </row>
    <row r="130" spans="2:61" x14ac:dyDescent="0.25">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row>
    <row r="131" spans="2:61" x14ac:dyDescent="0.25">
      <c r="B131" s="78">
        <v>48</v>
      </c>
      <c r="C131" s="78"/>
      <c r="D131" s="78" t="s">
        <v>181</v>
      </c>
      <c r="E131" s="73">
        <f>E132+E133+E134+E135+E136+E137+E138</f>
        <v>0</v>
      </c>
      <c r="F131" s="73">
        <f t="shared" ref="F131:BI131" si="87">F132+F133+F134+F135+F136+F137+F138</f>
        <v>0</v>
      </c>
      <c r="G131" s="73">
        <f t="shared" si="87"/>
        <v>0</v>
      </c>
      <c r="H131" s="73">
        <f t="shared" si="87"/>
        <v>0</v>
      </c>
      <c r="I131" s="73">
        <f t="shared" si="87"/>
        <v>0</v>
      </c>
      <c r="J131" s="73">
        <f t="shared" si="87"/>
        <v>0.88040358744394609</v>
      </c>
      <c r="K131" s="73">
        <f t="shared" si="87"/>
        <v>2.4300452488687783</v>
      </c>
      <c r="L131" s="73">
        <f t="shared" si="87"/>
        <v>104.97636028527927</v>
      </c>
      <c r="M131" s="73">
        <f t="shared" si="87"/>
        <v>0</v>
      </c>
      <c r="N131" s="73">
        <f t="shared" si="87"/>
        <v>0</v>
      </c>
      <c r="O131" s="73">
        <f t="shared" si="87"/>
        <v>0</v>
      </c>
      <c r="P131" s="73">
        <f t="shared" si="87"/>
        <v>0</v>
      </c>
      <c r="Q131" s="73">
        <f t="shared" si="87"/>
        <v>82.761261261261268</v>
      </c>
      <c r="R131" s="73">
        <f t="shared" si="87"/>
        <v>0</v>
      </c>
      <c r="S131" s="73">
        <f t="shared" si="87"/>
        <v>0</v>
      </c>
      <c r="T131" s="73">
        <f t="shared" si="87"/>
        <v>0</v>
      </c>
      <c r="U131" s="73">
        <f t="shared" si="87"/>
        <v>0</v>
      </c>
      <c r="V131" s="73">
        <f t="shared" si="87"/>
        <v>0</v>
      </c>
      <c r="W131" s="73">
        <f t="shared" si="87"/>
        <v>0</v>
      </c>
      <c r="X131" s="73">
        <f t="shared" si="87"/>
        <v>0</v>
      </c>
      <c r="Y131" s="73">
        <f t="shared" si="87"/>
        <v>3.8125984251968505</v>
      </c>
      <c r="Z131" s="73">
        <f t="shared" si="87"/>
        <v>20.889110225763613</v>
      </c>
      <c r="AA131" s="73">
        <f t="shared" si="87"/>
        <v>0</v>
      </c>
      <c r="AB131" s="73">
        <f t="shared" si="87"/>
        <v>0</v>
      </c>
      <c r="AC131" s="73">
        <f t="shared" si="87"/>
        <v>250.96525096525096</v>
      </c>
      <c r="AD131" s="73">
        <f t="shared" si="87"/>
        <v>1.9071326676176892</v>
      </c>
      <c r="AE131" s="73">
        <f t="shared" si="87"/>
        <v>0</v>
      </c>
      <c r="AF131" s="73">
        <f t="shared" si="87"/>
        <v>0</v>
      </c>
      <c r="AG131" s="73">
        <f t="shared" si="87"/>
        <v>6.6081718177056048E-2</v>
      </c>
      <c r="AH131" s="73">
        <f t="shared" si="87"/>
        <v>0</v>
      </c>
      <c r="AI131" s="73">
        <f t="shared" si="87"/>
        <v>0</v>
      </c>
      <c r="AJ131" s="73">
        <f t="shared" si="87"/>
        <v>0</v>
      </c>
      <c r="AK131" s="73">
        <f t="shared" si="87"/>
        <v>0</v>
      </c>
      <c r="AL131" s="73">
        <f t="shared" si="87"/>
        <v>301.77619893428067</v>
      </c>
      <c r="AM131" s="73">
        <f t="shared" si="87"/>
        <v>14.744702040816325</v>
      </c>
      <c r="AN131" s="73">
        <f t="shared" si="87"/>
        <v>51.153846153846153</v>
      </c>
      <c r="AO131" s="73">
        <f t="shared" si="87"/>
        <v>0</v>
      </c>
      <c r="AP131" s="73">
        <f t="shared" si="87"/>
        <v>0</v>
      </c>
      <c r="AQ131" s="73">
        <f t="shared" si="87"/>
        <v>0</v>
      </c>
      <c r="AR131" s="73">
        <f t="shared" si="87"/>
        <v>7.3909657320872277E-2</v>
      </c>
      <c r="AS131" s="73">
        <f t="shared" si="87"/>
        <v>0</v>
      </c>
      <c r="AT131" s="73">
        <f t="shared" si="87"/>
        <v>98.425196850393704</v>
      </c>
      <c r="AU131" s="73">
        <f t="shared" si="87"/>
        <v>2549.3421052631579</v>
      </c>
      <c r="AV131" s="73">
        <f t="shared" si="87"/>
        <v>0</v>
      </c>
      <c r="AW131" s="73">
        <f t="shared" si="87"/>
        <v>0</v>
      </c>
      <c r="AX131" s="73">
        <f t="shared" si="87"/>
        <v>0</v>
      </c>
      <c r="AY131" s="73">
        <f t="shared" si="87"/>
        <v>0</v>
      </c>
      <c r="AZ131" s="73">
        <f t="shared" si="87"/>
        <v>0</v>
      </c>
      <c r="BA131" s="73">
        <f t="shared" si="87"/>
        <v>0</v>
      </c>
      <c r="BB131" s="73">
        <f t="shared" si="87"/>
        <v>0</v>
      </c>
      <c r="BC131" s="73">
        <f t="shared" si="87"/>
        <v>0</v>
      </c>
      <c r="BD131" s="73">
        <f t="shared" si="87"/>
        <v>154.65511908444171</v>
      </c>
      <c r="BE131" s="73">
        <f t="shared" si="87"/>
        <v>0</v>
      </c>
      <c r="BF131" s="73">
        <f t="shared" si="87"/>
        <v>3638.8593223691169</v>
      </c>
      <c r="BG131" s="73">
        <f t="shared" si="87"/>
        <v>191.04807038285327</v>
      </c>
      <c r="BH131" s="73">
        <f t="shared" si="87"/>
        <v>277.64017400200618</v>
      </c>
      <c r="BI131" s="73">
        <f t="shared" si="87"/>
        <v>3170.1710779842574</v>
      </c>
    </row>
    <row r="132" spans="2:61" x14ac:dyDescent="0.25">
      <c r="C132">
        <v>481</v>
      </c>
      <c r="D132" t="s">
        <v>182</v>
      </c>
      <c r="E132" s="4">
        <f>'4.1 Comptes 2021 natures'!E132/'4.1 Comptes 2021 natures'!E2</f>
        <v>0</v>
      </c>
      <c r="F132" s="4">
        <f>'4.1 Comptes 2021 natures'!F132/'4.1 Comptes 2021 natures'!F2</f>
        <v>0</v>
      </c>
      <c r="G132" s="4">
        <f>'4.1 Comptes 2021 natures'!G132/'4.1 Comptes 2021 natures'!G2</f>
        <v>0</v>
      </c>
      <c r="H132" s="4">
        <f>'4.1 Comptes 2021 natures'!H132/'4.1 Comptes 2021 natures'!H2</f>
        <v>0</v>
      </c>
      <c r="I132" s="4">
        <f>'4.1 Comptes 2021 natures'!I132/'4.1 Comptes 2021 natures'!I2</f>
        <v>0</v>
      </c>
      <c r="J132" s="4">
        <f>'4.1 Comptes 2021 natures'!J132/'4.1 Comptes 2021 natures'!J2</f>
        <v>0</v>
      </c>
      <c r="K132" s="4">
        <f>'4.1 Comptes 2021 natures'!K132/'4.1 Comptes 2021 natures'!K2</f>
        <v>0</v>
      </c>
      <c r="L132" s="4">
        <f>'4.1 Comptes 2021 natures'!L132/'4.1 Comptes 2021 natures'!L2</f>
        <v>0</v>
      </c>
      <c r="M132" s="4">
        <f>'4.1 Comptes 2021 natures'!M132/'4.1 Comptes 2021 natures'!M2</f>
        <v>0</v>
      </c>
      <c r="N132" s="4">
        <f>'4.1 Comptes 2021 natures'!N132/'4.1 Comptes 2021 natures'!N2</f>
        <v>0</v>
      </c>
      <c r="O132" s="4">
        <f>'4.1 Comptes 2021 natures'!O132/'4.1 Comptes 2021 natures'!O2</f>
        <v>0</v>
      </c>
      <c r="P132" s="4">
        <f>'4.1 Comptes 2021 natures'!P132/'4.1 Comptes 2021 natures'!P2</f>
        <v>0</v>
      </c>
      <c r="Q132" s="4">
        <f>'4.1 Comptes 2021 natures'!Q132/'4.1 Comptes 2021 natures'!Q2</f>
        <v>0</v>
      </c>
      <c r="R132" s="4">
        <f>'4.1 Comptes 2021 natures'!R132/'4.1 Comptes 2021 natures'!R2</f>
        <v>0</v>
      </c>
      <c r="S132" s="4">
        <f>'4.1 Comptes 2021 natures'!S132/'4.1 Comptes 2021 natures'!S2</f>
        <v>0</v>
      </c>
      <c r="T132" s="4">
        <f>'4.1 Comptes 2021 natures'!T132/'4.1 Comptes 2021 natures'!T2</f>
        <v>0</v>
      </c>
      <c r="U132" s="4">
        <f>'4.1 Comptes 2021 natures'!U132/'4.1 Comptes 2021 natures'!U2</f>
        <v>0</v>
      </c>
      <c r="V132" s="4">
        <f>'4.1 Comptes 2021 natures'!V132/'4.1 Comptes 2021 natures'!V2</f>
        <v>0</v>
      </c>
      <c r="W132" s="4">
        <f>'4.1 Comptes 2021 natures'!W132/'4.1 Comptes 2021 natures'!W2</f>
        <v>0</v>
      </c>
      <c r="X132" s="4">
        <f>'4.1 Comptes 2021 natures'!X132/'4.1 Comptes 2021 natures'!X2</f>
        <v>0</v>
      </c>
      <c r="Y132" s="4">
        <f>'4.1 Comptes 2021 natures'!Y132/'4.1 Comptes 2021 natures'!Y2</f>
        <v>0</v>
      </c>
      <c r="Z132" s="4">
        <f>'4.1 Comptes 2021 natures'!Z132/'4.1 Comptes 2021 natures'!Z2</f>
        <v>0</v>
      </c>
      <c r="AA132" s="4">
        <f>'4.1 Comptes 2021 natures'!AA132/'4.1 Comptes 2021 natures'!AA2</f>
        <v>0</v>
      </c>
      <c r="AB132" s="4">
        <f>'4.1 Comptes 2021 natures'!AB132/'4.1 Comptes 2021 natures'!AB2</f>
        <v>0</v>
      </c>
      <c r="AC132" s="4">
        <f>'4.1 Comptes 2021 natures'!AC132/'4.1 Comptes 2021 natures'!AC2</f>
        <v>0</v>
      </c>
      <c r="AD132" s="4">
        <f>'4.1 Comptes 2021 natures'!AD132/'4.1 Comptes 2021 natures'!AD2</f>
        <v>0</v>
      </c>
      <c r="AE132" s="4">
        <f>'4.1 Comptes 2021 natures'!AE132/'4.1 Comptes 2021 natures'!AE2</f>
        <v>0</v>
      </c>
      <c r="AF132" s="4">
        <f>'4.1 Comptes 2021 natures'!AF132/'4.1 Comptes 2021 natures'!AF2</f>
        <v>0</v>
      </c>
      <c r="AG132" s="4">
        <f>'4.1 Comptes 2021 natures'!AG132/'4.1 Comptes 2021 natures'!AG2</f>
        <v>0</v>
      </c>
      <c r="AH132" s="4">
        <f>'4.1 Comptes 2021 natures'!AH132/'4.1 Comptes 2021 natures'!AH2</f>
        <v>0</v>
      </c>
      <c r="AI132" s="4">
        <f>'4.1 Comptes 2021 natures'!AI132/'4.1 Comptes 2021 natures'!AI2</f>
        <v>0</v>
      </c>
      <c r="AJ132" s="4">
        <f>'4.1 Comptes 2021 natures'!AJ132/'4.1 Comptes 2021 natures'!AJ2</f>
        <v>0</v>
      </c>
      <c r="AK132" s="4">
        <f>'4.1 Comptes 2021 natures'!AK132/'4.1 Comptes 2021 natures'!AK2</f>
        <v>0</v>
      </c>
      <c r="AL132" s="4">
        <f>'4.1 Comptes 2021 natures'!AL132/'4.1 Comptes 2021 natures'!AL2</f>
        <v>0</v>
      </c>
      <c r="AM132" s="4">
        <f>'4.1 Comptes 2021 natures'!AM132/'4.1 Comptes 2021 natures'!AM2</f>
        <v>0</v>
      </c>
      <c r="AN132" s="4">
        <f>'4.1 Comptes 2021 natures'!AN132/'4.1 Comptes 2021 natures'!AN2</f>
        <v>0</v>
      </c>
      <c r="AO132" s="4">
        <f>'4.1 Comptes 2021 natures'!AO132/'4.1 Comptes 2021 natures'!AO2</f>
        <v>0</v>
      </c>
      <c r="AP132" s="4">
        <f>'4.1 Comptes 2021 natures'!AP132/'4.1 Comptes 2021 natures'!AP2</f>
        <v>0</v>
      </c>
      <c r="AQ132" s="4">
        <f>'4.1 Comptes 2021 natures'!AQ132/'4.1 Comptes 2021 natures'!AQ2</f>
        <v>0</v>
      </c>
      <c r="AR132" s="4">
        <f>'4.1 Comptes 2021 natures'!AR132/'4.1 Comptes 2021 natures'!AR2</f>
        <v>0</v>
      </c>
      <c r="AS132" s="4">
        <f>'4.1 Comptes 2021 natures'!AS132/'4.1 Comptes 2021 natures'!AS2</f>
        <v>0</v>
      </c>
      <c r="AT132" s="4">
        <f>'4.1 Comptes 2021 natures'!AT132/'4.1 Comptes 2021 natures'!AT2</f>
        <v>0</v>
      </c>
      <c r="AU132" s="4">
        <f>'4.1 Comptes 2021 natures'!AU132/'4.1 Comptes 2021 natures'!AU2</f>
        <v>0</v>
      </c>
      <c r="AV132" s="4">
        <f>'4.1 Comptes 2021 natures'!AV132/'4.1 Comptes 2021 natures'!AV2</f>
        <v>0</v>
      </c>
      <c r="AW132" s="4">
        <f>'4.1 Comptes 2021 natures'!AW132/'4.1 Comptes 2021 natures'!AW2</f>
        <v>0</v>
      </c>
      <c r="AX132" s="4">
        <f>'4.1 Comptes 2021 natures'!AX132/'4.1 Comptes 2021 natures'!AX2</f>
        <v>0</v>
      </c>
      <c r="AY132" s="4">
        <f>'4.1 Comptes 2021 natures'!AY132/'4.1 Comptes 2021 natures'!AY2</f>
        <v>0</v>
      </c>
      <c r="AZ132" s="4">
        <f>'4.1 Comptes 2021 natures'!AZ132/'4.1 Comptes 2021 natures'!AZ2</f>
        <v>0</v>
      </c>
      <c r="BA132" s="4">
        <f>'4.1 Comptes 2021 natures'!BA132/'4.1 Comptes 2021 natures'!BA2</f>
        <v>0</v>
      </c>
      <c r="BB132" s="4">
        <f>'4.1 Comptes 2021 natures'!BB132/'4.1 Comptes 2021 natures'!BB2</f>
        <v>0</v>
      </c>
      <c r="BC132" s="4">
        <f>'4.1 Comptes 2021 natures'!BC132/'4.1 Comptes 2021 natures'!BC2</f>
        <v>0</v>
      </c>
      <c r="BD132" s="4">
        <f>'4.1 Comptes 2021 natures'!BD132/'4.1 Comptes 2021 natures'!BD2</f>
        <v>0</v>
      </c>
      <c r="BE132" s="4">
        <f>'4.1 Comptes 2021 natures'!BE132/'4.1 Comptes 2021 natures'!BE2</f>
        <v>0</v>
      </c>
      <c r="BF132" s="4">
        <f t="shared" ref="BF132:BF138" si="88">SUM(E132:BE132)</f>
        <v>0</v>
      </c>
      <c r="BG132" s="4">
        <f t="shared" ref="BG132:BG138" si="89">SUM(E132:W132)</f>
        <v>0</v>
      </c>
      <c r="BH132" s="4">
        <f t="shared" ref="BH132:BH138" si="90">SUM(X132:AJ132)</f>
        <v>0</v>
      </c>
      <c r="BI132" s="4">
        <f t="shared" ref="BI132:BI138" si="91">SUM(AK132:BE132)</f>
        <v>0</v>
      </c>
    </row>
    <row r="133" spans="2:61" x14ac:dyDescent="0.25">
      <c r="C133">
        <v>482</v>
      </c>
      <c r="D133" t="s">
        <v>183</v>
      </c>
      <c r="E133" s="4">
        <f>'4.1 Comptes 2021 natures'!E133/'4.1 Comptes 2021 natures'!E2</f>
        <v>0</v>
      </c>
      <c r="F133" s="4">
        <f>'4.1 Comptes 2021 natures'!F133/'4.1 Comptes 2021 natures'!F2</f>
        <v>0</v>
      </c>
      <c r="G133" s="4">
        <f>'4.1 Comptes 2021 natures'!G133/'4.1 Comptes 2021 natures'!G2</f>
        <v>0</v>
      </c>
      <c r="H133" s="4">
        <f>'4.1 Comptes 2021 natures'!H133/'4.1 Comptes 2021 natures'!H2</f>
        <v>0</v>
      </c>
      <c r="I133" s="4">
        <f>'4.1 Comptes 2021 natures'!I133/'4.1 Comptes 2021 natures'!I2</f>
        <v>0</v>
      </c>
      <c r="J133" s="4">
        <f>'4.1 Comptes 2021 natures'!J133/'4.1 Comptes 2021 natures'!J2</f>
        <v>0</v>
      </c>
      <c r="K133" s="4">
        <f>'4.1 Comptes 2021 natures'!K133/'4.1 Comptes 2021 natures'!K2</f>
        <v>1.7647058823529411</v>
      </c>
      <c r="L133" s="4">
        <f>'4.1 Comptes 2021 natures'!L133/'4.1 Comptes 2021 natures'!L2</f>
        <v>0</v>
      </c>
      <c r="M133" s="4">
        <f>'4.1 Comptes 2021 natures'!M133/'4.1 Comptes 2021 natures'!M2</f>
        <v>0</v>
      </c>
      <c r="N133" s="4">
        <f>'4.1 Comptes 2021 natures'!N133/'4.1 Comptes 2021 natures'!N2</f>
        <v>0</v>
      </c>
      <c r="O133" s="4">
        <f>'4.1 Comptes 2021 natures'!O133/'4.1 Comptes 2021 natures'!O2</f>
        <v>0</v>
      </c>
      <c r="P133" s="4">
        <f>'4.1 Comptes 2021 natures'!P133/'4.1 Comptes 2021 natures'!P2</f>
        <v>0</v>
      </c>
      <c r="Q133" s="4">
        <f>'4.1 Comptes 2021 natures'!Q133/'4.1 Comptes 2021 natures'!Q2</f>
        <v>0</v>
      </c>
      <c r="R133" s="4">
        <f>'4.1 Comptes 2021 natures'!R133/'4.1 Comptes 2021 natures'!R2</f>
        <v>0</v>
      </c>
      <c r="S133" s="4">
        <f>'4.1 Comptes 2021 natures'!S133/'4.1 Comptes 2021 natures'!S2</f>
        <v>0</v>
      </c>
      <c r="T133" s="4">
        <f>'4.1 Comptes 2021 natures'!T133/'4.1 Comptes 2021 natures'!T2</f>
        <v>0</v>
      </c>
      <c r="U133" s="4">
        <f>'4.1 Comptes 2021 natures'!U133/'4.1 Comptes 2021 natures'!U2</f>
        <v>0</v>
      </c>
      <c r="V133" s="4">
        <f>'4.1 Comptes 2021 natures'!V133/'4.1 Comptes 2021 natures'!V2</f>
        <v>0</v>
      </c>
      <c r="W133" s="4">
        <f>'4.1 Comptes 2021 natures'!W133/'4.1 Comptes 2021 natures'!W2</f>
        <v>0</v>
      </c>
      <c r="X133" s="4">
        <f>'4.1 Comptes 2021 natures'!X133/'4.1 Comptes 2021 natures'!X2</f>
        <v>0</v>
      </c>
      <c r="Y133" s="4">
        <f>'4.1 Comptes 2021 natures'!Y133/'4.1 Comptes 2021 natures'!Y2</f>
        <v>0</v>
      </c>
      <c r="Z133" s="4">
        <f>'4.1 Comptes 2021 natures'!Z133/'4.1 Comptes 2021 natures'!Z2</f>
        <v>0</v>
      </c>
      <c r="AA133" s="4">
        <f>'4.1 Comptes 2021 natures'!AA133/'4.1 Comptes 2021 natures'!AA2</f>
        <v>0</v>
      </c>
      <c r="AB133" s="4">
        <f>'4.1 Comptes 2021 natures'!AB133/'4.1 Comptes 2021 natures'!AB2</f>
        <v>0</v>
      </c>
      <c r="AC133" s="4">
        <f>'4.1 Comptes 2021 natures'!AC133/'4.1 Comptes 2021 natures'!AC2</f>
        <v>0</v>
      </c>
      <c r="AD133" s="4">
        <f>'4.1 Comptes 2021 natures'!AD133/'4.1 Comptes 2021 natures'!AD2</f>
        <v>0</v>
      </c>
      <c r="AE133" s="4">
        <f>'4.1 Comptes 2021 natures'!AE133/'4.1 Comptes 2021 natures'!AE2</f>
        <v>0</v>
      </c>
      <c r="AF133" s="4">
        <f>'4.1 Comptes 2021 natures'!AF133/'4.1 Comptes 2021 natures'!AF2</f>
        <v>0</v>
      </c>
      <c r="AG133" s="4">
        <f>'4.1 Comptes 2021 natures'!AG133/'4.1 Comptes 2021 natures'!AG2</f>
        <v>0</v>
      </c>
      <c r="AH133" s="4">
        <f>'4.1 Comptes 2021 natures'!AH133/'4.1 Comptes 2021 natures'!AH2</f>
        <v>0</v>
      </c>
      <c r="AI133" s="4">
        <f>'4.1 Comptes 2021 natures'!AI133/'4.1 Comptes 2021 natures'!AI2</f>
        <v>0</v>
      </c>
      <c r="AJ133" s="4">
        <f>'4.1 Comptes 2021 natures'!AJ133/'4.1 Comptes 2021 natures'!AJ2</f>
        <v>0</v>
      </c>
      <c r="AK133" s="4">
        <f>'4.1 Comptes 2021 natures'!AK133/'4.1 Comptes 2021 natures'!AK2</f>
        <v>0</v>
      </c>
      <c r="AL133" s="4">
        <f>'4.1 Comptes 2021 natures'!AL133/'4.1 Comptes 2021 natures'!AL2</f>
        <v>0</v>
      </c>
      <c r="AM133" s="4">
        <f>'4.1 Comptes 2021 natures'!AM133/'4.1 Comptes 2021 natures'!AM2</f>
        <v>0</v>
      </c>
      <c r="AN133" s="4">
        <f>'4.1 Comptes 2021 natures'!AN133/'4.1 Comptes 2021 natures'!AN2</f>
        <v>0</v>
      </c>
      <c r="AO133" s="4">
        <f>'4.1 Comptes 2021 natures'!AO133/'4.1 Comptes 2021 natures'!AO2</f>
        <v>0</v>
      </c>
      <c r="AP133" s="4">
        <f>'4.1 Comptes 2021 natures'!AP133/'4.1 Comptes 2021 natures'!AP2</f>
        <v>0</v>
      </c>
      <c r="AQ133" s="4">
        <f>'4.1 Comptes 2021 natures'!AQ133/'4.1 Comptes 2021 natures'!AQ2</f>
        <v>0</v>
      </c>
      <c r="AR133" s="4">
        <f>'4.1 Comptes 2021 natures'!AR133/'4.1 Comptes 2021 natures'!AR2</f>
        <v>0</v>
      </c>
      <c r="AS133" s="4">
        <f>'4.1 Comptes 2021 natures'!AS133/'4.1 Comptes 2021 natures'!AS2</f>
        <v>0</v>
      </c>
      <c r="AT133" s="4">
        <f>'4.1 Comptes 2021 natures'!AT133/'4.1 Comptes 2021 natures'!AT2</f>
        <v>0</v>
      </c>
      <c r="AU133" s="4">
        <f>'4.1 Comptes 2021 natures'!AU133/'4.1 Comptes 2021 natures'!AU2</f>
        <v>0</v>
      </c>
      <c r="AV133" s="4">
        <f>'4.1 Comptes 2021 natures'!AV133/'4.1 Comptes 2021 natures'!AV2</f>
        <v>0</v>
      </c>
      <c r="AW133" s="4">
        <f>'4.1 Comptes 2021 natures'!AW133/'4.1 Comptes 2021 natures'!AW2</f>
        <v>0</v>
      </c>
      <c r="AX133" s="4">
        <f>'4.1 Comptes 2021 natures'!AX133/'4.1 Comptes 2021 natures'!AX2</f>
        <v>0</v>
      </c>
      <c r="AY133" s="4">
        <f>'4.1 Comptes 2021 natures'!AY133/'4.1 Comptes 2021 natures'!AY2</f>
        <v>0</v>
      </c>
      <c r="AZ133" s="4">
        <f>'4.1 Comptes 2021 natures'!AZ133/'4.1 Comptes 2021 natures'!AZ2</f>
        <v>0</v>
      </c>
      <c r="BA133" s="4">
        <f>'4.1 Comptes 2021 natures'!BA133/'4.1 Comptes 2021 natures'!BA2</f>
        <v>0</v>
      </c>
      <c r="BB133" s="4">
        <f>'4.1 Comptes 2021 natures'!BB133/'4.1 Comptes 2021 natures'!BB2</f>
        <v>0</v>
      </c>
      <c r="BC133" s="4">
        <f>'4.1 Comptes 2021 natures'!BC133/'4.1 Comptes 2021 natures'!BC2</f>
        <v>0</v>
      </c>
      <c r="BD133" s="4">
        <f>'4.1 Comptes 2021 natures'!BD133/'4.1 Comptes 2021 natures'!BD2</f>
        <v>0</v>
      </c>
      <c r="BE133" s="4">
        <f>'4.1 Comptes 2021 natures'!BE133/'4.1 Comptes 2021 natures'!BE2</f>
        <v>0</v>
      </c>
      <c r="BF133" s="4">
        <f t="shared" si="88"/>
        <v>1.7647058823529411</v>
      </c>
      <c r="BG133" s="4">
        <f t="shared" si="89"/>
        <v>1.7647058823529411</v>
      </c>
      <c r="BH133" s="4">
        <f t="shared" si="90"/>
        <v>0</v>
      </c>
      <c r="BI133" s="4">
        <f t="shared" si="91"/>
        <v>0</v>
      </c>
    </row>
    <row r="134" spans="2:61" x14ac:dyDescent="0.25">
      <c r="C134">
        <v>483</v>
      </c>
      <c r="D134" t="s">
        <v>184</v>
      </c>
      <c r="E134" s="4">
        <f>'4.1 Comptes 2021 natures'!E134/'4.1 Comptes 2021 natures'!E2</f>
        <v>0</v>
      </c>
      <c r="F134" s="4">
        <f>'4.1 Comptes 2021 natures'!F134/'4.1 Comptes 2021 natures'!F2</f>
        <v>0</v>
      </c>
      <c r="G134" s="4">
        <f>'4.1 Comptes 2021 natures'!G134/'4.1 Comptes 2021 natures'!G2</f>
        <v>0</v>
      </c>
      <c r="H134" s="4">
        <f>'4.1 Comptes 2021 natures'!H134/'4.1 Comptes 2021 natures'!H2</f>
        <v>0</v>
      </c>
      <c r="I134" s="4">
        <f>'4.1 Comptes 2021 natures'!I134/'4.1 Comptes 2021 natures'!I2</f>
        <v>0</v>
      </c>
      <c r="J134" s="4">
        <f>'4.1 Comptes 2021 natures'!J134/'4.1 Comptes 2021 natures'!J2</f>
        <v>0</v>
      </c>
      <c r="K134" s="4">
        <f>'4.1 Comptes 2021 natures'!K134/'4.1 Comptes 2021 natures'!K2</f>
        <v>0</v>
      </c>
      <c r="L134" s="4">
        <f>'4.1 Comptes 2021 natures'!L134/'4.1 Comptes 2021 natures'!L2</f>
        <v>0</v>
      </c>
      <c r="M134" s="4">
        <f>'4.1 Comptes 2021 natures'!M134/'4.1 Comptes 2021 natures'!M2</f>
        <v>0</v>
      </c>
      <c r="N134" s="4">
        <f>'4.1 Comptes 2021 natures'!N134/'4.1 Comptes 2021 natures'!N2</f>
        <v>0</v>
      </c>
      <c r="O134" s="4">
        <f>'4.1 Comptes 2021 natures'!O134/'4.1 Comptes 2021 natures'!O2</f>
        <v>0</v>
      </c>
      <c r="P134" s="4">
        <f>'4.1 Comptes 2021 natures'!P134/'4.1 Comptes 2021 natures'!P2</f>
        <v>0</v>
      </c>
      <c r="Q134" s="4">
        <f>'4.1 Comptes 2021 natures'!Q134/'4.1 Comptes 2021 natures'!Q2</f>
        <v>0</v>
      </c>
      <c r="R134" s="4">
        <f>'4.1 Comptes 2021 natures'!R134/'4.1 Comptes 2021 natures'!R2</f>
        <v>0</v>
      </c>
      <c r="S134" s="4">
        <f>'4.1 Comptes 2021 natures'!S134/'4.1 Comptes 2021 natures'!S2</f>
        <v>0</v>
      </c>
      <c r="T134" s="4">
        <f>'4.1 Comptes 2021 natures'!T134/'4.1 Comptes 2021 natures'!T2</f>
        <v>0</v>
      </c>
      <c r="U134" s="4">
        <f>'4.1 Comptes 2021 natures'!U134/'4.1 Comptes 2021 natures'!U2</f>
        <v>0</v>
      </c>
      <c r="V134" s="4">
        <f>'4.1 Comptes 2021 natures'!V134/'4.1 Comptes 2021 natures'!V2</f>
        <v>0</v>
      </c>
      <c r="W134" s="4">
        <f>'4.1 Comptes 2021 natures'!W134/'4.1 Comptes 2021 natures'!W2</f>
        <v>0</v>
      </c>
      <c r="X134" s="4">
        <f>'4.1 Comptes 2021 natures'!X134/'4.1 Comptes 2021 natures'!X2</f>
        <v>0</v>
      </c>
      <c r="Y134" s="4">
        <f>'4.1 Comptes 2021 natures'!Y134/'4.1 Comptes 2021 natures'!Y2</f>
        <v>0</v>
      </c>
      <c r="Z134" s="4">
        <f>'4.1 Comptes 2021 natures'!Z134/'4.1 Comptes 2021 natures'!Z2</f>
        <v>0</v>
      </c>
      <c r="AA134" s="4">
        <f>'4.1 Comptes 2021 natures'!AA134/'4.1 Comptes 2021 natures'!AA2</f>
        <v>0</v>
      </c>
      <c r="AB134" s="4">
        <f>'4.1 Comptes 2021 natures'!AB134/'4.1 Comptes 2021 natures'!AB2</f>
        <v>0</v>
      </c>
      <c r="AC134" s="4">
        <f>'4.1 Comptes 2021 natures'!AC134/'4.1 Comptes 2021 natures'!AC2</f>
        <v>0</v>
      </c>
      <c r="AD134" s="4">
        <f>'4.1 Comptes 2021 natures'!AD134/'4.1 Comptes 2021 natures'!AD2</f>
        <v>1.9071326676176892</v>
      </c>
      <c r="AE134" s="4">
        <f>'4.1 Comptes 2021 natures'!AE134/'4.1 Comptes 2021 natures'!AE2</f>
        <v>0</v>
      </c>
      <c r="AF134" s="4">
        <f>'4.1 Comptes 2021 natures'!AF134/'4.1 Comptes 2021 natures'!AF2</f>
        <v>0</v>
      </c>
      <c r="AG134" s="4">
        <f>'4.1 Comptes 2021 natures'!AG134/'4.1 Comptes 2021 natures'!AG2</f>
        <v>6.6081718177056048E-2</v>
      </c>
      <c r="AH134" s="4">
        <f>'4.1 Comptes 2021 natures'!AH134/'4.1 Comptes 2021 natures'!AH2</f>
        <v>0</v>
      </c>
      <c r="AI134" s="4">
        <f>'4.1 Comptes 2021 natures'!AI134/'4.1 Comptes 2021 natures'!AI2</f>
        <v>0</v>
      </c>
      <c r="AJ134" s="4">
        <f>'4.1 Comptes 2021 natures'!AJ134/'4.1 Comptes 2021 natures'!AJ2</f>
        <v>0</v>
      </c>
      <c r="AK134" s="4">
        <f>'4.1 Comptes 2021 natures'!AK134/'4.1 Comptes 2021 natures'!AK2</f>
        <v>0</v>
      </c>
      <c r="AL134" s="4">
        <f>'4.1 Comptes 2021 natures'!AL134/'4.1 Comptes 2021 natures'!AL2</f>
        <v>0</v>
      </c>
      <c r="AM134" s="4">
        <f>'4.1 Comptes 2021 natures'!AM134/'4.1 Comptes 2021 natures'!AM2</f>
        <v>0</v>
      </c>
      <c r="AN134" s="4">
        <f>'4.1 Comptes 2021 natures'!AN134/'4.1 Comptes 2021 natures'!AN2</f>
        <v>0</v>
      </c>
      <c r="AO134" s="4">
        <f>'4.1 Comptes 2021 natures'!AO134/'4.1 Comptes 2021 natures'!AO2</f>
        <v>0</v>
      </c>
      <c r="AP134" s="4">
        <f>'4.1 Comptes 2021 natures'!AP134/'4.1 Comptes 2021 natures'!AP2</f>
        <v>0</v>
      </c>
      <c r="AQ134" s="4">
        <f>'4.1 Comptes 2021 natures'!AQ134/'4.1 Comptes 2021 natures'!AQ2</f>
        <v>0</v>
      </c>
      <c r="AR134" s="4">
        <f>'4.1 Comptes 2021 natures'!AR134/'4.1 Comptes 2021 natures'!AR2</f>
        <v>0</v>
      </c>
      <c r="AS134" s="4">
        <f>'4.1 Comptes 2021 natures'!AS134/'4.1 Comptes 2021 natures'!AS2</f>
        <v>0</v>
      </c>
      <c r="AT134" s="4">
        <f>'4.1 Comptes 2021 natures'!AT134/'4.1 Comptes 2021 natures'!AT2</f>
        <v>0</v>
      </c>
      <c r="AU134" s="4">
        <f>'4.1 Comptes 2021 natures'!AU134/'4.1 Comptes 2021 natures'!AU2</f>
        <v>0</v>
      </c>
      <c r="AV134" s="4">
        <f>'4.1 Comptes 2021 natures'!AV134/'4.1 Comptes 2021 natures'!AV2</f>
        <v>0</v>
      </c>
      <c r="AW134" s="4">
        <f>'4.1 Comptes 2021 natures'!AW134/'4.1 Comptes 2021 natures'!AW2</f>
        <v>0</v>
      </c>
      <c r="AX134" s="4">
        <f>'4.1 Comptes 2021 natures'!AX134/'4.1 Comptes 2021 natures'!AX2</f>
        <v>0</v>
      </c>
      <c r="AY134" s="4">
        <f>'4.1 Comptes 2021 natures'!AY134/'4.1 Comptes 2021 natures'!AY2</f>
        <v>0</v>
      </c>
      <c r="AZ134" s="4">
        <f>'4.1 Comptes 2021 natures'!AZ134/'4.1 Comptes 2021 natures'!AZ2</f>
        <v>0</v>
      </c>
      <c r="BA134" s="4">
        <f>'4.1 Comptes 2021 natures'!BA134/'4.1 Comptes 2021 natures'!BA2</f>
        <v>0</v>
      </c>
      <c r="BB134" s="4">
        <f>'4.1 Comptes 2021 natures'!BB134/'4.1 Comptes 2021 natures'!BB2</f>
        <v>0</v>
      </c>
      <c r="BC134" s="4">
        <f>'4.1 Comptes 2021 natures'!BC134/'4.1 Comptes 2021 natures'!BC2</f>
        <v>0</v>
      </c>
      <c r="BD134" s="4">
        <f>'4.1 Comptes 2021 natures'!BD134/'4.1 Comptes 2021 natures'!BD2</f>
        <v>0</v>
      </c>
      <c r="BE134" s="4">
        <f>'4.1 Comptes 2021 natures'!BE134/'4.1 Comptes 2021 natures'!BE2</f>
        <v>0</v>
      </c>
      <c r="BF134" s="4">
        <f t="shared" si="88"/>
        <v>1.9732143857947453</v>
      </c>
      <c r="BG134" s="4">
        <f t="shared" si="89"/>
        <v>0</v>
      </c>
      <c r="BH134" s="4">
        <f t="shared" si="90"/>
        <v>1.9732143857947453</v>
      </c>
      <c r="BI134" s="4">
        <f t="shared" si="91"/>
        <v>0</v>
      </c>
    </row>
    <row r="135" spans="2:61" x14ac:dyDescent="0.25">
      <c r="C135">
        <v>484</v>
      </c>
      <c r="D135" t="s">
        <v>185</v>
      </c>
      <c r="E135" s="4">
        <f>'4.1 Comptes 2021 natures'!E135/'4.1 Comptes 2021 natures'!E2</f>
        <v>0</v>
      </c>
      <c r="F135" s="4">
        <f>'4.1 Comptes 2021 natures'!F135/'4.1 Comptes 2021 natures'!F2</f>
        <v>0</v>
      </c>
      <c r="G135" s="4">
        <f>'4.1 Comptes 2021 natures'!G135/'4.1 Comptes 2021 natures'!G2</f>
        <v>0</v>
      </c>
      <c r="H135" s="4">
        <f>'4.1 Comptes 2021 natures'!H135/'4.1 Comptes 2021 natures'!H2</f>
        <v>0</v>
      </c>
      <c r="I135" s="4">
        <f>'4.1 Comptes 2021 natures'!I135/'4.1 Comptes 2021 natures'!I2</f>
        <v>0</v>
      </c>
      <c r="J135" s="4">
        <f>'4.1 Comptes 2021 natures'!J135/'4.1 Comptes 2021 natures'!J2</f>
        <v>0</v>
      </c>
      <c r="K135" s="4">
        <f>'4.1 Comptes 2021 natures'!K135/'4.1 Comptes 2021 natures'!K2</f>
        <v>0.66533936651583714</v>
      </c>
      <c r="L135" s="4">
        <f>'4.1 Comptes 2021 natures'!L135/'4.1 Comptes 2021 natures'!L2</f>
        <v>0</v>
      </c>
      <c r="M135" s="4">
        <f>'4.1 Comptes 2021 natures'!M135/'4.1 Comptes 2021 natures'!M2</f>
        <v>0</v>
      </c>
      <c r="N135" s="4">
        <f>'4.1 Comptes 2021 natures'!N135/'4.1 Comptes 2021 natures'!N2</f>
        <v>0</v>
      </c>
      <c r="O135" s="4">
        <f>'4.1 Comptes 2021 natures'!O135/'4.1 Comptes 2021 natures'!O2</f>
        <v>0</v>
      </c>
      <c r="P135" s="4">
        <f>'4.1 Comptes 2021 natures'!P135/'4.1 Comptes 2021 natures'!P2</f>
        <v>0</v>
      </c>
      <c r="Q135" s="4">
        <f>'4.1 Comptes 2021 natures'!Q135/'4.1 Comptes 2021 natures'!Q2</f>
        <v>82.761261261261268</v>
      </c>
      <c r="R135" s="4">
        <f>'4.1 Comptes 2021 natures'!R135/'4.1 Comptes 2021 natures'!R2</f>
        <v>0</v>
      </c>
      <c r="S135" s="4">
        <f>'4.1 Comptes 2021 natures'!S135/'4.1 Comptes 2021 natures'!S2</f>
        <v>0</v>
      </c>
      <c r="T135" s="4">
        <f>'4.1 Comptes 2021 natures'!T135/'4.1 Comptes 2021 natures'!T2</f>
        <v>0</v>
      </c>
      <c r="U135" s="4">
        <f>'4.1 Comptes 2021 natures'!U135/'4.1 Comptes 2021 natures'!U2</f>
        <v>0</v>
      </c>
      <c r="V135" s="4">
        <f>'4.1 Comptes 2021 natures'!V135/'4.1 Comptes 2021 natures'!V2</f>
        <v>0</v>
      </c>
      <c r="W135" s="4">
        <f>'4.1 Comptes 2021 natures'!W135/'4.1 Comptes 2021 natures'!W2</f>
        <v>0</v>
      </c>
      <c r="X135" s="4">
        <f>'4.1 Comptes 2021 natures'!X135/'4.1 Comptes 2021 natures'!X2</f>
        <v>0</v>
      </c>
      <c r="Y135" s="4">
        <f>'4.1 Comptes 2021 natures'!Y135/'4.1 Comptes 2021 natures'!Y2</f>
        <v>3.8125984251968505</v>
      </c>
      <c r="Z135" s="4">
        <f>'4.1 Comptes 2021 natures'!Z135/'4.1 Comptes 2021 natures'!Z2</f>
        <v>20.889110225763613</v>
      </c>
      <c r="AA135" s="4">
        <f>'4.1 Comptes 2021 natures'!AA135/'4.1 Comptes 2021 natures'!AA2</f>
        <v>0</v>
      </c>
      <c r="AB135" s="4">
        <f>'4.1 Comptes 2021 natures'!AB135/'4.1 Comptes 2021 natures'!AB2</f>
        <v>0</v>
      </c>
      <c r="AC135" s="4">
        <f>'4.1 Comptes 2021 natures'!AC135/'4.1 Comptes 2021 natures'!AC2</f>
        <v>0</v>
      </c>
      <c r="AD135" s="4">
        <f>'4.1 Comptes 2021 natures'!AD135/'4.1 Comptes 2021 natures'!AD2</f>
        <v>0</v>
      </c>
      <c r="AE135" s="4">
        <f>'4.1 Comptes 2021 natures'!AE135/'4.1 Comptes 2021 natures'!AE2</f>
        <v>0</v>
      </c>
      <c r="AF135" s="4">
        <f>'4.1 Comptes 2021 natures'!AF135/'4.1 Comptes 2021 natures'!AF2</f>
        <v>0</v>
      </c>
      <c r="AG135" s="4">
        <f>'4.1 Comptes 2021 natures'!AG135/'4.1 Comptes 2021 natures'!AG2</f>
        <v>0</v>
      </c>
      <c r="AH135" s="4">
        <f>'4.1 Comptes 2021 natures'!AH135/'4.1 Comptes 2021 natures'!AH2</f>
        <v>0</v>
      </c>
      <c r="AI135" s="4">
        <f>'4.1 Comptes 2021 natures'!AI135/'4.1 Comptes 2021 natures'!AI2</f>
        <v>0</v>
      </c>
      <c r="AJ135" s="4">
        <f>'4.1 Comptes 2021 natures'!AJ135/'4.1 Comptes 2021 natures'!AJ2</f>
        <v>0</v>
      </c>
      <c r="AK135" s="4">
        <f>'4.1 Comptes 2021 natures'!AK135/'4.1 Comptes 2021 natures'!AK2</f>
        <v>0</v>
      </c>
      <c r="AL135" s="4">
        <f>'4.1 Comptes 2021 natures'!AL135/'4.1 Comptes 2021 natures'!AL2</f>
        <v>270.69271758436946</v>
      </c>
      <c r="AM135" s="4">
        <f>'4.1 Comptes 2021 natures'!AM135/'4.1 Comptes 2021 natures'!AM2</f>
        <v>0</v>
      </c>
      <c r="AN135" s="4">
        <f>'4.1 Comptes 2021 natures'!AN135/'4.1 Comptes 2021 natures'!AN2</f>
        <v>0</v>
      </c>
      <c r="AO135" s="4">
        <f>'4.1 Comptes 2021 natures'!AO135/'4.1 Comptes 2021 natures'!AO2</f>
        <v>0</v>
      </c>
      <c r="AP135" s="4">
        <f>'4.1 Comptes 2021 natures'!AP135/'4.1 Comptes 2021 natures'!AP2</f>
        <v>0</v>
      </c>
      <c r="AQ135" s="4">
        <f>'4.1 Comptes 2021 natures'!AQ135/'4.1 Comptes 2021 natures'!AQ2</f>
        <v>0</v>
      </c>
      <c r="AR135" s="4">
        <f>'4.1 Comptes 2021 natures'!AR135/'4.1 Comptes 2021 natures'!AR2</f>
        <v>7.3909657320872277E-2</v>
      </c>
      <c r="AS135" s="4">
        <f>'4.1 Comptes 2021 natures'!AS135/'4.1 Comptes 2021 natures'!AS2</f>
        <v>0</v>
      </c>
      <c r="AT135" s="4">
        <f>'4.1 Comptes 2021 natures'!AT135/'4.1 Comptes 2021 natures'!AT2</f>
        <v>0</v>
      </c>
      <c r="AU135" s="4">
        <f>'4.1 Comptes 2021 natures'!AU135/'4.1 Comptes 2021 natures'!AU2</f>
        <v>0</v>
      </c>
      <c r="AV135" s="4">
        <f>'4.1 Comptes 2021 natures'!AV135/'4.1 Comptes 2021 natures'!AV2</f>
        <v>0</v>
      </c>
      <c r="AW135" s="4">
        <f>'4.1 Comptes 2021 natures'!AW135/'4.1 Comptes 2021 natures'!AW2</f>
        <v>0</v>
      </c>
      <c r="AX135" s="4">
        <f>'4.1 Comptes 2021 natures'!AX135/'4.1 Comptes 2021 natures'!AX2</f>
        <v>0</v>
      </c>
      <c r="AY135" s="4">
        <f>'4.1 Comptes 2021 natures'!AY135/'4.1 Comptes 2021 natures'!AY2</f>
        <v>0</v>
      </c>
      <c r="AZ135" s="4">
        <f>'4.1 Comptes 2021 natures'!AZ135/'4.1 Comptes 2021 natures'!AZ2</f>
        <v>0</v>
      </c>
      <c r="BA135" s="4">
        <f>'4.1 Comptes 2021 natures'!BA135/'4.1 Comptes 2021 natures'!BA2</f>
        <v>0</v>
      </c>
      <c r="BB135" s="4">
        <f>'4.1 Comptes 2021 natures'!BB135/'4.1 Comptes 2021 natures'!BB2</f>
        <v>0</v>
      </c>
      <c r="BC135" s="4">
        <f>'4.1 Comptes 2021 natures'!BC135/'4.1 Comptes 2021 natures'!BC2</f>
        <v>0</v>
      </c>
      <c r="BD135" s="4">
        <f>'4.1 Comptes 2021 natures'!BD135/'4.1 Comptes 2021 natures'!BD2</f>
        <v>0</v>
      </c>
      <c r="BE135" s="4">
        <f>'4.1 Comptes 2021 natures'!BE135/'4.1 Comptes 2021 natures'!BE2</f>
        <v>0</v>
      </c>
      <c r="BF135" s="4">
        <f t="shared" si="88"/>
        <v>378.8949365204279</v>
      </c>
      <c r="BG135" s="4">
        <f t="shared" si="89"/>
        <v>83.426600627777106</v>
      </c>
      <c r="BH135" s="4">
        <f t="shared" si="90"/>
        <v>24.701708650960462</v>
      </c>
      <c r="BI135" s="4">
        <f t="shared" si="91"/>
        <v>270.76662724169034</v>
      </c>
    </row>
    <row r="136" spans="2:61" x14ac:dyDescent="0.25">
      <c r="C136">
        <v>485</v>
      </c>
      <c r="D136" t="s">
        <v>186</v>
      </c>
      <c r="E136" s="4">
        <f>'4.1 Comptes 2021 natures'!E136/'4.1 Comptes 2021 natures'!E2</f>
        <v>0</v>
      </c>
      <c r="F136" s="4">
        <f>'4.1 Comptes 2021 natures'!F136/'4.1 Comptes 2021 natures'!F2</f>
        <v>0</v>
      </c>
      <c r="G136" s="4">
        <f>'4.1 Comptes 2021 natures'!G136/'4.1 Comptes 2021 natures'!G2</f>
        <v>0</v>
      </c>
      <c r="H136" s="4">
        <f>'4.1 Comptes 2021 natures'!H136/'4.1 Comptes 2021 natures'!H2</f>
        <v>0</v>
      </c>
      <c r="I136" s="4">
        <f>'4.1 Comptes 2021 natures'!I136/'4.1 Comptes 2021 natures'!I2</f>
        <v>0</v>
      </c>
      <c r="J136" s="4">
        <f>'4.1 Comptes 2021 natures'!J136/'4.1 Comptes 2021 natures'!J2</f>
        <v>0</v>
      </c>
      <c r="K136" s="4">
        <f>'4.1 Comptes 2021 natures'!K136/'4.1 Comptes 2021 natures'!K2</f>
        <v>0</v>
      </c>
      <c r="L136" s="4">
        <f>'4.1 Comptes 2021 natures'!L136/'4.1 Comptes 2021 natures'!L2</f>
        <v>0</v>
      </c>
      <c r="M136" s="4">
        <f>'4.1 Comptes 2021 natures'!M136/'4.1 Comptes 2021 natures'!M2</f>
        <v>0</v>
      </c>
      <c r="N136" s="4">
        <f>'4.1 Comptes 2021 natures'!N136/'4.1 Comptes 2021 natures'!N2</f>
        <v>0</v>
      </c>
      <c r="O136" s="4">
        <f>'4.1 Comptes 2021 natures'!O136/'4.1 Comptes 2021 natures'!O2</f>
        <v>0</v>
      </c>
      <c r="P136" s="4">
        <f>'4.1 Comptes 2021 natures'!P136/'4.1 Comptes 2021 natures'!P2</f>
        <v>0</v>
      </c>
      <c r="Q136" s="4">
        <f>'4.1 Comptes 2021 natures'!Q136/'4.1 Comptes 2021 natures'!Q2</f>
        <v>0</v>
      </c>
      <c r="R136" s="4">
        <f>'4.1 Comptes 2021 natures'!R136/'4.1 Comptes 2021 natures'!R2</f>
        <v>0</v>
      </c>
      <c r="S136" s="4">
        <f>'4.1 Comptes 2021 natures'!S136/'4.1 Comptes 2021 natures'!S2</f>
        <v>0</v>
      </c>
      <c r="T136" s="4">
        <f>'4.1 Comptes 2021 natures'!T136/'4.1 Comptes 2021 natures'!T2</f>
        <v>0</v>
      </c>
      <c r="U136" s="4">
        <f>'4.1 Comptes 2021 natures'!U136/'4.1 Comptes 2021 natures'!U2</f>
        <v>0</v>
      </c>
      <c r="V136" s="4">
        <f>'4.1 Comptes 2021 natures'!V136/'4.1 Comptes 2021 natures'!V2</f>
        <v>0</v>
      </c>
      <c r="W136" s="4">
        <f>'4.1 Comptes 2021 natures'!W136/'4.1 Comptes 2021 natures'!W2</f>
        <v>0</v>
      </c>
      <c r="X136" s="4">
        <f>'4.1 Comptes 2021 natures'!X136/'4.1 Comptes 2021 natures'!X2</f>
        <v>0</v>
      </c>
      <c r="Y136" s="4">
        <f>'4.1 Comptes 2021 natures'!Y136/'4.1 Comptes 2021 natures'!Y2</f>
        <v>0</v>
      </c>
      <c r="Z136" s="4">
        <f>'4.1 Comptes 2021 natures'!Z136/'4.1 Comptes 2021 natures'!Z2</f>
        <v>0</v>
      </c>
      <c r="AA136" s="4">
        <f>'4.1 Comptes 2021 natures'!AA136/'4.1 Comptes 2021 natures'!AA2</f>
        <v>0</v>
      </c>
      <c r="AB136" s="4">
        <f>'4.1 Comptes 2021 natures'!AB136/'4.1 Comptes 2021 natures'!AB2</f>
        <v>0</v>
      </c>
      <c r="AC136" s="4">
        <f>'4.1 Comptes 2021 natures'!AC136/'4.1 Comptes 2021 natures'!AC2</f>
        <v>0</v>
      </c>
      <c r="AD136" s="4">
        <f>'4.1 Comptes 2021 natures'!AD136/'4.1 Comptes 2021 natures'!AD2</f>
        <v>0</v>
      </c>
      <c r="AE136" s="4">
        <f>'4.1 Comptes 2021 natures'!AE136/'4.1 Comptes 2021 natures'!AE2</f>
        <v>0</v>
      </c>
      <c r="AF136" s="4">
        <f>'4.1 Comptes 2021 natures'!AF136/'4.1 Comptes 2021 natures'!AF2</f>
        <v>0</v>
      </c>
      <c r="AG136" s="4">
        <f>'4.1 Comptes 2021 natures'!AG136/'4.1 Comptes 2021 natures'!AG2</f>
        <v>0</v>
      </c>
      <c r="AH136" s="4">
        <f>'4.1 Comptes 2021 natures'!AH136/'4.1 Comptes 2021 natures'!AH2</f>
        <v>0</v>
      </c>
      <c r="AI136" s="4">
        <f>'4.1 Comptes 2021 natures'!AI136/'4.1 Comptes 2021 natures'!AI2</f>
        <v>0</v>
      </c>
      <c r="AJ136" s="4">
        <f>'4.1 Comptes 2021 natures'!AJ136/'4.1 Comptes 2021 natures'!AJ2</f>
        <v>0</v>
      </c>
      <c r="AK136" s="4">
        <f>'4.1 Comptes 2021 natures'!AK136/'4.1 Comptes 2021 natures'!AK2</f>
        <v>0</v>
      </c>
      <c r="AL136" s="4">
        <f>'4.1 Comptes 2021 natures'!AL136/'4.1 Comptes 2021 natures'!AL2</f>
        <v>0</v>
      </c>
      <c r="AM136" s="4">
        <f>'4.1 Comptes 2021 natures'!AM136/'4.1 Comptes 2021 natures'!AM2</f>
        <v>0</v>
      </c>
      <c r="AN136" s="4">
        <f>'4.1 Comptes 2021 natures'!AN136/'4.1 Comptes 2021 natures'!AN2</f>
        <v>0</v>
      </c>
      <c r="AO136" s="4">
        <f>'4.1 Comptes 2021 natures'!AO136/'4.1 Comptes 2021 natures'!AO2</f>
        <v>0</v>
      </c>
      <c r="AP136" s="4">
        <f>'4.1 Comptes 2021 natures'!AP136/'4.1 Comptes 2021 natures'!AP2</f>
        <v>0</v>
      </c>
      <c r="AQ136" s="4">
        <f>'4.1 Comptes 2021 natures'!AQ136/'4.1 Comptes 2021 natures'!AQ2</f>
        <v>0</v>
      </c>
      <c r="AR136" s="4">
        <f>'4.1 Comptes 2021 natures'!AR136/'4.1 Comptes 2021 natures'!AR2</f>
        <v>0</v>
      </c>
      <c r="AS136" s="4">
        <f>'4.1 Comptes 2021 natures'!AS136/'4.1 Comptes 2021 natures'!AS2</f>
        <v>0</v>
      </c>
      <c r="AT136" s="4">
        <f>'4.1 Comptes 2021 natures'!AT136/'4.1 Comptes 2021 natures'!AT2</f>
        <v>0</v>
      </c>
      <c r="AU136" s="4">
        <f>'4.1 Comptes 2021 natures'!AU136/'4.1 Comptes 2021 natures'!AU2</f>
        <v>0</v>
      </c>
      <c r="AV136" s="4">
        <f>'4.1 Comptes 2021 natures'!AV136/'4.1 Comptes 2021 natures'!AV2</f>
        <v>0</v>
      </c>
      <c r="AW136" s="4">
        <f>'4.1 Comptes 2021 natures'!AW136/'4.1 Comptes 2021 natures'!AW2</f>
        <v>0</v>
      </c>
      <c r="AX136" s="4">
        <f>'4.1 Comptes 2021 natures'!AX136/'4.1 Comptes 2021 natures'!AX2</f>
        <v>0</v>
      </c>
      <c r="AY136" s="4">
        <f>'4.1 Comptes 2021 natures'!AY136/'4.1 Comptes 2021 natures'!AY2</f>
        <v>0</v>
      </c>
      <c r="AZ136" s="4">
        <f>'4.1 Comptes 2021 natures'!AZ136/'4.1 Comptes 2021 natures'!AZ2</f>
        <v>0</v>
      </c>
      <c r="BA136" s="4">
        <f>'4.1 Comptes 2021 natures'!BA136/'4.1 Comptes 2021 natures'!BA2</f>
        <v>0</v>
      </c>
      <c r="BB136" s="4">
        <f>'4.1 Comptes 2021 natures'!BB136/'4.1 Comptes 2021 natures'!BB2</f>
        <v>0</v>
      </c>
      <c r="BC136" s="4">
        <f>'4.1 Comptes 2021 natures'!BC136/'4.1 Comptes 2021 natures'!BC2</f>
        <v>0</v>
      </c>
      <c r="BD136" s="4">
        <f>'4.1 Comptes 2021 natures'!BD136/'4.1 Comptes 2021 natures'!BD2</f>
        <v>0</v>
      </c>
      <c r="BE136" s="4">
        <f>'4.1 Comptes 2021 natures'!BE136/'4.1 Comptes 2021 natures'!BE2</f>
        <v>0</v>
      </c>
      <c r="BF136" s="4">
        <f t="shared" si="88"/>
        <v>0</v>
      </c>
      <c r="BG136" s="4">
        <f t="shared" si="89"/>
        <v>0</v>
      </c>
      <c r="BH136" s="4">
        <f t="shared" si="90"/>
        <v>0</v>
      </c>
      <c r="BI136" s="4">
        <f t="shared" si="91"/>
        <v>0</v>
      </c>
    </row>
    <row r="137" spans="2:61" x14ac:dyDescent="0.25">
      <c r="C137">
        <v>486</v>
      </c>
      <c r="D137" t="s">
        <v>187</v>
      </c>
      <c r="E137" s="4">
        <f>'4.1 Comptes 2021 natures'!E137/'4.1 Comptes 2021 natures'!E2</f>
        <v>0</v>
      </c>
      <c r="F137" s="4">
        <f>'4.1 Comptes 2021 natures'!F137/'4.1 Comptes 2021 natures'!F2</f>
        <v>0</v>
      </c>
      <c r="G137" s="4">
        <f>'4.1 Comptes 2021 natures'!G137/'4.1 Comptes 2021 natures'!G2</f>
        <v>0</v>
      </c>
      <c r="H137" s="4">
        <f>'4.1 Comptes 2021 natures'!H137/'4.1 Comptes 2021 natures'!H2</f>
        <v>0</v>
      </c>
      <c r="I137" s="4">
        <f>'4.1 Comptes 2021 natures'!I137/'4.1 Comptes 2021 natures'!I2</f>
        <v>0</v>
      </c>
      <c r="J137" s="4">
        <f>'4.1 Comptes 2021 natures'!J137/'4.1 Comptes 2021 natures'!J2</f>
        <v>0</v>
      </c>
      <c r="K137" s="4">
        <f>'4.1 Comptes 2021 natures'!K137/'4.1 Comptes 2021 natures'!K2</f>
        <v>0</v>
      </c>
      <c r="L137" s="4">
        <f>'4.1 Comptes 2021 natures'!L137/'4.1 Comptes 2021 natures'!L2</f>
        <v>0</v>
      </c>
      <c r="M137" s="4">
        <f>'4.1 Comptes 2021 natures'!M137/'4.1 Comptes 2021 natures'!M2</f>
        <v>0</v>
      </c>
      <c r="N137" s="4">
        <f>'4.1 Comptes 2021 natures'!N137/'4.1 Comptes 2021 natures'!N2</f>
        <v>0</v>
      </c>
      <c r="O137" s="4">
        <f>'4.1 Comptes 2021 natures'!O137/'4.1 Comptes 2021 natures'!O2</f>
        <v>0</v>
      </c>
      <c r="P137" s="4">
        <f>'4.1 Comptes 2021 natures'!P137/'4.1 Comptes 2021 natures'!P2</f>
        <v>0</v>
      </c>
      <c r="Q137" s="4">
        <f>'4.1 Comptes 2021 natures'!Q137/'4.1 Comptes 2021 natures'!Q2</f>
        <v>0</v>
      </c>
      <c r="R137" s="4">
        <f>'4.1 Comptes 2021 natures'!R137/'4.1 Comptes 2021 natures'!R2</f>
        <v>0</v>
      </c>
      <c r="S137" s="4">
        <f>'4.1 Comptes 2021 natures'!S137/'4.1 Comptes 2021 natures'!S2</f>
        <v>0</v>
      </c>
      <c r="T137" s="4">
        <f>'4.1 Comptes 2021 natures'!T137/'4.1 Comptes 2021 natures'!T2</f>
        <v>0</v>
      </c>
      <c r="U137" s="4">
        <f>'4.1 Comptes 2021 natures'!U137/'4.1 Comptes 2021 natures'!U2</f>
        <v>0</v>
      </c>
      <c r="V137" s="4">
        <f>'4.1 Comptes 2021 natures'!V137/'4.1 Comptes 2021 natures'!V2</f>
        <v>0</v>
      </c>
      <c r="W137" s="4">
        <f>'4.1 Comptes 2021 natures'!W137/'4.1 Comptes 2021 natures'!W2</f>
        <v>0</v>
      </c>
      <c r="X137" s="4">
        <f>'4.1 Comptes 2021 natures'!X137/'4.1 Comptes 2021 natures'!X2</f>
        <v>0</v>
      </c>
      <c r="Y137" s="4">
        <f>'4.1 Comptes 2021 natures'!Y137/'4.1 Comptes 2021 natures'!Y2</f>
        <v>0</v>
      </c>
      <c r="Z137" s="4">
        <f>'4.1 Comptes 2021 natures'!Z137/'4.1 Comptes 2021 natures'!Z2</f>
        <v>0</v>
      </c>
      <c r="AA137" s="4">
        <f>'4.1 Comptes 2021 natures'!AA137/'4.1 Comptes 2021 natures'!AA2</f>
        <v>0</v>
      </c>
      <c r="AB137" s="4">
        <f>'4.1 Comptes 2021 natures'!AB137/'4.1 Comptes 2021 natures'!AB2</f>
        <v>0</v>
      </c>
      <c r="AC137" s="4">
        <f>'4.1 Comptes 2021 natures'!AC137/'4.1 Comptes 2021 natures'!AC2</f>
        <v>0</v>
      </c>
      <c r="AD137" s="4">
        <f>'4.1 Comptes 2021 natures'!AD137/'4.1 Comptes 2021 natures'!AD2</f>
        <v>0</v>
      </c>
      <c r="AE137" s="4">
        <f>'4.1 Comptes 2021 natures'!AE137/'4.1 Comptes 2021 natures'!AE2</f>
        <v>0</v>
      </c>
      <c r="AF137" s="4">
        <f>'4.1 Comptes 2021 natures'!AF137/'4.1 Comptes 2021 natures'!AF2</f>
        <v>0</v>
      </c>
      <c r="AG137" s="4">
        <f>'4.1 Comptes 2021 natures'!AG137/'4.1 Comptes 2021 natures'!AG2</f>
        <v>0</v>
      </c>
      <c r="AH137" s="4">
        <f>'4.1 Comptes 2021 natures'!AH137/'4.1 Comptes 2021 natures'!AH2</f>
        <v>0</v>
      </c>
      <c r="AI137" s="4">
        <f>'4.1 Comptes 2021 natures'!AI137/'4.1 Comptes 2021 natures'!AI2</f>
        <v>0</v>
      </c>
      <c r="AJ137" s="4">
        <f>'4.1 Comptes 2021 natures'!AJ137/'4.1 Comptes 2021 natures'!AJ2</f>
        <v>0</v>
      </c>
      <c r="AK137" s="4">
        <f>'4.1 Comptes 2021 natures'!AK137/'4.1 Comptes 2021 natures'!AK2</f>
        <v>0</v>
      </c>
      <c r="AL137" s="4">
        <f>'4.1 Comptes 2021 natures'!AL137/'4.1 Comptes 2021 natures'!AL2</f>
        <v>0</v>
      </c>
      <c r="AM137" s="4">
        <f>'4.1 Comptes 2021 natures'!AM137/'4.1 Comptes 2021 natures'!AM2</f>
        <v>0</v>
      </c>
      <c r="AN137" s="4">
        <f>'4.1 Comptes 2021 natures'!AN137/'4.1 Comptes 2021 natures'!AN2</f>
        <v>0</v>
      </c>
      <c r="AO137" s="4">
        <f>'4.1 Comptes 2021 natures'!AO137/'4.1 Comptes 2021 natures'!AO2</f>
        <v>0</v>
      </c>
      <c r="AP137" s="4">
        <f>'4.1 Comptes 2021 natures'!AP137/'4.1 Comptes 2021 natures'!AP2</f>
        <v>0</v>
      </c>
      <c r="AQ137" s="4">
        <f>'4.1 Comptes 2021 natures'!AQ137/'4.1 Comptes 2021 natures'!AQ2</f>
        <v>0</v>
      </c>
      <c r="AR137" s="4">
        <f>'4.1 Comptes 2021 natures'!AR137/'4.1 Comptes 2021 natures'!AR2</f>
        <v>0</v>
      </c>
      <c r="AS137" s="4">
        <f>'4.1 Comptes 2021 natures'!AS137/'4.1 Comptes 2021 natures'!AS2</f>
        <v>0</v>
      </c>
      <c r="AT137" s="4">
        <f>'4.1 Comptes 2021 natures'!AT137/'4.1 Comptes 2021 natures'!AT2</f>
        <v>0</v>
      </c>
      <c r="AU137" s="4">
        <f>'4.1 Comptes 2021 natures'!AU137/'4.1 Comptes 2021 natures'!AU2</f>
        <v>0</v>
      </c>
      <c r="AV137" s="4">
        <f>'4.1 Comptes 2021 natures'!AV137/'4.1 Comptes 2021 natures'!AV2</f>
        <v>0</v>
      </c>
      <c r="AW137" s="4">
        <f>'4.1 Comptes 2021 natures'!AW137/'4.1 Comptes 2021 natures'!AW2</f>
        <v>0</v>
      </c>
      <c r="AX137" s="4">
        <f>'4.1 Comptes 2021 natures'!AX137/'4.1 Comptes 2021 natures'!AX2</f>
        <v>0</v>
      </c>
      <c r="AY137" s="4">
        <f>'4.1 Comptes 2021 natures'!AY137/'4.1 Comptes 2021 natures'!AY2</f>
        <v>0</v>
      </c>
      <c r="AZ137" s="4">
        <f>'4.1 Comptes 2021 natures'!AZ137/'4.1 Comptes 2021 natures'!AZ2</f>
        <v>0</v>
      </c>
      <c r="BA137" s="4">
        <f>'4.1 Comptes 2021 natures'!BA137/'4.1 Comptes 2021 natures'!BA2</f>
        <v>0</v>
      </c>
      <c r="BB137" s="4">
        <f>'4.1 Comptes 2021 natures'!BB137/'4.1 Comptes 2021 natures'!BB2</f>
        <v>0</v>
      </c>
      <c r="BC137" s="4">
        <f>'4.1 Comptes 2021 natures'!BC137/'4.1 Comptes 2021 natures'!BC2</f>
        <v>0</v>
      </c>
      <c r="BD137" s="4">
        <f>'4.1 Comptes 2021 natures'!BD137/'4.1 Comptes 2021 natures'!BD2</f>
        <v>0</v>
      </c>
      <c r="BE137" s="4">
        <f>'4.1 Comptes 2021 natures'!BE137/'4.1 Comptes 2021 natures'!BE2</f>
        <v>0</v>
      </c>
      <c r="BF137" s="4">
        <f t="shared" si="88"/>
        <v>0</v>
      </c>
      <c r="BG137" s="4">
        <f t="shared" si="89"/>
        <v>0</v>
      </c>
      <c r="BH137" s="4">
        <f t="shared" si="90"/>
        <v>0</v>
      </c>
      <c r="BI137" s="4">
        <f t="shared" si="91"/>
        <v>0</v>
      </c>
    </row>
    <row r="138" spans="2:61" x14ac:dyDescent="0.25">
      <c r="C138">
        <v>489</v>
      </c>
      <c r="D138" t="s">
        <v>188</v>
      </c>
      <c r="E138" s="4">
        <f>'4.1 Comptes 2021 natures'!E138/'4.1 Comptes 2021 natures'!E2</f>
        <v>0</v>
      </c>
      <c r="F138" s="4">
        <f>'4.1 Comptes 2021 natures'!F138/'4.1 Comptes 2021 natures'!F2</f>
        <v>0</v>
      </c>
      <c r="G138" s="4">
        <f>'4.1 Comptes 2021 natures'!G138/'4.1 Comptes 2021 natures'!G2</f>
        <v>0</v>
      </c>
      <c r="H138" s="4">
        <f>'4.1 Comptes 2021 natures'!H138/'4.1 Comptes 2021 natures'!H2</f>
        <v>0</v>
      </c>
      <c r="I138" s="4">
        <f>'4.1 Comptes 2021 natures'!I138/'4.1 Comptes 2021 natures'!I2</f>
        <v>0</v>
      </c>
      <c r="J138" s="4">
        <f>'4.1 Comptes 2021 natures'!J138/'4.1 Comptes 2021 natures'!J2</f>
        <v>0.88040358744394609</v>
      </c>
      <c r="K138" s="4">
        <f>'4.1 Comptes 2021 natures'!K138/'4.1 Comptes 2021 natures'!K2</f>
        <v>0</v>
      </c>
      <c r="L138" s="4">
        <f>'4.1 Comptes 2021 natures'!L138/'4.1 Comptes 2021 natures'!L2</f>
        <v>104.97636028527927</v>
      </c>
      <c r="M138" s="4">
        <f>'4.1 Comptes 2021 natures'!M138/'4.1 Comptes 2021 natures'!M2</f>
        <v>0</v>
      </c>
      <c r="N138" s="4">
        <f>'4.1 Comptes 2021 natures'!N138/'4.1 Comptes 2021 natures'!N2</f>
        <v>0</v>
      </c>
      <c r="O138" s="4">
        <f>'4.1 Comptes 2021 natures'!O138/'4.1 Comptes 2021 natures'!O2</f>
        <v>0</v>
      </c>
      <c r="P138" s="4">
        <f>'4.1 Comptes 2021 natures'!P138/'4.1 Comptes 2021 natures'!P2</f>
        <v>0</v>
      </c>
      <c r="Q138" s="4">
        <f>'4.1 Comptes 2021 natures'!Q138/'4.1 Comptes 2021 natures'!Q2</f>
        <v>0</v>
      </c>
      <c r="R138" s="4">
        <f>'4.1 Comptes 2021 natures'!R138/'4.1 Comptes 2021 natures'!R2</f>
        <v>0</v>
      </c>
      <c r="S138" s="4">
        <f>'4.1 Comptes 2021 natures'!S138/'4.1 Comptes 2021 natures'!S2</f>
        <v>0</v>
      </c>
      <c r="T138" s="4">
        <f>'4.1 Comptes 2021 natures'!T138/'4.1 Comptes 2021 natures'!T2</f>
        <v>0</v>
      </c>
      <c r="U138" s="4">
        <f>'4.1 Comptes 2021 natures'!U138/'4.1 Comptes 2021 natures'!U2</f>
        <v>0</v>
      </c>
      <c r="V138" s="4">
        <f>'4.1 Comptes 2021 natures'!V138/'4.1 Comptes 2021 natures'!V2</f>
        <v>0</v>
      </c>
      <c r="W138" s="4">
        <f>'4.1 Comptes 2021 natures'!W138/'4.1 Comptes 2021 natures'!W2</f>
        <v>0</v>
      </c>
      <c r="X138" s="4">
        <f>'4.1 Comptes 2021 natures'!X138/'4.1 Comptes 2021 natures'!X2</f>
        <v>0</v>
      </c>
      <c r="Y138" s="4">
        <f>'4.1 Comptes 2021 natures'!Y138/'4.1 Comptes 2021 natures'!Y2</f>
        <v>0</v>
      </c>
      <c r="Z138" s="4">
        <f>'4.1 Comptes 2021 natures'!Z138/'4.1 Comptes 2021 natures'!Z2</f>
        <v>0</v>
      </c>
      <c r="AA138" s="4">
        <f>'4.1 Comptes 2021 natures'!AA138/'4.1 Comptes 2021 natures'!AA2</f>
        <v>0</v>
      </c>
      <c r="AB138" s="4">
        <f>'4.1 Comptes 2021 natures'!AB138/'4.1 Comptes 2021 natures'!AB2</f>
        <v>0</v>
      </c>
      <c r="AC138" s="4">
        <f>'4.1 Comptes 2021 natures'!AC138/'4.1 Comptes 2021 natures'!AC2</f>
        <v>250.96525096525096</v>
      </c>
      <c r="AD138" s="4">
        <f>'4.1 Comptes 2021 natures'!AD138/'4.1 Comptes 2021 natures'!AD2</f>
        <v>0</v>
      </c>
      <c r="AE138" s="4">
        <f>'4.1 Comptes 2021 natures'!AE138/'4.1 Comptes 2021 natures'!AE2</f>
        <v>0</v>
      </c>
      <c r="AF138" s="4">
        <f>'4.1 Comptes 2021 natures'!AF138/'4.1 Comptes 2021 natures'!AF2</f>
        <v>0</v>
      </c>
      <c r="AG138" s="4">
        <f>'4.1 Comptes 2021 natures'!AG138/'4.1 Comptes 2021 natures'!AG2</f>
        <v>0</v>
      </c>
      <c r="AH138" s="4">
        <f>'4.1 Comptes 2021 natures'!AH138/'4.1 Comptes 2021 natures'!AH2</f>
        <v>0</v>
      </c>
      <c r="AI138" s="4">
        <f>'4.1 Comptes 2021 natures'!AI138/'4.1 Comptes 2021 natures'!AI2</f>
        <v>0</v>
      </c>
      <c r="AJ138" s="4">
        <f>'4.1 Comptes 2021 natures'!AJ138/'4.1 Comptes 2021 natures'!AJ2</f>
        <v>0</v>
      </c>
      <c r="AK138" s="4">
        <f>'4.1 Comptes 2021 natures'!AK138/'4.1 Comptes 2021 natures'!AK2</f>
        <v>0</v>
      </c>
      <c r="AL138" s="4">
        <f>'4.1 Comptes 2021 natures'!AL138/'4.1 Comptes 2021 natures'!AL2</f>
        <v>31.083481349911189</v>
      </c>
      <c r="AM138" s="4">
        <f>'4.1 Comptes 2021 natures'!AM138/'4.1 Comptes 2021 natures'!AM2</f>
        <v>14.744702040816325</v>
      </c>
      <c r="AN138" s="4">
        <f>'4.1 Comptes 2021 natures'!AN138/'4.1 Comptes 2021 natures'!AN2</f>
        <v>51.153846153846153</v>
      </c>
      <c r="AO138" s="4">
        <f>'4.1 Comptes 2021 natures'!AO138/'4.1 Comptes 2021 natures'!AO2</f>
        <v>0</v>
      </c>
      <c r="AP138" s="4">
        <f>'4.1 Comptes 2021 natures'!AP138/'4.1 Comptes 2021 natures'!AP2</f>
        <v>0</v>
      </c>
      <c r="AQ138" s="4">
        <f>'4.1 Comptes 2021 natures'!AQ138/'4.1 Comptes 2021 natures'!AQ2</f>
        <v>0</v>
      </c>
      <c r="AR138" s="4">
        <f>'4.1 Comptes 2021 natures'!AR138/'4.1 Comptes 2021 natures'!AR2</f>
        <v>0</v>
      </c>
      <c r="AS138" s="4">
        <f>'4.1 Comptes 2021 natures'!AS138/'4.1 Comptes 2021 natures'!AS2</f>
        <v>0</v>
      </c>
      <c r="AT138" s="4">
        <f>'4.1 Comptes 2021 natures'!AT138/'4.1 Comptes 2021 natures'!AT2</f>
        <v>98.425196850393704</v>
      </c>
      <c r="AU138" s="4">
        <f>'4.1 Comptes 2021 natures'!AU138/'4.1 Comptes 2021 natures'!AU2</f>
        <v>2549.3421052631579</v>
      </c>
      <c r="AV138" s="4">
        <f>'4.1 Comptes 2021 natures'!AV138/'4.1 Comptes 2021 natures'!AV2</f>
        <v>0</v>
      </c>
      <c r="AW138" s="4">
        <f>'4.1 Comptes 2021 natures'!AW138/'4.1 Comptes 2021 natures'!AW2</f>
        <v>0</v>
      </c>
      <c r="AX138" s="4">
        <f>'4.1 Comptes 2021 natures'!AX138/'4.1 Comptes 2021 natures'!AX2</f>
        <v>0</v>
      </c>
      <c r="AY138" s="4">
        <f>'4.1 Comptes 2021 natures'!AY138/'4.1 Comptes 2021 natures'!AY2</f>
        <v>0</v>
      </c>
      <c r="AZ138" s="4">
        <f>'4.1 Comptes 2021 natures'!AZ138/'4.1 Comptes 2021 natures'!AZ2</f>
        <v>0</v>
      </c>
      <c r="BA138" s="4">
        <f>'4.1 Comptes 2021 natures'!BA138/'4.1 Comptes 2021 natures'!BA2</f>
        <v>0</v>
      </c>
      <c r="BB138" s="4">
        <f>'4.1 Comptes 2021 natures'!BB138/'4.1 Comptes 2021 natures'!BB2</f>
        <v>0</v>
      </c>
      <c r="BC138" s="4">
        <f>'4.1 Comptes 2021 natures'!BC138/'4.1 Comptes 2021 natures'!BC2</f>
        <v>0</v>
      </c>
      <c r="BD138" s="4">
        <f>'4.1 Comptes 2021 natures'!BD138/'4.1 Comptes 2021 natures'!BD2</f>
        <v>154.65511908444171</v>
      </c>
      <c r="BE138" s="4">
        <f>'4.1 Comptes 2021 natures'!BE138/'4.1 Comptes 2021 natures'!BE2</f>
        <v>0</v>
      </c>
      <c r="BF138" s="4">
        <f t="shared" si="88"/>
        <v>3256.2264655805411</v>
      </c>
      <c r="BG138" s="4">
        <f t="shared" si="89"/>
        <v>105.85676387272322</v>
      </c>
      <c r="BH138" s="4">
        <f t="shared" si="90"/>
        <v>250.96525096525096</v>
      </c>
      <c r="BI138" s="4">
        <f t="shared" si="91"/>
        <v>2899.404450742567</v>
      </c>
    </row>
    <row r="139" spans="2:61" x14ac:dyDescent="0.25">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row>
    <row r="140" spans="2:61" x14ac:dyDescent="0.25">
      <c r="B140" s="78">
        <v>49</v>
      </c>
      <c r="C140" s="78"/>
      <c r="D140" s="78" t="s">
        <v>128</v>
      </c>
      <c r="E140" s="73">
        <f>E141+E142+E143+E144+E145+E146+E147+E148</f>
        <v>0</v>
      </c>
      <c r="F140" s="73">
        <f t="shared" ref="F140:BI140" si="92">F141+F142+F143+F144+F145+F146+F147+F148</f>
        <v>89.689245283018863</v>
      </c>
      <c r="G140" s="73">
        <f t="shared" si="92"/>
        <v>15.815991471215352</v>
      </c>
      <c r="H140" s="73">
        <f t="shared" si="92"/>
        <v>87.053758542141225</v>
      </c>
      <c r="I140" s="73">
        <f t="shared" si="92"/>
        <v>85.112660944206013</v>
      </c>
      <c r="J140" s="73">
        <f t="shared" si="92"/>
        <v>21.457997010463377</v>
      </c>
      <c r="K140" s="73">
        <f t="shared" si="92"/>
        <v>73.935388386123677</v>
      </c>
      <c r="L140" s="73">
        <f t="shared" si="92"/>
        <v>413.74376552608379</v>
      </c>
      <c r="M140" s="73">
        <f t="shared" si="92"/>
        <v>68.593274466519503</v>
      </c>
      <c r="N140" s="73">
        <f t="shared" si="92"/>
        <v>76.647008547008554</v>
      </c>
      <c r="O140" s="73">
        <f t="shared" si="92"/>
        <v>8.5413854840930998</v>
      </c>
      <c r="P140" s="73">
        <f t="shared" si="92"/>
        <v>61.899628252788105</v>
      </c>
      <c r="Q140" s="73">
        <f t="shared" si="92"/>
        <v>0</v>
      </c>
      <c r="R140" s="73">
        <f t="shared" si="92"/>
        <v>132.77909738717341</v>
      </c>
      <c r="S140" s="73">
        <f t="shared" si="92"/>
        <v>0</v>
      </c>
      <c r="T140" s="73">
        <f t="shared" si="92"/>
        <v>14.084507042253522</v>
      </c>
      <c r="U140" s="73">
        <f t="shared" si="92"/>
        <v>0</v>
      </c>
      <c r="V140" s="73">
        <f t="shared" si="92"/>
        <v>128.88249999999999</v>
      </c>
      <c r="W140" s="73">
        <f t="shared" si="92"/>
        <v>80.797708268813864</v>
      </c>
      <c r="X140" s="73">
        <f t="shared" si="92"/>
        <v>0</v>
      </c>
      <c r="Y140" s="73">
        <f t="shared" si="92"/>
        <v>0</v>
      </c>
      <c r="Z140" s="73">
        <f t="shared" si="92"/>
        <v>55.776892430278885</v>
      </c>
      <c r="AA140" s="73">
        <f t="shared" si="92"/>
        <v>160.34791666666666</v>
      </c>
      <c r="AB140" s="73">
        <f t="shared" si="92"/>
        <v>0</v>
      </c>
      <c r="AC140" s="73">
        <f t="shared" si="92"/>
        <v>0</v>
      </c>
      <c r="AD140" s="73">
        <f t="shared" si="92"/>
        <v>82.75435092724679</v>
      </c>
      <c r="AE140" s="73">
        <f t="shared" si="92"/>
        <v>138.18377659574466</v>
      </c>
      <c r="AF140" s="73">
        <f t="shared" si="92"/>
        <v>330.97333333333336</v>
      </c>
      <c r="AG140" s="73">
        <f t="shared" si="92"/>
        <v>3.3343897328444214</v>
      </c>
      <c r="AH140" s="73">
        <f t="shared" si="92"/>
        <v>9.224806201550388</v>
      </c>
      <c r="AI140" s="73">
        <f t="shared" si="92"/>
        <v>0</v>
      </c>
      <c r="AJ140" s="73">
        <f t="shared" si="92"/>
        <v>5.3709302325581394</v>
      </c>
      <c r="AK140" s="73">
        <f t="shared" si="92"/>
        <v>49.180327868852459</v>
      </c>
      <c r="AL140" s="73">
        <f t="shared" si="92"/>
        <v>52.706127886323266</v>
      </c>
      <c r="AM140" s="73">
        <f t="shared" si="92"/>
        <v>2.6040816326530614</v>
      </c>
      <c r="AN140" s="73">
        <f t="shared" si="92"/>
        <v>2.0512820512820511</v>
      </c>
      <c r="AO140" s="73">
        <f t="shared" si="92"/>
        <v>33.608945147679322</v>
      </c>
      <c r="AP140" s="73">
        <f t="shared" si="92"/>
        <v>139.23341121495326</v>
      </c>
      <c r="AQ140" s="73">
        <f t="shared" si="92"/>
        <v>0</v>
      </c>
      <c r="AR140" s="73">
        <f t="shared" si="92"/>
        <v>0</v>
      </c>
      <c r="AS140" s="73">
        <f t="shared" si="92"/>
        <v>175.91352941176473</v>
      </c>
      <c r="AT140" s="73">
        <f t="shared" si="92"/>
        <v>0</v>
      </c>
      <c r="AU140" s="73">
        <f t="shared" si="92"/>
        <v>0</v>
      </c>
      <c r="AV140" s="73">
        <f t="shared" si="92"/>
        <v>33.880286069651739</v>
      </c>
      <c r="AW140" s="73">
        <f t="shared" si="92"/>
        <v>0</v>
      </c>
      <c r="AX140" s="73">
        <f t="shared" si="92"/>
        <v>39.334864864864862</v>
      </c>
      <c r="AY140" s="73">
        <f t="shared" si="92"/>
        <v>0</v>
      </c>
      <c r="AZ140" s="73">
        <f t="shared" si="92"/>
        <v>56.977666470241608</v>
      </c>
      <c r="BA140" s="73">
        <f t="shared" si="92"/>
        <v>0</v>
      </c>
      <c r="BB140" s="73">
        <f t="shared" si="92"/>
        <v>142.88642124883503</v>
      </c>
      <c r="BC140" s="73">
        <f t="shared" si="92"/>
        <v>0</v>
      </c>
      <c r="BD140" s="73">
        <f t="shared" si="92"/>
        <v>0</v>
      </c>
      <c r="BE140" s="73">
        <f t="shared" si="92"/>
        <v>27.728085867620752</v>
      </c>
      <c r="BF140" s="73">
        <f t="shared" si="92"/>
        <v>2901.1053424668471</v>
      </c>
      <c r="BG140" s="73">
        <f t="shared" si="92"/>
        <v>1359.0339166119022</v>
      </c>
      <c r="BH140" s="73">
        <f t="shared" si="92"/>
        <v>785.96639612022329</v>
      </c>
      <c r="BI140" s="73">
        <f t="shared" si="92"/>
        <v>756.10502973472217</v>
      </c>
    </row>
    <row r="141" spans="2:61" x14ac:dyDescent="0.25">
      <c r="C141">
        <v>490</v>
      </c>
      <c r="D141" t="s">
        <v>129</v>
      </c>
      <c r="E141" s="4">
        <f>'4.1 Comptes 2021 natures'!E141/'4.1 Comptes 2021 natures'!E2</f>
        <v>0</v>
      </c>
      <c r="F141" s="4">
        <f>'4.1 Comptes 2021 natures'!F141/'4.1 Comptes 2021 natures'!F2</f>
        <v>0.75471698113207553</v>
      </c>
      <c r="G141" s="4">
        <f>'4.1 Comptes 2021 natures'!G141/'4.1 Comptes 2021 natures'!G2</f>
        <v>0</v>
      </c>
      <c r="H141" s="4">
        <f>'4.1 Comptes 2021 natures'!H141/'4.1 Comptes 2021 natures'!H2</f>
        <v>0</v>
      </c>
      <c r="I141" s="4">
        <f>'4.1 Comptes 2021 natures'!I141/'4.1 Comptes 2021 natures'!I2</f>
        <v>0</v>
      </c>
      <c r="J141" s="4">
        <f>'4.1 Comptes 2021 natures'!J141/'4.1 Comptes 2021 natures'!J2</f>
        <v>0</v>
      </c>
      <c r="K141" s="4">
        <f>'4.1 Comptes 2021 natures'!K141/'4.1 Comptes 2021 natures'!K2</f>
        <v>0</v>
      </c>
      <c r="L141" s="4">
        <f>'4.1 Comptes 2021 natures'!L141/'4.1 Comptes 2021 natures'!L2</f>
        <v>3.2053850468787561</v>
      </c>
      <c r="M141" s="4">
        <f>'4.1 Comptes 2021 natures'!M141/'4.1 Comptes 2021 natures'!M2</f>
        <v>0.88300220750551872</v>
      </c>
      <c r="N141" s="4">
        <f>'4.1 Comptes 2021 natures'!N141/'4.1 Comptes 2021 natures'!N2</f>
        <v>0</v>
      </c>
      <c r="O141" s="4">
        <f>'4.1 Comptes 2021 natures'!O141/'4.1 Comptes 2021 natures'!O2</f>
        <v>0</v>
      </c>
      <c r="P141" s="4">
        <f>'4.1 Comptes 2021 natures'!P141/'4.1 Comptes 2021 natures'!P2</f>
        <v>0</v>
      </c>
      <c r="Q141" s="4">
        <f>'4.1 Comptes 2021 natures'!Q141/'4.1 Comptes 2021 natures'!Q2</f>
        <v>0</v>
      </c>
      <c r="R141" s="4">
        <f>'4.1 Comptes 2021 natures'!R141/'4.1 Comptes 2021 natures'!R2</f>
        <v>0</v>
      </c>
      <c r="S141" s="4">
        <f>'4.1 Comptes 2021 natures'!S141/'4.1 Comptes 2021 natures'!S2</f>
        <v>0</v>
      </c>
      <c r="T141" s="4">
        <f>'4.1 Comptes 2021 natures'!T141/'4.1 Comptes 2021 natures'!T2</f>
        <v>0</v>
      </c>
      <c r="U141" s="4">
        <f>'4.1 Comptes 2021 natures'!U141/'4.1 Comptes 2021 natures'!U2</f>
        <v>0</v>
      </c>
      <c r="V141" s="4">
        <f>'4.1 Comptes 2021 natures'!V141/'4.1 Comptes 2021 natures'!V2</f>
        <v>0</v>
      </c>
      <c r="W141" s="4">
        <f>'4.1 Comptes 2021 natures'!W141/'4.1 Comptes 2021 natures'!W2</f>
        <v>0</v>
      </c>
      <c r="X141" s="4">
        <f>'4.1 Comptes 2021 natures'!X141/'4.1 Comptes 2021 natures'!X2</f>
        <v>0</v>
      </c>
      <c r="Y141" s="4">
        <f>'4.1 Comptes 2021 natures'!Y141/'4.1 Comptes 2021 natures'!Y2</f>
        <v>0</v>
      </c>
      <c r="Z141" s="4">
        <f>'4.1 Comptes 2021 natures'!Z141/'4.1 Comptes 2021 natures'!Z2</f>
        <v>0</v>
      </c>
      <c r="AA141" s="4">
        <f>'4.1 Comptes 2021 natures'!AA141/'4.1 Comptes 2021 natures'!AA2</f>
        <v>3.0562499999999999</v>
      </c>
      <c r="AB141" s="4">
        <f>'4.1 Comptes 2021 natures'!AB141/'4.1 Comptes 2021 natures'!AB2</f>
        <v>0</v>
      </c>
      <c r="AC141" s="4">
        <f>'4.1 Comptes 2021 natures'!AC141/'4.1 Comptes 2021 natures'!AC2</f>
        <v>0</v>
      </c>
      <c r="AD141" s="4">
        <f>'4.1 Comptes 2021 natures'!AD141/'4.1 Comptes 2021 natures'!AD2</f>
        <v>1.6405135520684737</v>
      </c>
      <c r="AE141" s="4">
        <f>'4.1 Comptes 2021 natures'!AE141/'4.1 Comptes 2021 natures'!AE2</f>
        <v>0</v>
      </c>
      <c r="AF141" s="4">
        <f>'4.1 Comptes 2021 natures'!AF141/'4.1 Comptes 2021 natures'!AF2</f>
        <v>0</v>
      </c>
      <c r="AG141" s="4">
        <f>'4.1 Comptes 2021 natures'!AG141/'4.1 Comptes 2021 natures'!AG2</f>
        <v>2.4173913043478263</v>
      </c>
      <c r="AH141" s="4">
        <f>'4.1 Comptes 2021 natures'!AH141/'4.1 Comptes 2021 natures'!AH2</f>
        <v>0</v>
      </c>
      <c r="AI141" s="4">
        <f>'4.1 Comptes 2021 natures'!AI141/'4.1 Comptes 2021 natures'!AI2</f>
        <v>0</v>
      </c>
      <c r="AJ141" s="4">
        <f>'4.1 Comptes 2021 natures'!AJ141/'4.1 Comptes 2021 natures'!AJ2</f>
        <v>0</v>
      </c>
      <c r="AK141" s="4">
        <f>'4.1 Comptes 2021 natures'!AK141/'4.1 Comptes 2021 natures'!AK2</f>
        <v>0</v>
      </c>
      <c r="AL141" s="4">
        <f>'4.1 Comptes 2021 natures'!AL141/'4.1 Comptes 2021 natures'!AL2</f>
        <v>0</v>
      </c>
      <c r="AM141" s="4">
        <f>'4.1 Comptes 2021 natures'!AM141/'4.1 Comptes 2021 natures'!AM2</f>
        <v>0</v>
      </c>
      <c r="AN141" s="4">
        <f>'4.1 Comptes 2021 natures'!AN141/'4.1 Comptes 2021 natures'!AN2</f>
        <v>0</v>
      </c>
      <c r="AO141" s="4">
        <f>'4.1 Comptes 2021 natures'!AO141/'4.1 Comptes 2021 natures'!AO2</f>
        <v>0</v>
      </c>
      <c r="AP141" s="4">
        <f>'4.1 Comptes 2021 natures'!AP141/'4.1 Comptes 2021 natures'!AP2</f>
        <v>2.3364485981308412</v>
      </c>
      <c r="AQ141" s="4">
        <f>'4.1 Comptes 2021 natures'!AQ141/'4.1 Comptes 2021 natures'!AQ2</f>
        <v>0</v>
      </c>
      <c r="AR141" s="4">
        <f>'4.1 Comptes 2021 natures'!AR141/'4.1 Comptes 2021 natures'!AR2</f>
        <v>0</v>
      </c>
      <c r="AS141" s="4">
        <f>'4.1 Comptes 2021 natures'!AS141/'4.1 Comptes 2021 natures'!AS2</f>
        <v>0</v>
      </c>
      <c r="AT141" s="4">
        <f>'4.1 Comptes 2021 natures'!AT141/'4.1 Comptes 2021 natures'!AT2</f>
        <v>0</v>
      </c>
      <c r="AU141" s="4">
        <f>'4.1 Comptes 2021 natures'!AU141/'4.1 Comptes 2021 natures'!AU2</f>
        <v>0</v>
      </c>
      <c r="AV141" s="4">
        <f>'4.1 Comptes 2021 natures'!AV141/'4.1 Comptes 2021 natures'!AV2</f>
        <v>0</v>
      </c>
      <c r="AW141" s="4">
        <f>'4.1 Comptes 2021 natures'!AW141/'4.1 Comptes 2021 natures'!AW2</f>
        <v>0</v>
      </c>
      <c r="AX141" s="4">
        <f>'4.1 Comptes 2021 natures'!AX141/'4.1 Comptes 2021 natures'!AX2</f>
        <v>0</v>
      </c>
      <c r="AY141" s="4">
        <f>'4.1 Comptes 2021 natures'!AY141/'4.1 Comptes 2021 natures'!AY2</f>
        <v>0</v>
      </c>
      <c r="AZ141" s="4">
        <f>'4.1 Comptes 2021 natures'!AZ141/'4.1 Comptes 2021 natures'!AZ2</f>
        <v>0</v>
      </c>
      <c r="BA141" s="4">
        <f>'4.1 Comptes 2021 natures'!BA141/'4.1 Comptes 2021 natures'!BA2</f>
        <v>0</v>
      </c>
      <c r="BB141" s="4">
        <f>'4.1 Comptes 2021 natures'!BB141/'4.1 Comptes 2021 natures'!BB2</f>
        <v>0</v>
      </c>
      <c r="BC141" s="4">
        <f>'4.1 Comptes 2021 natures'!BC141/'4.1 Comptes 2021 natures'!BC2</f>
        <v>0</v>
      </c>
      <c r="BD141" s="4">
        <f>'4.1 Comptes 2021 natures'!BD141/'4.1 Comptes 2021 natures'!BD2</f>
        <v>0</v>
      </c>
      <c r="BE141" s="4">
        <f>'4.1 Comptes 2021 natures'!BE141/'4.1 Comptes 2021 natures'!BE2</f>
        <v>0</v>
      </c>
      <c r="BF141" s="4">
        <f t="shared" ref="BF141:BF148" si="93">SUM(E141:BE141)</f>
        <v>14.29370769006349</v>
      </c>
      <c r="BG141" s="4">
        <f t="shared" ref="BG141:BG148" si="94">SUM(E141:W141)</f>
        <v>4.8431042355163507</v>
      </c>
      <c r="BH141" s="4">
        <f t="shared" ref="BH141:BH148" si="95">SUM(X141:AJ141)</f>
        <v>7.1141548564162997</v>
      </c>
      <c r="BI141" s="4">
        <f t="shared" ref="BI141:BI148" si="96">SUM(AK141:BE141)</f>
        <v>2.3364485981308412</v>
      </c>
    </row>
    <row r="142" spans="2:61" x14ac:dyDescent="0.25">
      <c r="C142">
        <v>491</v>
      </c>
      <c r="D142" t="s">
        <v>130</v>
      </c>
      <c r="E142" s="4">
        <f>'4.1 Comptes 2021 natures'!E142/'4.1 Comptes 2021 natures'!E2</f>
        <v>0</v>
      </c>
      <c r="F142" s="4">
        <f>'4.1 Comptes 2021 natures'!F142/'4.1 Comptes 2021 natures'!F2</f>
        <v>9.9818867924528298</v>
      </c>
      <c r="G142" s="4">
        <f>'4.1 Comptes 2021 natures'!G142/'4.1 Comptes 2021 natures'!G2</f>
        <v>9.3816631130063968</v>
      </c>
      <c r="H142" s="4">
        <f>'4.1 Comptes 2021 natures'!H142/'4.1 Comptes 2021 natures'!H2</f>
        <v>86.242824601366735</v>
      </c>
      <c r="I142" s="4">
        <f>'4.1 Comptes 2021 natures'!I142/'4.1 Comptes 2021 natures'!I2</f>
        <v>85.112660944206013</v>
      </c>
      <c r="J142" s="4">
        <f>'4.1 Comptes 2021 natures'!J142/'4.1 Comptes 2021 natures'!J2</f>
        <v>21.457997010463377</v>
      </c>
      <c r="K142" s="4">
        <f>'4.1 Comptes 2021 natures'!K142/'4.1 Comptes 2021 natures'!K2</f>
        <v>48.925339366515836</v>
      </c>
      <c r="L142" s="4">
        <f>'4.1 Comptes 2021 natures'!L142/'4.1 Comptes 2021 natures'!L2</f>
        <v>77.220534497956564</v>
      </c>
      <c r="M142" s="4">
        <f>'4.1 Comptes 2021 natures'!M142/'4.1 Comptes 2021 natures'!M2</f>
        <v>42.782192788815308</v>
      </c>
      <c r="N142" s="4">
        <f>'4.1 Comptes 2021 natures'!N142/'4.1 Comptes 2021 natures'!N2</f>
        <v>76.647008547008554</v>
      </c>
      <c r="O142" s="4">
        <f>'4.1 Comptes 2021 natures'!O142/'4.1 Comptes 2021 natures'!O2</f>
        <v>0</v>
      </c>
      <c r="P142" s="4">
        <f>'4.1 Comptes 2021 natures'!P142/'4.1 Comptes 2021 natures'!P2</f>
        <v>61.899628252788105</v>
      </c>
      <c r="Q142" s="4">
        <f>'4.1 Comptes 2021 natures'!Q142/'4.1 Comptes 2021 natures'!Q2</f>
        <v>0</v>
      </c>
      <c r="R142" s="4">
        <f>'4.1 Comptes 2021 natures'!R142/'4.1 Comptes 2021 natures'!R2</f>
        <v>132.77909738717341</v>
      </c>
      <c r="S142" s="4">
        <f>'4.1 Comptes 2021 natures'!S142/'4.1 Comptes 2021 natures'!S2</f>
        <v>0</v>
      </c>
      <c r="T142" s="4">
        <f>'4.1 Comptes 2021 natures'!T142/'4.1 Comptes 2021 natures'!T2</f>
        <v>0</v>
      </c>
      <c r="U142" s="4">
        <f>'4.1 Comptes 2021 natures'!U142/'4.1 Comptes 2021 natures'!U2</f>
        <v>0</v>
      </c>
      <c r="V142" s="4">
        <f>'4.1 Comptes 2021 natures'!V142/'4.1 Comptes 2021 natures'!V2</f>
        <v>128.88249999999999</v>
      </c>
      <c r="W142" s="4">
        <f>'4.1 Comptes 2021 natures'!W142/'4.1 Comptes 2021 natures'!W2</f>
        <v>27.996283679157635</v>
      </c>
      <c r="X142" s="4">
        <f>'4.1 Comptes 2021 natures'!X142/'4.1 Comptes 2021 natures'!X2</f>
        <v>0</v>
      </c>
      <c r="Y142" s="4">
        <f>'4.1 Comptes 2021 natures'!Y142/'4.1 Comptes 2021 natures'!Y2</f>
        <v>0</v>
      </c>
      <c r="Z142" s="4">
        <f>'4.1 Comptes 2021 natures'!Z142/'4.1 Comptes 2021 natures'!Z2</f>
        <v>0</v>
      </c>
      <c r="AA142" s="4">
        <f>'4.1 Comptes 2021 natures'!AA142/'4.1 Comptes 2021 natures'!AA2</f>
        <v>157.29166666666666</v>
      </c>
      <c r="AB142" s="4">
        <f>'4.1 Comptes 2021 natures'!AB142/'4.1 Comptes 2021 natures'!AB2</f>
        <v>0</v>
      </c>
      <c r="AC142" s="4">
        <f>'4.1 Comptes 2021 natures'!AC142/'4.1 Comptes 2021 natures'!AC2</f>
        <v>0</v>
      </c>
      <c r="AD142" s="4">
        <f>'4.1 Comptes 2021 natures'!AD142/'4.1 Comptes 2021 natures'!AD2</f>
        <v>81.113837375178321</v>
      </c>
      <c r="AE142" s="4">
        <f>'4.1 Comptes 2021 natures'!AE142/'4.1 Comptes 2021 natures'!AE2</f>
        <v>138.18377659574466</v>
      </c>
      <c r="AF142" s="4">
        <f>'4.1 Comptes 2021 natures'!AF142/'4.1 Comptes 2021 natures'!AF2</f>
        <v>132.69990476190475</v>
      </c>
      <c r="AG142" s="4">
        <f>'4.1 Comptes 2021 natures'!AG142/'4.1 Comptes 2021 natures'!AG2</f>
        <v>0.91699842849659507</v>
      </c>
      <c r="AH142" s="4">
        <f>'4.1 Comptes 2021 natures'!AH142/'4.1 Comptes 2021 natures'!AH2</f>
        <v>9.224806201550388</v>
      </c>
      <c r="AI142" s="4">
        <f>'4.1 Comptes 2021 natures'!AI142/'4.1 Comptes 2021 natures'!AI2</f>
        <v>0</v>
      </c>
      <c r="AJ142" s="4">
        <f>'4.1 Comptes 2021 natures'!AJ142/'4.1 Comptes 2021 natures'!AJ2</f>
        <v>0</v>
      </c>
      <c r="AK142" s="4">
        <f>'4.1 Comptes 2021 natures'!AK142/'4.1 Comptes 2021 natures'!AK2</f>
        <v>49.180327868852459</v>
      </c>
      <c r="AL142" s="4">
        <f>'4.1 Comptes 2021 natures'!AL142/'4.1 Comptes 2021 natures'!AL2</f>
        <v>0</v>
      </c>
      <c r="AM142" s="4">
        <f>'4.1 Comptes 2021 natures'!AM142/'4.1 Comptes 2021 natures'!AM2</f>
        <v>2.6040816326530614</v>
      </c>
      <c r="AN142" s="4">
        <f>'4.1 Comptes 2021 natures'!AN142/'4.1 Comptes 2021 natures'!AN2</f>
        <v>2.0512820512820511</v>
      </c>
      <c r="AO142" s="4">
        <f>'4.1 Comptes 2021 natures'!AO142/'4.1 Comptes 2021 natures'!AO2</f>
        <v>33.608945147679322</v>
      </c>
      <c r="AP142" s="4">
        <f>'4.1 Comptes 2021 natures'!AP142/'4.1 Comptes 2021 natures'!AP2</f>
        <v>92.561993769470405</v>
      </c>
      <c r="AQ142" s="4">
        <f>'4.1 Comptes 2021 natures'!AQ142/'4.1 Comptes 2021 natures'!AQ2</f>
        <v>0</v>
      </c>
      <c r="AR142" s="4">
        <f>'4.1 Comptes 2021 natures'!AR142/'4.1 Comptes 2021 natures'!AR2</f>
        <v>0</v>
      </c>
      <c r="AS142" s="4">
        <f>'4.1 Comptes 2021 natures'!AS142/'4.1 Comptes 2021 natures'!AS2</f>
        <v>67.292818057455548</v>
      </c>
      <c r="AT142" s="4">
        <f>'4.1 Comptes 2021 natures'!AT142/'4.1 Comptes 2021 natures'!AT2</f>
        <v>0</v>
      </c>
      <c r="AU142" s="4">
        <f>'4.1 Comptes 2021 natures'!AU142/'4.1 Comptes 2021 natures'!AU2</f>
        <v>0</v>
      </c>
      <c r="AV142" s="4">
        <f>'4.1 Comptes 2021 natures'!AV142/'4.1 Comptes 2021 natures'!AV2</f>
        <v>33.880286069651739</v>
      </c>
      <c r="AW142" s="4">
        <f>'4.1 Comptes 2021 natures'!AW142/'4.1 Comptes 2021 natures'!AW2</f>
        <v>0</v>
      </c>
      <c r="AX142" s="4">
        <f>'4.1 Comptes 2021 natures'!AX142/'4.1 Comptes 2021 natures'!AX2</f>
        <v>0</v>
      </c>
      <c r="AY142" s="4">
        <f>'4.1 Comptes 2021 natures'!AY142/'4.1 Comptes 2021 natures'!AY2</f>
        <v>0</v>
      </c>
      <c r="AZ142" s="4">
        <f>'4.1 Comptes 2021 natures'!AZ142/'4.1 Comptes 2021 natures'!AZ2</f>
        <v>56.38839127872717</v>
      </c>
      <c r="BA142" s="4">
        <f>'4.1 Comptes 2021 natures'!BA142/'4.1 Comptes 2021 natures'!BA2</f>
        <v>0</v>
      </c>
      <c r="BB142" s="4">
        <f>'4.1 Comptes 2021 natures'!BB142/'4.1 Comptes 2021 natures'!BB2</f>
        <v>142.88642124883503</v>
      </c>
      <c r="BC142" s="4">
        <f>'4.1 Comptes 2021 natures'!BC142/'4.1 Comptes 2021 natures'!BC2</f>
        <v>0</v>
      </c>
      <c r="BD142" s="4">
        <f>'4.1 Comptes 2021 natures'!BD142/'4.1 Comptes 2021 natures'!BD2</f>
        <v>0</v>
      </c>
      <c r="BE142" s="4">
        <f>'4.1 Comptes 2021 natures'!BE142/'4.1 Comptes 2021 natures'!BE2</f>
        <v>27.728085867620752</v>
      </c>
      <c r="BF142" s="4">
        <f t="shared" si="93"/>
        <v>1836.9232400026794</v>
      </c>
      <c r="BG142" s="4">
        <f t="shared" si="94"/>
        <v>809.30961698091073</v>
      </c>
      <c r="BH142" s="4">
        <f t="shared" si="95"/>
        <v>519.43099002954136</v>
      </c>
      <c r="BI142" s="4">
        <f t="shared" si="96"/>
        <v>508.18263299222758</v>
      </c>
    </row>
    <row r="143" spans="2:61" x14ac:dyDescent="0.25">
      <c r="C143">
        <v>492</v>
      </c>
      <c r="D143" t="s">
        <v>189</v>
      </c>
      <c r="E143" s="4">
        <f>'4.1 Comptes 2021 natures'!E143/'4.1 Comptes 2021 natures'!E2</f>
        <v>0</v>
      </c>
      <c r="F143" s="4">
        <f>'4.1 Comptes 2021 natures'!F143/'4.1 Comptes 2021 natures'!F2</f>
        <v>0</v>
      </c>
      <c r="G143" s="4">
        <f>'4.1 Comptes 2021 natures'!G143/'4.1 Comptes 2021 natures'!G2</f>
        <v>0</v>
      </c>
      <c r="H143" s="4">
        <f>'4.1 Comptes 2021 natures'!H143/'4.1 Comptes 2021 natures'!H2</f>
        <v>0</v>
      </c>
      <c r="I143" s="4">
        <f>'4.1 Comptes 2021 natures'!I143/'4.1 Comptes 2021 natures'!I2</f>
        <v>0</v>
      </c>
      <c r="J143" s="4">
        <f>'4.1 Comptes 2021 natures'!J143/'4.1 Comptes 2021 natures'!J2</f>
        <v>0</v>
      </c>
      <c r="K143" s="4">
        <f>'4.1 Comptes 2021 natures'!K143/'4.1 Comptes 2021 natures'!K2</f>
        <v>0</v>
      </c>
      <c r="L143" s="4">
        <f>'4.1 Comptes 2021 natures'!L143/'4.1 Comptes 2021 natures'!L2</f>
        <v>8.8148088789165797</v>
      </c>
      <c r="M143" s="4">
        <f>'4.1 Comptes 2021 natures'!M143/'4.1 Comptes 2021 natures'!M2</f>
        <v>0</v>
      </c>
      <c r="N143" s="4">
        <f>'4.1 Comptes 2021 natures'!N143/'4.1 Comptes 2021 natures'!N2</f>
        <v>0</v>
      </c>
      <c r="O143" s="4">
        <f>'4.1 Comptes 2021 natures'!O143/'4.1 Comptes 2021 natures'!O2</f>
        <v>0</v>
      </c>
      <c r="P143" s="4">
        <f>'4.1 Comptes 2021 natures'!P143/'4.1 Comptes 2021 natures'!P2</f>
        <v>0</v>
      </c>
      <c r="Q143" s="4">
        <f>'4.1 Comptes 2021 natures'!Q143/'4.1 Comptes 2021 natures'!Q2</f>
        <v>0</v>
      </c>
      <c r="R143" s="4">
        <f>'4.1 Comptes 2021 natures'!R143/'4.1 Comptes 2021 natures'!R2</f>
        <v>0</v>
      </c>
      <c r="S143" s="4">
        <f>'4.1 Comptes 2021 natures'!S143/'4.1 Comptes 2021 natures'!S2</f>
        <v>0</v>
      </c>
      <c r="T143" s="4">
        <f>'4.1 Comptes 2021 natures'!T143/'4.1 Comptes 2021 natures'!T2</f>
        <v>14.084507042253522</v>
      </c>
      <c r="U143" s="4">
        <f>'4.1 Comptes 2021 natures'!U143/'4.1 Comptes 2021 natures'!U2</f>
        <v>0</v>
      </c>
      <c r="V143" s="4">
        <f>'4.1 Comptes 2021 natures'!V143/'4.1 Comptes 2021 natures'!V2</f>
        <v>0</v>
      </c>
      <c r="W143" s="4">
        <f>'4.1 Comptes 2021 natures'!W143/'4.1 Comptes 2021 natures'!W2</f>
        <v>2.6014245896562405</v>
      </c>
      <c r="X143" s="4">
        <f>'4.1 Comptes 2021 natures'!X143/'4.1 Comptes 2021 natures'!X2</f>
        <v>0</v>
      </c>
      <c r="Y143" s="4">
        <f>'4.1 Comptes 2021 natures'!Y143/'4.1 Comptes 2021 natures'!Y2</f>
        <v>0</v>
      </c>
      <c r="Z143" s="4">
        <f>'4.1 Comptes 2021 natures'!Z143/'4.1 Comptes 2021 natures'!Z2</f>
        <v>55.776892430278885</v>
      </c>
      <c r="AA143" s="4">
        <f>'4.1 Comptes 2021 natures'!AA143/'4.1 Comptes 2021 natures'!AA2</f>
        <v>0</v>
      </c>
      <c r="AB143" s="4">
        <f>'4.1 Comptes 2021 natures'!AB143/'4.1 Comptes 2021 natures'!AB2</f>
        <v>0</v>
      </c>
      <c r="AC143" s="4">
        <f>'4.1 Comptes 2021 natures'!AC143/'4.1 Comptes 2021 natures'!AC2</f>
        <v>0</v>
      </c>
      <c r="AD143" s="4">
        <f>'4.1 Comptes 2021 natures'!AD143/'4.1 Comptes 2021 natures'!AD2</f>
        <v>0</v>
      </c>
      <c r="AE143" s="4">
        <f>'4.1 Comptes 2021 natures'!AE143/'4.1 Comptes 2021 natures'!AE2</f>
        <v>0</v>
      </c>
      <c r="AF143" s="4">
        <f>'4.1 Comptes 2021 natures'!AF143/'4.1 Comptes 2021 natures'!AF2</f>
        <v>0</v>
      </c>
      <c r="AG143" s="4">
        <f>'4.1 Comptes 2021 natures'!AG143/'4.1 Comptes 2021 natures'!AG2</f>
        <v>0</v>
      </c>
      <c r="AH143" s="4">
        <f>'4.1 Comptes 2021 natures'!AH143/'4.1 Comptes 2021 natures'!AH2</f>
        <v>0</v>
      </c>
      <c r="AI143" s="4">
        <f>'4.1 Comptes 2021 natures'!AI143/'4.1 Comptes 2021 natures'!AI2</f>
        <v>0</v>
      </c>
      <c r="AJ143" s="4">
        <f>'4.1 Comptes 2021 natures'!AJ143/'4.1 Comptes 2021 natures'!AJ2</f>
        <v>0</v>
      </c>
      <c r="AK143" s="4">
        <f>'4.1 Comptes 2021 natures'!AK143/'4.1 Comptes 2021 natures'!AK2</f>
        <v>0</v>
      </c>
      <c r="AL143" s="4">
        <f>'4.1 Comptes 2021 natures'!AL143/'4.1 Comptes 2021 natures'!AL2</f>
        <v>0</v>
      </c>
      <c r="AM143" s="4">
        <f>'4.1 Comptes 2021 natures'!AM143/'4.1 Comptes 2021 natures'!AM2</f>
        <v>0</v>
      </c>
      <c r="AN143" s="4">
        <f>'4.1 Comptes 2021 natures'!AN143/'4.1 Comptes 2021 natures'!AN2</f>
        <v>0</v>
      </c>
      <c r="AO143" s="4">
        <f>'4.1 Comptes 2021 natures'!AO143/'4.1 Comptes 2021 natures'!AO2</f>
        <v>0</v>
      </c>
      <c r="AP143" s="4">
        <f>'4.1 Comptes 2021 natures'!AP143/'4.1 Comptes 2021 natures'!AP2</f>
        <v>0</v>
      </c>
      <c r="AQ143" s="4">
        <f>'4.1 Comptes 2021 natures'!AQ143/'4.1 Comptes 2021 natures'!AQ2</f>
        <v>0</v>
      </c>
      <c r="AR143" s="4">
        <f>'4.1 Comptes 2021 natures'!AR143/'4.1 Comptes 2021 natures'!AR2</f>
        <v>0</v>
      </c>
      <c r="AS143" s="4">
        <f>'4.1 Comptes 2021 natures'!AS143/'4.1 Comptes 2021 natures'!AS2</f>
        <v>0</v>
      </c>
      <c r="AT143" s="4">
        <f>'4.1 Comptes 2021 natures'!AT143/'4.1 Comptes 2021 natures'!AT2</f>
        <v>0</v>
      </c>
      <c r="AU143" s="4">
        <f>'4.1 Comptes 2021 natures'!AU143/'4.1 Comptes 2021 natures'!AU2</f>
        <v>0</v>
      </c>
      <c r="AV143" s="4">
        <f>'4.1 Comptes 2021 natures'!AV143/'4.1 Comptes 2021 natures'!AV2</f>
        <v>0</v>
      </c>
      <c r="AW143" s="4">
        <f>'4.1 Comptes 2021 natures'!AW143/'4.1 Comptes 2021 natures'!AW2</f>
        <v>0</v>
      </c>
      <c r="AX143" s="4">
        <f>'4.1 Comptes 2021 natures'!AX143/'4.1 Comptes 2021 natures'!AX2</f>
        <v>0</v>
      </c>
      <c r="AY143" s="4">
        <f>'4.1 Comptes 2021 natures'!AY143/'4.1 Comptes 2021 natures'!AY2</f>
        <v>0</v>
      </c>
      <c r="AZ143" s="4">
        <f>'4.1 Comptes 2021 natures'!AZ143/'4.1 Comptes 2021 natures'!AZ2</f>
        <v>0</v>
      </c>
      <c r="BA143" s="4">
        <f>'4.1 Comptes 2021 natures'!BA143/'4.1 Comptes 2021 natures'!BA2</f>
        <v>0</v>
      </c>
      <c r="BB143" s="4">
        <f>'4.1 Comptes 2021 natures'!BB143/'4.1 Comptes 2021 natures'!BB2</f>
        <v>0</v>
      </c>
      <c r="BC143" s="4">
        <f>'4.1 Comptes 2021 natures'!BC143/'4.1 Comptes 2021 natures'!BC2</f>
        <v>0</v>
      </c>
      <c r="BD143" s="4">
        <f>'4.1 Comptes 2021 natures'!BD143/'4.1 Comptes 2021 natures'!BD2</f>
        <v>0</v>
      </c>
      <c r="BE143" s="4">
        <f>'4.1 Comptes 2021 natures'!BE143/'4.1 Comptes 2021 natures'!BE2</f>
        <v>0</v>
      </c>
      <c r="BF143" s="4">
        <f t="shared" si="93"/>
        <v>81.277632941105225</v>
      </c>
      <c r="BG143" s="4">
        <f t="shared" si="94"/>
        <v>25.50074051082634</v>
      </c>
      <c r="BH143" s="4">
        <f t="shared" si="95"/>
        <v>55.776892430278885</v>
      </c>
      <c r="BI143" s="4">
        <f t="shared" si="96"/>
        <v>0</v>
      </c>
    </row>
    <row r="144" spans="2:61" x14ac:dyDescent="0.25">
      <c r="C144">
        <v>493</v>
      </c>
      <c r="D144" t="s">
        <v>190</v>
      </c>
      <c r="E144" s="4">
        <f>'4.1 Comptes 2021 natures'!E144/'4.1 Comptes 2021 natures'!E2</f>
        <v>0</v>
      </c>
      <c r="F144" s="4">
        <f>'4.1 Comptes 2021 natures'!F144/'4.1 Comptes 2021 natures'!F2</f>
        <v>0</v>
      </c>
      <c r="G144" s="4">
        <f>'4.1 Comptes 2021 natures'!G144/'4.1 Comptes 2021 natures'!G2</f>
        <v>0</v>
      </c>
      <c r="H144" s="4">
        <f>'4.1 Comptes 2021 natures'!H144/'4.1 Comptes 2021 natures'!H2</f>
        <v>0</v>
      </c>
      <c r="I144" s="4">
        <f>'4.1 Comptes 2021 natures'!I144/'4.1 Comptes 2021 natures'!I2</f>
        <v>0</v>
      </c>
      <c r="J144" s="4">
        <f>'4.1 Comptes 2021 natures'!J144/'4.1 Comptes 2021 natures'!J2</f>
        <v>0</v>
      </c>
      <c r="K144" s="4">
        <f>'4.1 Comptes 2021 natures'!K144/'4.1 Comptes 2021 natures'!K2</f>
        <v>3.6303921568627446</v>
      </c>
      <c r="L144" s="4">
        <f>'4.1 Comptes 2021 natures'!L144/'4.1 Comptes 2021 natures'!L2</f>
        <v>2.4801025723215</v>
      </c>
      <c r="M144" s="4">
        <f>'4.1 Comptes 2021 natures'!M144/'4.1 Comptes 2021 natures'!M2</f>
        <v>0</v>
      </c>
      <c r="N144" s="4">
        <f>'4.1 Comptes 2021 natures'!N144/'4.1 Comptes 2021 natures'!N2</f>
        <v>0</v>
      </c>
      <c r="O144" s="4">
        <f>'4.1 Comptes 2021 natures'!O144/'4.1 Comptes 2021 natures'!O2</f>
        <v>0</v>
      </c>
      <c r="P144" s="4">
        <f>'4.1 Comptes 2021 natures'!P144/'4.1 Comptes 2021 natures'!P2</f>
        <v>0</v>
      </c>
      <c r="Q144" s="4">
        <f>'4.1 Comptes 2021 natures'!Q144/'4.1 Comptes 2021 natures'!Q2</f>
        <v>0</v>
      </c>
      <c r="R144" s="4">
        <f>'4.1 Comptes 2021 natures'!R144/'4.1 Comptes 2021 natures'!R2</f>
        <v>0</v>
      </c>
      <c r="S144" s="4">
        <f>'4.1 Comptes 2021 natures'!S144/'4.1 Comptes 2021 natures'!S2</f>
        <v>0</v>
      </c>
      <c r="T144" s="4">
        <f>'4.1 Comptes 2021 natures'!T144/'4.1 Comptes 2021 natures'!T2</f>
        <v>0</v>
      </c>
      <c r="U144" s="4">
        <f>'4.1 Comptes 2021 natures'!U144/'4.1 Comptes 2021 natures'!U2</f>
        <v>0</v>
      </c>
      <c r="V144" s="4">
        <f>'4.1 Comptes 2021 natures'!V144/'4.1 Comptes 2021 natures'!V2</f>
        <v>0</v>
      </c>
      <c r="W144" s="4">
        <f>'4.1 Comptes 2021 natures'!W144/'4.1 Comptes 2021 natures'!W2</f>
        <v>4.0260142458965626</v>
      </c>
      <c r="X144" s="4">
        <f>'4.1 Comptes 2021 natures'!X144/'4.1 Comptes 2021 natures'!X2</f>
        <v>0</v>
      </c>
      <c r="Y144" s="4">
        <f>'4.1 Comptes 2021 natures'!Y144/'4.1 Comptes 2021 natures'!Y2</f>
        <v>0</v>
      </c>
      <c r="Z144" s="4">
        <f>'4.1 Comptes 2021 natures'!Z144/'4.1 Comptes 2021 natures'!Z2</f>
        <v>0</v>
      </c>
      <c r="AA144" s="4">
        <f>'4.1 Comptes 2021 natures'!AA144/'4.1 Comptes 2021 natures'!AA2</f>
        <v>0</v>
      </c>
      <c r="AB144" s="4">
        <f>'4.1 Comptes 2021 natures'!AB144/'4.1 Comptes 2021 natures'!AB2</f>
        <v>0</v>
      </c>
      <c r="AC144" s="4">
        <f>'4.1 Comptes 2021 natures'!AC144/'4.1 Comptes 2021 natures'!AC2</f>
        <v>0</v>
      </c>
      <c r="AD144" s="4">
        <f>'4.1 Comptes 2021 natures'!AD144/'4.1 Comptes 2021 natures'!AD2</f>
        <v>0</v>
      </c>
      <c r="AE144" s="4">
        <f>'4.1 Comptes 2021 natures'!AE144/'4.1 Comptes 2021 natures'!AE2</f>
        <v>0</v>
      </c>
      <c r="AF144" s="4">
        <f>'4.1 Comptes 2021 natures'!AF144/'4.1 Comptes 2021 natures'!AF2</f>
        <v>0</v>
      </c>
      <c r="AG144" s="4">
        <f>'4.1 Comptes 2021 natures'!AG144/'4.1 Comptes 2021 natures'!AG2</f>
        <v>0</v>
      </c>
      <c r="AH144" s="4">
        <f>'4.1 Comptes 2021 natures'!AH144/'4.1 Comptes 2021 natures'!AH2</f>
        <v>0</v>
      </c>
      <c r="AI144" s="4">
        <f>'4.1 Comptes 2021 natures'!AI144/'4.1 Comptes 2021 natures'!AI2</f>
        <v>0</v>
      </c>
      <c r="AJ144" s="4">
        <f>'4.1 Comptes 2021 natures'!AJ144/'4.1 Comptes 2021 natures'!AJ2</f>
        <v>0</v>
      </c>
      <c r="AK144" s="4">
        <f>'4.1 Comptes 2021 natures'!AK144/'4.1 Comptes 2021 natures'!AK2</f>
        <v>0</v>
      </c>
      <c r="AL144" s="4">
        <f>'4.1 Comptes 2021 natures'!AL144/'4.1 Comptes 2021 natures'!AL2</f>
        <v>52.706127886323266</v>
      </c>
      <c r="AM144" s="4">
        <f>'4.1 Comptes 2021 natures'!AM144/'4.1 Comptes 2021 natures'!AM2</f>
        <v>0</v>
      </c>
      <c r="AN144" s="4">
        <f>'4.1 Comptes 2021 natures'!AN144/'4.1 Comptes 2021 natures'!AN2</f>
        <v>0</v>
      </c>
      <c r="AO144" s="4">
        <f>'4.1 Comptes 2021 natures'!AO144/'4.1 Comptes 2021 natures'!AO2</f>
        <v>0</v>
      </c>
      <c r="AP144" s="4">
        <f>'4.1 Comptes 2021 natures'!AP144/'4.1 Comptes 2021 natures'!AP2</f>
        <v>0</v>
      </c>
      <c r="AQ144" s="4">
        <f>'4.1 Comptes 2021 natures'!AQ144/'4.1 Comptes 2021 natures'!AQ2</f>
        <v>0</v>
      </c>
      <c r="AR144" s="4">
        <f>'4.1 Comptes 2021 natures'!AR144/'4.1 Comptes 2021 natures'!AR2</f>
        <v>0</v>
      </c>
      <c r="AS144" s="4">
        <f>'4.1 Comptes 2021 natures'!AS144/'4.1 Comptes 2021 natures'!AS2</f>
        <v>22.547045143638851</v>
      </c>
      <c r="AT144" s="4">
        <f>'4.1 Comptes 2021 natures'!AT144/'4.1 Comptes 2021 natures'!AT2</f>
        <v>0</v>
      </c>
      <c r="AU144" s="4">
        <f>'4.1 Comptes 2021 natures'!AU144/'4.1 Comptes 2021 natures'!AU2</f>
        <v>0</v>
      </c>
      <c r="AV144" s="4">
        <f>'4.1 Comptes 2021 natures'!AV144/'4.1 Comptes 2021 natures'!AV2</f>
        <v>0</v>
      </c>
      <c r="AW144" s="4">
        <f>'4.1 Comptes 2021 natures'!AW144/'4.1 Comptes 2021 natures'!AW2</f>
        <v>0</v>
      </c>
      <c r="AX144" s="4">
        <f>'4.1 Comptes 2021 natures'!AX144/'4.1 Comptes 2021 natures'!AX2</f>
        <v>0</v>
      </c>
      <c r="AY144" s="4">
        <f>'4.1 Comptes 2021 natures'!AY144/'4.1 Comptes 2021 natures'!AY2</f>
        <v>0</v>
      </c>
      <c r="AZ144" s="4">
        <f>'4.1 Comptes 2021 natures'!AZ144/'4.1 Comptes 2021 natures'!AZ2</f>
        <v>0</v>
      </c>
      <c r="BA144" s="4">
        <f>'4.1 Comptes 2021 natures'!BA144/'4.1 Comptes 2021 natures'!BA2</f>
        <v>0</v>
      </c>
      <c r="BB144" s="4">
        <f>'4.1 Comptes 2021 natures'!BB144/'4.1 Comptes 2021 natures'!BB2</f>
        <v>0</v>
      </c>
      <c r="BC144" s="4">
        <f>'4.1 Comptes 2021 natures'!BC144/'4.1 Comptes 2021 natures'!BC2</f>
        <v>0</v>
      </c>
      <c r="BD144" s="4">
        <f>'4.1 Comptes 2021 natures'!BD144/'4.1 Comptes 2021 natures'!BD2</f>
        <v>0</v>
      </c>
      <c r="BE144" s="4">
        <f>'4.1 Comptes 2021 natures'!BE144/'4.1 Comptes 2021 natures'!BE2</f>
        <v>0</v>
      </c>
      <c r="BF144" s="4">
        <f t="shared" si="93"/>
        <v>85.389682005042928</v>
      </c>
      <c r="BG144" s="4">
        <f t="shared" si="94"/>
        <v>10.136508975080808</v>
      </c>
      <c r="BH144" s="4">
        <f t="shared" si="95"/>
        <v>0</v>
      </c>
      <c r="BI144" s="4">
        <f t="shared" si="96"/>
        <v>75.253173029962113</v>
      </c>
    </row>
    <row r="145" spans="1:61" x14ac:dyDescent="0.25">
      <c r="C145">
        <v>494</v>
      </c>
      <c r="D145" t="s">
        <v>133</v>
      </c>
      <c r="E145" s="4">
        <f>'4.1 Comptes 2021 natures'!E145/'4.1 Comptes 2021 natures'!E2</f>
        <v>0</v>
      </c>
      <c r="F145" s="4">
        <f>'4.1 Comptes 2021 natures'!F145/'4.1 Comptes 2021 natures'!F2</f>
        <v>78.95264150943396</v>
      </c>
      <c r="G145" s="4">
        <f>'4.1 Comptes 2021 natures'!G145/'4.1 Comptes 2021 natures'!G2</f>
        <v>6.4343283582089548</v>
      </c>
      <c r="H145" s="4">
        <f>'4.1 Comptes 2021 natures'!H145/'4.1 Comptes 2021 natures'!H2</f>
        <v>0</v>
      </c>
      <c r="I145" s="4">
        <f>'4.1 Comptes 2021 natures'!I145/'4.1 Comptes 2021 natures'!I2</f>
        <v>0</v>
      </c>
      <c r="J145" s="4">
        <f>'4.1 Comptes 2021 natures'!J145/'4.1 Comptes 2021 natures'!J2</f>
        <v>0</v>
      </c>
      <c r="K145" s="4">
        <f>'4.1 Comptes 2021 natures'!K145/'4.1 Comptes 2021 natures'!K2</f>
        <v>21.379656862745097</v>
      </c>
      <c r="L145" s="4">
        <f>'4.1 Comptes 2021 natures'!L145/'4.1 Comptes 2021 natures'!L2</f>
        <v>44.434650212356757</v>
      </c>
      <c r="M145" s="4">
        <f>'4.1 Comptes 2021 natures'!M145/'4.1 Comptes 2021 natures'!M2</f>
        <v>24.928079470198679</v>
      </c>
      <c r="N145" s="4">
        <f>'4.1 Comptes 2021 natures'!N145/'4.1 Comptes 2021 natures'!N2</f>
        <v>0</v>
      </c>
      <c r="O145" s="4">
        <f>'4.1 Comptes 2021 natures'!O145/'4.1 Comptes 2021 natures'!O2</f>
        <v>8.5413854840930998</v>
      </c>
      <c r="P145" s="4">
        <f>'4.1 Comptes 2021 natures'!P145/'4.1 Comptes 2021 natures'!P2</f>
        <v>0</v>
      </c>
      <c r="Q145" s="4">
        <f>'4.1 Comptes 2021 natures'!Q145/'4.1 Comptes 2021 natures'!Q2</f>
        <v>0</v>
      </c>
      <c r="R145" s="4">
        <f>'4.1 Comptes 2021 natures'!R145/'4.1 Comptes 2021 natures'!R2</f>
        <v>0</v>
      </c>
      <c r="S145" s="4">
        <f>'4.1 Comptes 2021 natures'!S145/'4.1 Comptes 2021 natures'!S2</f>
        <v>0</v>
      </c>
      <c r="T145" s="4">
        <f>'4.1 Comptes 2021 natures'!T145/'4.1 Comptes 2021 natures'!T2</f>
        <v>0</v>
      </c>
      <c r="U145" s="4">
        <f>'4.1 Comptes 2021 natures'!U145/'4.1 Comptes 2021 natures'!U2</f>
        <v>0</v>
      </c>
      <c r="V145" s="4">
        <f>'4.1 Comptes 2021 natures'!V145/'4.1 Comptes 2021 natures'!V2</f>
        <v>0</v>
      </c>
      <c r="W145" s="4">
        <f>'4.1 Comptes 2021 natures'!W145/'4.1 Comptes 2021 natures'!W2</f>
        <v>45.244905543511919</v>
      </c>
      <c r="X145" s="4">
        <f>'4.1 Comptes 2021 natures'!X145/'4.1 Comptes 2021 natures'!X2</f>
        <v>0</v>
      </c>
      <c r="Y145" s="4">
        <f>'4.1 Comptes 2021 natures'!Y145/'4.1 Comptes 2021 natures'!Y2</f>
        <v>0</v>
      </c>
      <c r="Z145" s="4">
        <f>'4.1 Comptes 2021 natures'!Z145/'4.1 Comptes 2021 natures'!Z2</f>
        <v>0</v>
      </c>
      <c r="AA145" s="4">
        <f>'4.1 Comptes 2021 natures'!AA145/'4.1 Comptes 2021 natures'!AA2</f>
        <v>0</v>
      </c>
      <c r="AB145" s="4">
        <f>'4.1 Comptes 2021 natures'!AB145/'4.1 Comptes 2021 natures'!AB2</f>
        <v>0</v>
      </c>
      <c r="AC145" s="4">
        <f>'4.1 Comptes 2021 natures'!AC145/'4.1 Comptes 2021 natures'!AC2</f>
        <v>0</v>
      </c>
      <c r="AD145" s="4">
        <f>'4.1 Comptes 2021 natures'!AD145/'4.1 Comptes 2021 natures'!AD2</f>
        <v>0</v>
      </c>
      <c r="AE145" s="4">
        <f>'4.1 Comptes 2021 natures'!AE145/'4.1 Comptes 2021 natures'!AE2</f>
        <v>0</v>
      </c>
      <c r="AF145" s="4">
        <f>'4.1 Comptes 2021 natures'!AF145/'4.1 Comptes 2021 natures'!AF2</f>
        <v>0</v>
      </c>
      <c r="AG145" s="4">
        <f>'4.1 Comptes 2021 natures'!AG145/'4.1 Comptes 2021 natures'!AG2</f>
        <v>0</v>
      </c>
      <c r="AH145" s="4">
        <f>'4.1 Comptes 2021 natures'!AH145/'4.1 Comptes 2021 natures'!AH2</f>
        <v>0</v>
      </c>
      <c r="AI145" s="4">
        <f>'4.1 Comptes 2021 natures'!AI145/'4.1 Comptes 2021 natures'!AI2</f>
        <v>0</v>
      </c>
      <c r="AJ145" s="4">
        <f>'4.1 Comptes 2021 natures'!AJ145/'4.1 Comptes 2021 natures'!AJ2</f>
        <v>5.3709302325581394</v>
      </c>
      <c r="AK145" s="4">
        <f>'4.1 Comptes 2021 natures'!AK145/'4.1 Comptes 2021 natures'!AK2</f>
        <v>0</v>
      </c>
      <c r="AL145" s="4">
        <f>'4.1 Comptes 2021 natures'!AL145/'4.1 Comptes 2021 natures'!AL2</f>
        <v>0</v>
      </c>
      <c r="AM145" s="4">
        <f>'4.1 Comptes 2021 natures'!AM145/'4.1 Comptes 2021 natures'!AM2</f>
        <v>0</v>
      </c>
      <c r="AN145" s="4">
        <f>'4.1 Comptes 2021 natures'!AN145/'4.1 Comptes 2021 natures'!AN2</f>
        <v>0</v>
      </c>
      <c r="AO145" s="4">
        <f>'4.1 Comptes 2021 natures'!AO145/'4.1 Comptes 2021 natures'!AO2</f>
        <v>0</v>
      </c>
      <c r="AP145" s="4">
        <f>'4.1 Comptes 2021 natures'!AP145/'4.1 Comptes 2021 natures'!AP2</f>
        <v>44.334968847352023</v>
      </c>
      <c r="AQ145" s="4">
        <f>'4.1 Comptes 2021 natures'!AQ145/'4.1 Comptes 2021 natures'!AQ2</f>
        <v>0</v>
      </c>
      <c r="AR145" s="4">
        <f>'4.1 Comptes 2021 natures'!AR145/'4.1 Comptes 2021 natures'!AR2</f>
        <v>0</v>
      </c>
      <c r="AS145" s="4">
        <f>'4.1 Comptes 2021 natures'!AS145/'4.1 Comptes 2021 natures'!AS2</f>
        <v>86.073666210670311</v>
      </c>
      <c r="AT145" s="4">
        <f>'4.1 Comptes 2021 natures'!AT145/'4.1 Comptes 2021 natures'!AT2</f>
        <v>0</v>
      </c>
      <c r="AU145" s="4">
        <f>'4.1 Comptes 2021 natures'!AU145/'4.1 Comptes 2021 natures'!AU2</f>
        <v>0</v>
      </c>
      <c r="AV145" s="4">
        <f>'4.1 Comptes 2021 natures'!AV145/'4.1 Comptes 2021 natures'!AV2</f>
        <v>0</v>
      </c>
      <c r="AW145" s="4">
        <f>'4.1 Comptes 2021 natures'!AW145/'4.1 Comptes 2021 natures'!AW2</f>
        <v>0</v>
      </c>
      <c r="AX145" s="4">
        <f>'4.1 Comptes 2021 natures'!AX145/'4.1 Comptes 2021 natures'!AX2</f>
        <v>39.334864864864862</v>
      </c>
      <c r="AY145" s="4">
        <f>'4.1 Comptes 2021 natures'!AY145/'4.1 Comptes 2021 natures'!AY2</f>
        <v>0</v>
      </c>
      <c r="AZ145" s="4">
        <f>'4.1 Comptes 2021 natures'!AZ145/'4.1 Comptes 2021 natures'!AZ2</f>
        <v>0</v>
      </c>
      <c r="BA145" s="4">
        <f>'4.1 Comptes 2021 natures'!BA145/'4.1 Comptes 2021 natures'!BA2</f>
        <v>0</v>
      </c>
      <c r="BB145" s="4">
        <f>'4.1 Comptes 2021 natures'!BB145/'4.1 Comptes 2021 natures'!BB2</f>
        <v>0</v>
      </c>
      <c r="BC145" s="4">
        <f>'4.1 Comptes 2021 natures'!BC145/'4.1 Comptes 2021 natures'!BC2</f>
        <v>0</v>
      </c>
      <c r="BD145" s="4">
        <f>'4.1 Comptes 2021 natures'!BD145/'4.1 Comptes 2021 natures'!BD2</f>
        <v>0</v>
      </c>
      <c r="BE145" s="4">
        <f>'4.1 Comptes 2021 natures'!BE145/'4.1 Comptes 2021 natures'!BE2</f>
        <v>0</v>
      </c>
      <c r="BF145" s="4">
        <f t="shared" si="93"/>
        <v>405.03007759599376</v>
      </c>
      <c r="BG145" s="4">
        <f t="shared" si="94"/>
        <v>229.91564744054844</v>
      </c>
      <c r="BH145" s="4">
        <f t="shared" si="95"/>
        <v>5.3709302325581394</v>
      </c>
      <c r="BI145" s="4">
        <f t="shared" si="96"/>
        <v>169.7434999228872</v>
      </c>
    </row>
    <row r="146" spans="1:61" x14ac:dyDescent="0.25">
      <c r="C146">
        <v>495</v>
      </c>
      <c r="D146" t="s">
        <v>191</v>
      </c>
      <c r="E146" s="4">
        <f>'4.1 Comptes 2021 natures'!E146/'4.1 Comptes 2021 natures'!E2</f>
        <v>0</v>
      </c>
      <c r="F146" s="4">
        <f>'4.1 Comptes 2021 natures'!F146/'4.1 Comptes 2021 natures'!F2</f>
        <v>0</v>
      </c>
      <c r="G146" s="4">
        <f>'4.1 Comptes 2021 natures'!G146/'4.1 Comptes 2021 natures'!G2</f>
        <v>0</v>
      </c>
      <c r="H146" s="4">
        <f>'4.1 Comptes 2021 natures'!H146/'4.1 Comptes 2021 natures'!H2</f>
        <v>0.81093394077448744</v>
      </c>
      <c r="I146" s="4">
        <f>'4.1 Comptes 2021 natures'!I146/'4.1 Comptes 2021 natures'!I2</f>
        <v>0</v>
      </c>
      <c r="J146" s="4">
        <f>'4.1 Comptes 2021 natures'!J146/'4.1 Comptes 2021 natures'!J2</f>
        <v>0</v>
      </c>
      <c r="K146" s="4">
        <f>'4.1 Comptes 2021 natures'!K146/'4.1 Comptes 2021 natures'!K2</f>
        <v>0</v>
      </c>
      <c r="L146" s="4">
        <f>'4.1 Comptes 2021 natures'!L146/'4.1 Comptes 2021 natures'!L2</f>
        <v>0</v>
      </c>
      <c r="M146" s="4">
        <f>'4.1 Comptes 2021 natures'!M146/'4.1 Comptes 2021 natures'!M2</f>
        <v>0</v>
      </c>
      <c r="N146" s="4">
        <f>'4.1 Comptes 2021 natures'!N146/'4.1 Comptes 2021 natures'!N2</f>
        <v>0</v>
      </c>
      <c r="O146" s="4">
        <f>'4.1 Comptes 2021 natures'!O146/'4.1 Comptes 2021 natures'!O2</f>
        <v>0</v>
      </c>
      <c r="P146" s="4">
        <f>'4.1 Comptes 2021 natures'!P146/'4.1 Comptes 2021 natures'!P2</f>
        <v>0</v>
      </c>
      <c r="Q146" s="4">
        <f>'4.1 Comptes 2021 natures'!Q146/'4.1 Comptes 2021 natures'!Q2</f>
        <v>0</v>
      </c>
      <c r="R146" s="4">
        <f>'4.1 Comptes 2021 natures'!R146/'4.1 Comptes 2021 natures'!R2</f>
        <v>0</v>
      </c>
      <c r="S146" s="4">
        <f>'4.1 Comptes 2021 natures'!S146/'4.1 Comptes 2021 natures'!S2</f>
        <v>0</v>
      </c>
      <c r="T146" s="4">
        <f>'4.1 Comptes 2021 natures'!T146/'4.1 Comptes 2021 natures'!T2</f>
        <v>0</v>
      </c>
      <c r="U146" s="4">
        <f>'4.1 Comptes 2021 natures'!U146/'4.1 Comptes 2021 natures'!U2</f>
        <v>0</v>
      </c>
      <c r="V146" s="4">
        <f>'4.1 Comptes 2021 natures'!V146/'4.1 Comptes 2021 natures'!V2</f>
        <v>0</v>
      </c>
      <c r="W146" s="4">
        <f>'4.1 Comptes 2021 natures'!W146/'4.1 Comptes 2021 natures'!W2</f>
        <v>0</v>
      </c>
      <c r="X146" s="4">
        <f>'4.1 Comptes 2021 natures'!X146/'4.1 Comptes 2021 natures'!X2</f>
        <v>0</v>
      </c>
      <c r="Y146" s="4">
        <f>'4.1 Comptes 2021 natures'!Y146/'4.1 Comptes 2021 natures'!Y2</f>
        <v>0</v>
      </c>
      <c r="Z146" s="4">
        <f>'4.1 Comptes 2021 natures'!Z146/'4.1 Comptes 2021 natures'!Z2</f>
        <v>0</v>
      </c>
      <c r="AA146" s="4">
        <f>'4.1 Comptes 2021 natures'!AA146/'4.1 Comptes 2021 natures'!AA2</f>
        <v>0</v>
      </c>
      <c r="AB146" s="4">
        <f>'4.1 Comptes 2021 natures'!AB146/'4.1 Comptes 2021 natures'!AB2</f>
        <v>0</v>
      </c>
      <c r="AC146" s="4">
        <f>'4.1 Comptes 2021 natures'!AC146/'4.1 Comptes 2021 natures'!AC2</f>
        <v>0</v>
      </c>
      <c r="AD146" s="4">
        <f>'4.1 Comptes 2021 natures'!AD146/'4.1 Comptes 2021 natures'!AD2</f>
        <v>0</v>
      </c>
      <c r="AE146" s="4">
        <f>'4.1 Comptes 2021 natures'!AE146/'4.1 Comptes 2021 natures'!AE2</f>
        <v>0</v>
      </c>
      <c r="AF146" s="4">
        <f>'4.1 Comptes 2021 natures'!AF146/'4.1 Comptes 2021 natures'!AF2</f>
        <v>0</v>
      </c>
      <c r="AG146" s="4">
        <f>'4.1 Comptes 2021 natures'!AG146/'4.1 Comptes 2021 natures'!AG2</f>
        <v>0</v>
      </c>
      <c r="AH146" s="4">
        <f>'4.1 Comptes 2021 natures'!AH146/'4.1 Comptes 2021 natures'!AH2</f>
        <v>0</v>
      </c>
      <c r="AI146" s="4">
        <f>'4.1 Comptes 2021 natures'!AI146/'4.1 Comptes 2021 natures'!AI2</f>
        <v>0</v>
      </c>
      <c r="AJ146" s="4">
        <f>'4.1 Comptes 2021 natures'!AJ146/'4.1 Comptes 2021 natures'!AJ2</f>
        <v>0</v>
      </c>
      <c r="AK146" s="4">
        <f>'4.1 Comptes 2021 natures'!AK146/'4.1 Comptes 2021 natures'!AK2</f>
        <v>0</v>
      </c>
      <c r="AL146" s="4">
        <f>'4.1 Comptes 2021 natures'!AL146/'4.1 Comptes 2021 natures'!AL2</f>
        <v>0</v>
      </c>
      <c r="AM146" s="4">
        <f>'4.1 Comptes 2021 natures'!AM146/'4.1 Comptes 2021 natures'!AM2</f>
        <v>0</v>
      </c>
      <c r="AN146" s="4">
        <f>'4.1 Comptes 2021 natures'!AN146/'4.1 Comptes 2021 natures'!AN2</f>
        <v>0</v>
      </c>
      <c r="AO146" s="4">
        <f>'4.1 Comptes 2021 natures'!AO146/'4.1 Comptes 2021 natures'!AO2</f>
        <v>0</v>
      </c>
      <c r="AP146" s="4">
        <f>'4.1 Comptes 2021 natures'!AP146/'4.1 Comptes 2021 natures'!AP2</f>
        <v>0</v>
      </c>
      <c r="AQ146" s="4">
        <f>'4.1 Comptes 2021 natures'!AQ146/'4.1 Comptes 2021 natures'!AQ2</f>
        <v>0</v>
      </c>
      <c r="AR146" s="4">
        <f>'4.1 Comptes 2021 natures'!AR146/'4.1 Comptes 2021 natures'!AR2</f>
        <v>0</v>
      </c>
      <c r="AS146" s="4">
        <f>'4.1 Comptes 2021 natures'!AS146/'4.1 Comptes 2021 natures'!AS2</f>
        <v>0</v>
      </c>
      <c r="AT146" s="4">
        <f>'4.1 Comptes 2021 natures'!AT146/'4.1 Comptes 2021 natures'!AT2</f>
        <v>0</v>
      </c>
      <c r="AU146" s="4">
        <f>'4.1 Comptes 2021 natures'!AU146/'4.1 Comptes 2021 natures'!AU2</f>
        <v>0</v>
      </c>
      <c r="AV146" s="4">
        <f>'4.1 Comptes 2021 natures'!AV146/'4.1 Comptes 2021 natures'!AV2</f>
        <v>0</v>
      </c>
      <c r="AW146" s="4">
        <f>'4.1 Comptes 2021 natures'!AW146/'4.1 Comptes 2021 natures'!AW2</f>
        <v>0</v>
      </c>
      <c r="AX146" s="4">
        <f>'4.1 Comptes 2021 natures'!AX146/'4.1 Comptes 2021 natures'!AX2</f>
        <v>0</v>
      </c>
      <c r="AY146" s="4">
        <f>'4.1 Comptes 2021 natures'!AY146/'4.1 Comptes 2021 natures'!AY2</f>
        <v>0</v>
      </c>
      <c r="AZ146" s="4">
        <f>'4.1 Comptes 2021 natures'!AZ146/'4.1 Comptes 2021 natures'!AZ2</f>
        <v>0</v>
      </c>
      <c r="BA146" s="4">
        <f>'4.1 Comptes 2021 natures'!BA146/'4.1 Comptes 2021 natures'!BA2</f>
        <v>0</v>
      </c>
      <c r="BB146" s="4">
        <f>'4.1 Comptes 2021 natures'!BB146/'4.1 Comptes 2021 natures'!BB2</f>
        <v>0</v>
      </c>
      <c r="BC146" s="4">
        <f>'4.1 Comptes 2021 natures'!BC146/'4.1 Comptes 2021 natures'!BC2</f>
        <v>0</v>
      </c>
      <c r="BD146" s="4">
        <f>'4.1 Comptes 2021 natures'!BD146/'4.1 Comptes 2021 natures'!BD2</f>
        <v>0</v>
      </c>
      <c r="BE146" s="4">
        <f>'4.1 Comptes 2021 natures'!BE146/'4.1 Comptes 2021 natures'!BE2</f>
        <v>0</v>
      </c>
      <c r="BF146" s="4">
        <f t="shared" si="93"/>
        <v>0.81093394077448744</v>
      </c>
      <c r="BG146" s="4">
        <f t="shared" si="94"/>
        <v>0.81093394077448744</v>
      </c>
      <c r="BH146" s="4">
        <f t="shared" si="95"/>
        <v>0</v>
      </c>
      <c r="BI146" s="4">
        <f t="shared" si="96"/>
        <v>0</v>
      </c>
    </row>
    <row r="147" spans="1:61" x14ac:dyDescent="0.25">
      <c r="C147">
        <v>498</v>
      </c>
      <c r="D147" t="s">
        <v>192</v>
      </c>
      <c r="E147" s="4">
        <f>'4.1 Comptes 2021 natures'!E147/'4.1 Comptes 2021 natures'!E2</f>
        <v>0</v>
      </c>
      <c r="F147" s="4">
        <f>'4.1 Comptes 2021 natures'!F147/'4.1 Comptes 2021 natures'!F2</f>
        <v>0</v>
      </c>
      <c r="G147" s="4">
        <f>'4.1 Comptes 2021 natures'!G147/'4.1 Comptes 2021 natures'!G2</f>
        <v>0</v>
      </c>
      <c r="H147" s="4">
        <f>'4.1 Comptes 2021 natures'!H147/'4.1 Comptes 2021 natures'!H2</f>
        <v>0</v>
      </c>
      <c r="I147" s="4">
        <f>'4.1 Comptes 2021 natures'!I147/'4.1 Comptes 2021 natures'!I2</f>
        <v>0</v>
      </c>
      <c r="J147" s="4">
        <f>'4.1 Comptes 2021 natures'!J147/'4.1 Comptes 2021 natures'!J2</f>
        <v>0</v>
      </c>
      <c r="K147" s="4">
        <f>'4.1 Comptes 2021 natures'!K147/'4.1 Comptes 2021 natures'!K2</f>
        <v>0</v>
      </c>
      <c r="L147" s="4">
        <f>'4.1 Comptes 2021 natures'!L147/'4.1 Comptes 2021 natures'!L2</f>
        <v>189.68934530010415</v>
      </c>
      <c r="M147" s="4">
        <f>'4.1 Comptes 2021 natures'!M147/'4.1 Comptes 2021 natures'!M2</f>
        <v>0</v>
      </c>
      <c r="N147" s="4">
        <f>'4.1 Comptes 2021 natures'!N147/'4.1 Comptes 2021 natures'!N2</f>
        <v>0</v>
      </c>
      <c r="O147" s="4">
        <f>'4.1 Comptes 2021 natures'!O147/'4.1 Comptes 2021 natures'!O2</f>
        <v>0</v>
      </c>
      <c r="P147" s="4">
        <f>'4.1 Comptes 2021 natures'!P147/'4.1 Comptes 2021 natures'!P2</f>
        <v>0</v>
      </c>
      <c r="Q147" s="4">
        <f>'4.1 Comptes 2021 natures'!Q147/'4.1 Comptes 2021 natures'!Q2</f>
        <v>0</v>
      </c>
      <c r="R147" s="4">
        <f>'4.1 Comptes 2021 natures'!R147/'4.1 Comptes 2021 natures'!R2</f>
        <v>0</v>
      </c>
      <c r="S147" s="4">
        <f>'4.1 Comptes 2021 natures'!S147/'4.1 Comptes 2021 natures'!S2</f>
        <v>0</v>
      </c>
      <c r="T147" s="4">
        <f>'4.1 Comptes 2021 natures'!T147/'4.1 Comptes 2021 natures'!T2</f>
        <v>0</v>
      </c>
      <c r="U147" s="4">
        <f>'4.1 Comptes 2021 natures'!U147/'4.1 Comptes 2021 natures'!U2</f>
        <v>0</v>
      </c>
      <c r="V147" s="4">
        <f>'4.1 Comptes 2021 natures'!V147/'4.1 Comptes 2021 natures'!V2</f>
        <v>0</v>
      </c>
      <c r="W147" s="4">
        <f>'4.1 Comptes 2021 natures'!W147/'4.1 Comptes 2021 natures'!W2</f>
        <v>0</v>
      </c>
      <c r="X147" s="4">
        <f>'4.1 Comptes 2021 natures'!X147/'4.1 Comptes 2021 natures'!X2</f>
        <v>0</v>
      </c>
      <c r="Y147" s="4">
        <f>'4.1 Comptes 2021 natures'!Y147/'4.1 Comptes 2021 natures'!Y2</f>
        <v>0</v>
      </c>
      <c r="Z147" s="4">
        <f>'4.1 Comptes 2021 natures'!Z147/'4.1 Comptes 2021 natures'!Z2</f>
        <v>0</v>
      </c>
      <c r="AA147" s="4">
        <f>'4.1 Comptes 2021 natures'!AA147/'4.1 Comptes 2021 natures'!AA2</f>
        <v>0</v>
      </c>
      <c r="AB147" s="4">
        <f>'4.1 Comptes 2021 natures'!AB147/'4.1 Comptes 2021 natures'!AB2</f>
        <v>0</v>
      </c>
      <c r="AC147" s="4">
        <f>'4.1 Comptes 2021 natures'!AC147/'4.1 Comptes 2021 natures'!AC2</f>
        <v>0</v>
      </c>
      <c r="AD147" s="4">
        <f>'4.1 Comptes 2021 natures'!AD147/'4.1 Comptes 2021 natures'!AD2</f>
        <v>0</v>
      </c>
      <c r="AE147" s="4">
        <f>'4.1 Comptes 2021 natures'!AE147/'4.1 Comptes 2021 natures'!AE2</f>
        <v>0</v>
      </c>
      <c r="AF147" s="4">
        <f>'4.1 Comptes 2021 natures'!AF147/'4.1 Comptes 2021 natures'!AF2</f>
        <v>198.27342857142858</v>
      </c>
      <c r="AG147" s="4">
        <f>'4.1 Comptes 2021 natures'!AG147/'4.1 Comptes 2021 natures'!AG2</f>
        <v>0</v>
      </c>
      <c r="AH147" s="4">
        <f>'4.1 Comptes 2021 natures'!AH147/'4.1 Comptes 2021 natures'!AH2</f>
        <v>0</v>
      </c>
      <c r="AI147" s="4">
        <f>'4.1 Comptes 2021 natures'!AI147/'4.1 Comptes 2021 natures'!AI2</f>
        <v>0</v>
      </c>
      <c r="AJ147" s="4">
        <f>'4.1 Comptes 2021 natures'!AJ147/'4.1 Comptes 2021 natures'!AJ2</f>
        <v>0</v>
      </c>
      <c r="AK147" s="4">
        <f>'4.1 Comptes 2021 natures'!AK147/'4.1 Comptes 2021 natures'!AK2</f>
        <v>0</v>
      </c>
      <c r="AL147" s="4">
        <f>'4.1 Comptes 2021 natures'!AL147/'4.1 Comptes 2021 natures'!AL2</f>
        <v>0</v>
      </c>
      <c r="AM147" s="4">
        <f>'4.1 Comptes 2021 natures'!AM147/'4.1 Comptes 2021 natures'!AM2</f>
        <v>0</v>
      </c>
      <c r="AN147" s="4">
        <f>'4.1 Comptes 2021 natures'!AN147/'4.1 Comptes 2021 natures'!AN2</f>
        <v>0</v>
      </c>
      <c r="AO147" s="4">
        <f>'4.1 Comptes 2021 natures'!AO147/'4.1 Comptes 2021 natures'!AO2</f>
        <v>0</v>
      </c>
      <c r="AP147" s="4">
        <f>'4.1 Comptes 2021 natures'!AP147/'4.1 Comptes 2021 natures'!AP2</f>
        <v>0</v>
      </c>
      <c r="AQ147" s="4">
        <f>'4.1 Comptes 2021 natures'!AQ147/'4.1 Comptes 2021 natures'!AQ2</f>
        <v>0</v>
      </c>
      <c r="AR147" s="4">
        <f>'4.1 Comptes 2021 natures'!AR147/'4.1 Comptes 2021 natures'!AR2</f>
        <v>0</v>
      </c>
      <c r="AS147" s="4">
        <f>'4.1 Comptes 2021 natures'!AS147/'4.1 Comptes 2021 natures'!AS2</f>
        <v>0</v>
      </c>
      <c r="AT147" s="4">
        <f>'4.1 Comptes 2021 natures'!AT147/'4.1 Comptes 2021 natures'!AT2</f>
        <v>0</v>
      </c>
      <c r="AU147" s="4">
        <f>'4.1 Comptes 2021 natures'!AU147/'4.1 Comptes 2021 natures'!AU2</f>
        <v>0</v>
      </c>
      <c r="AV147" s="4">
        <f>'4.1 Comptes 2021 natures'!AV147/'4.1 Comptes 2021 natures'!AV2</f>
        <v>0</v>
      </c>
      <c r="AW147" s="4">
        <f>'4.1 Comptes 2021 natures'!AW147/'4.1 Comptes 2021 natures'!AW2</f>
        <v>0</v>
      </c>
      <c r="AX147" s="4">
        <f>'4.1 Comptes 2021 natures'!AX147/'4.1 Comptes 2021 natures'!AX2</f>
        <v>0</v>
      </c>
      <c r="AY147" s="4">
        <f>'4.1 Comptes 2021 natures'!AY147/'4.1 Comptes 2021 natures'!AY2</f>
        <v>0</v>
      </c>
      <c r="AZ147" s="4">
        <f>'4.1 Comptes 2021 natures'!AZ147/'4.1 Comptes 2021 natures'!AZ2</f>
        <v>0</v>
      </c>
      <c r="BA147" s="4">
        <f>'4.1 Comptes 2021 natures'!BA147/'4.1 Comptes 2021 natures'!BA2</f>
        <v>0</v>
      </c>
      <c r="BB147" s="4">
        <f>'4.1 Comptes 2021 natures'!BB147/'4.1 Comptes 2021 natures'!BB2</f>
        <v>0</v>
      </c>
      <c r="BC147" s="4">
        <f>'4.1 Comptes 2021 natures'!BC147/'4.1 Comptes 2021 natures'!BC2</f>
        <v>0</v>
      </c>
      <c r="BD147" s="4">
        <f>'4.1 Comptes 2021 natures'!BD147/'4.1 Comptes 2021 natures'!BD2</f>
        <v>0</v>
      </c>
      <c r="BE147" s="4">
        <f>'4.1 Comptes 2021 natures'!BE147/'4.1 Comptes 2021 natures'!BE2</f>
        <v>0</v>
      </c>
      <c r="BF147" s="4">
        <f t="shared" si="93"/>
        <v>387.9627738715327</v>
      </c>
      <c r="BG147" s="4">
        <f t="shared" si="94"/>
        <v>189.68934530010415</v>
      </c>
      <c r="BH147" s="4">
        <f t="shared" si="95"/>
        <v>198.27342857142858</v>
      </c>
      <c r="BI147" s="4">
        <f t="shared" si="96"/>
        <v>0</v>
      </c>
    </row>
    <row r="148" spans="1:61" x14ac:dyDescent="0.25">
      <c r="C148">
        <v>499</v>
      </c>
      <c r="D148" t="s">
        <v>136</v>
      </c>
      <c r="E148" s="4">
        <f>'4.1 Comptes 2021 natures'!E148/'4.1 Comptes 2021 natures'!E2</f>
        <v>0</v>
      </c>
      <c r="F148" s="4">
        <f>'4.1 Comptes 2021 natures'!F148/'4.1 Comptes 2021 natures'!F2</f>
        <v>0</v>
      </c>
      <c r="G148" s="4">
        <f>'4.1 Comptes 2021 natures'!G148/'4.1 Comptes 2021 natures'!G2</f>
        <v>0</v>
      </c>
      <c r="H148" s="4">
        <f>'4.1 Comptes 2021 natures'!H148/'4.1 Comptes 2021 natures'!H2</f>
        <v>0</v>
      </c>
      <c r="I148" s="4">
        <f>'4.1 Comptes 2021 natures'!I148/'4.1 Comptes 2021 natures'!I2</f>
        <v>0</v>
      </c>
      <c r="J148" s="4">
        <f>'4.1 Comptes 2021 natures'!J148/'4.1 Comptes 2021 natures'!J2</f>
        <v>0</v>
      </c>
      <c r="K148" s="4">
        <f>'4.1 Comptes 2021 natures'!K148/'4.1 Comptes 2021 natures'!K2</f>
        <v>0</v>
      </c>
      <c r="L148" s="4">
        <f>'4.1 Comptes 2021 natures'!L148/'4.1 Comptes 2021 natures'!L2</f>
        <v>87.898939017549495</v>
      </c>
      <c r="M148" s="4">
        <f>'4.1 Comptes 2021 natures'!M148/'4.1 Comptes 2021 natures'!M2</f>
        <v>0</v>
      </c>
      <c r="N148" s="4">
        <f>'4.1 Comptes 2021 natures'!N148/'4.1 Comptes 2021 natures'!N2</f>
        <v>0</v>
      </c>
      <c r="O148" s="4">
        <f>'4.1 Comptes 2021 natures'!O148/'4.1 Comptes 2021 natures'!O2</f>
        <v>0</v>
      </c>
      <c r="P148" s="4">
        <f>'4.1 Comptes 2021 natures'!P148/'4.1 Comptes 2021 natures'!P2</f>
        <v>0</v>
      </c>
      <c r="Q148" s="4">
        <f>'4.1 Comptes 2021 natures'!Q148/'4.1 Comptes 2021 natures'!Q2</f>
        <v>0</v>
      </c>
      <c r="R148" s="4">
        <f>'4.1 Comptes 2021 natures'!R148/'4.1 Comptes 2021 natures'!R2</f>
        <v>0</v>
      </c>
      <c r="S148" s="4">
        <f>'4.1 Comptes 2021 natures'!S148/'4.1 Comptes 2021 natures'!S2</f>
        <v>0</v>
      </c>
      <c r="T148" s="4">
        <f>'4.1 Comptes 2021 natures'!T148/'4.1 Comptes 2021 natures'!T2</f>
        <v>0</v>
      </c>
      <c r="U148" s="4">
        <f>'4.1 Comptes 2021 natures'!U148/'4.1 Comptes 2021 natures'!U2</f>
        <v>0</v>
      </c>
      <c r="V148" s="4">
        <f>'4.1 Comptes 2021 natures'!V148/'4.1 Comptes 2021 natures'!V2</f>
        <v>0</v>
      </c>
      <c r="W148" s="4">
        <f>'4.1 Comptes 2021 natures'!W148/'4.1 Comptes 2021 natures'!W2</f>
        <v>0.92908021059151435</v>
      </c>
      <c r="X148" s="4">
        <f>'4.1 Comptes 2021 natures'!X148/'4.1 Comptes 2021 natures'!X2</f>
        <v>0</v>
      </c>
      <c r="Y148" s="4">
        <f>'4.1 Comptes 2021 natures'!Y148/'4.1 Comptes 2021 natures'!Y2</f>
        <v>0</v>
      </c>
      <c r="Z148" s="4">
        <f>'4.1 Comptes 2021 natures'!Z148/'4.1 Comptes 2021 natures'!Z2</f>
        <v>0</v>
      </c>
      <c r="AA148" s="4">
        <f>'4.1 Comptes 2021 natures'!AA148/'4.1 Comptes 2021 natures'!AA2</f>
        <v>0</v>
      </c>
      <c r="AB148" s="4">
        <f>'4.1 Comptes 2021 natures'!AB148/'4.1 Comptes 2021 natures'!AB2</f>
        <v>0</v>
      </c>
      <c r="AC148" s="4">
        <f>'4.1 Comptes 2021 natures'!AC148/'4.1 Comptes 2021 natures'!AC2</f>
        <v>0</v>
      </c>
      <c r="AD148" s="4">
        <f>'4.1 Comptes 2021 natures'!AD148/'4.1 Comptes 2021 natures'!AD2</f>
        <v>0</v>
      </c>
      <c r="AE148" s="4">
        <f>'4.1 Comptes 2021 natures'!AE148/'4.1 Comptes 2021 natures'!AE2</f>
        <v>0</v>
      </c>
      <c r="AF148" s="4">
        <f>'4.1 Comptes 2021 natures'!AF148/'4.1 Comptes 2021 natures'!AF2</f>
        <v>0</v>
      </c>
      <c r="AG148" s="4">
        <f>'4.1 Comptes 2021 natures'!AG148/'4.1 Comptes 2021 natures'!AG2</f>
        <v>0</v>
      </c>
      <c r="AH148" s="4">
        <f>'4.1 Comptes 2021 natures'!AH148/'4.1 Comptes 2021 natures'!AH2</f>
        <v>0</v>
      </c>
      <c r="AI148" s="4">
        <f>'4.1 Comptes 2021 natures'!AI148/'4.1 Comptes 2021 natures'!AI2</f>
        <v>0</v>
      </c>
      <c r="AJ148" s="4">
        <f>'4.1 Comptes 2021 natures'!AJ148/'4.1 Comptes 2021 natures'!AJ2</f>
        <v>0</v>
      </c>
      <c r="AK148" s="4">
        <f>'4.1 Comptes 2021 natures'!AK148/'4.1 Comptes 2021 natures'!AK2</f>
        <v>0</v>
      </c>
      <c r="AL148" s="4">
        <f>'4.1 Comptes 2021 natures'!AL148/'4.1 Comptes 2021 natures'!AL2</f>
        <v>0</v>
      </c>
      <c r="AM148" s="4">
        <f>'4.1 Comptes 2021 natures'!AM148/'4.1 Comptes 2021 natures'!AM2</f>
        <v>0</v>
      </c>
      <c r="AN148" s="4">
        <f>'4.1 Comptes 2021 natures'!AN148/'4.1 Comptes 2021 natures'!AN2</f>
        <v>0</v>
      </c>
      <c r="AO148" s="4">
        <f>'4.1 Comptes 2021 natures'!AO148/'4.1 Comptes 2021 natures'!AO2</f>
        <v>0</v>
      </c>
      <c r="AP148" s="4">
        <f>'4.1 Comptes 2021 natures'!AP148/'4.1 Comptes 2021 natures'!AP2</f>
        <v>0</v>
      </c>
      <c r="AQ148" s="4">
        <f>'4.1 Comptes 2021 natures'!AQ148/'4.1 Comptes 2021 natures'!AQ2</f>
        <v>0</v>
      </c>
      <c r="AR148" s="4">
        <f>'4.1 Comptes 2021 natures'!AR148/'4.1 Comptes 2021 natures'!AR2</f>
        <v>0</v>
      </c>
      <c r="AS148" s="4">
        <f>'4.1 Comptes 2021 natures'!AS148/'4.1 Comptes 2021 natures'!AS2</f>
        <v>0</v>
      </c>
      <c r="AT148" s="4">
        <f>'4.1 Comptes 2021 natures'!AT148/'4.1 Comptes 2021 natures'!AT2</f>
        <v>0</v>
      </c>
      <c r="AU148" s="4">
        <f>'4.1 Comptes 2021 natures'!AU148/'4.1 Comptes 2021 natures'!AU2</f>
        <v>0</v>
      </c>
      <c r="AV148" s="4">
        <f>'4.1 Comptes 2021 natures'!AV148/'4.1 Comptes 2021 natures'!AV2</f>
        <v>0</v>
      </c>
      <c r="AW148" s="4">
        <f>'4.1 Comptes 2021 natures'!AW148/'4.1 Comptes 2021 natures'!AW2</f>
        <v>0</v>
      </c>
      <c r="AX148" s="4">
        <f>'4.1 Comptes 2021 natures'!AX148/'4.1 Comptes 2021 natures'!AX2</f>
        <v>0</v>
      </c>
      <c r="AY148" s="4">
        <f>'4.1 Comptes 2021 natures'!AY148/'4.1 Comptes 2021 natures'!AY2</f>
        <v>0</v>
      </c>
      <c r="AZ148" s="4">
        <f>'4.1 Comptes 2021 natures'!AZ148/'4.1 Comptes 2021 natures'!AZ2</f>
        <v>0.58927519151443719</v>
      </c>
      <c r="BA148" s="4">
        <f>'4.1 Comptes 2021 natures'!BA148/'4.1 Comptes 2021 natures'!BA2</f>
        <v>0</v>
      </c>
      <c r="BB148" s="4">
        <f>'4.1 Comptes 2021 natures'!BB148/'4.1 Comptes 2021 natures'!BB2</f>
        <v>0</v>
      </c>
      <c r="BC148" s="4">
        <f>'4.1 Comptes 2021 natures'!BC148/'4.1 Comptes 2021 natures'!BC2</f>
        <v>0</v>
      </c>
      <c r="BD148" s="4">
        <f>'4.1 Comptes 2021 natures'!BD148/'4.1 Comptes 2021 natures'!BD2</f>
        <v>0</v>
      </c>
      <c r="BE148" s="4">
        <f>'4.1 Comptes 2021 natures'!BE148/'4.1 Comptes 2021 natures'!BE2</f>
        <v>0</v>
      </c>
      <c r="BF148" s="4">
        <f t="shared" si="93"/>
        <v>89.417294419655434</v>
      </c>
      <c r="BG148" s="4">
        <f t="shared" si="94"/>
        <v>88.828019228141002</v>
      </c>
      <c r="BH148" s="4">
        <f t="shared" si="95"/>
        <v>0</v>
      </c>
      <c r="BI148" s="4">
        <f t="shared" si="96"/>
        <v>0.58927519151443719</v>
      </c>
    </row>
    <row r="149" spans="1:61" x14ac:dyDescent="0.25">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row>
    <row r="150" spans="1:61" x14ac:dyDescent="0.25">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row>
    <row r="151" spans="1:61" x14ac:dyDescent="0.25">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f t="shared" ref="BF151" si="97">SUM(E151:BE151)</f>
        <v>0</v>
      </c>
      <c r="BG151" s="4">
        <f t="shared" ref="BG151" si="98">SUM(E151:W151)</f>
        <v>0</v>
      </c>
      <c r="BH151" s="4">
        <f t="shared" ref="BH151" si="99">SUM(X151:AJ151)</f>
        <v>0</v>
      </c>
      <c r="BI151" s="4">
        <f t="shared" ref="BI151" si="100">SUM(AK151:BE151)</f>
        <v>0</v>
      </c>
    </row>
    <row r="152" spans="1:61" x14ac:dyDescent="0.25">
      <c r="A152" s="88">
        <v>9</v>
      </c>
      <c r="B152" s="88"/>
      <c r="C152" s="88"/>
      <c r="D152" s="88" t="s">
        <v>194</v>
      </c>
      <c r="E152" s="89"/>
      <c r="F152" s="89"/>
      <c r="G152" s="89"/>
      <c r="H152" s="89"/>
      <c r="I152" s="89"/>
      <c r="J152" s="89"/>
      <c r="K152" s="89"/>
      <c r="L152" s="89"/>
      <c r="M152" s="89"/>
      <c r="N152" s="89"/>
      <c r="O152" s="89"/>
      <c r="P152" s="89"/>
      <c r="Q152" s="89"/>
      <c r="R152" s="89"/>
      <c r="S152" s="89"/>
      <c r="T152" s="89"/>
      <c r="U152" s="89"/>
      <c r="V152" s="89"/>
      <c r="W152" s="89"/>
      <c r="X152" s="89"/>
      <c r="Y152" s="89"/>
      <c r="Z152" s="89"/>
      <c r="AA152" s="89"/>
      <c r="AB152" s="89"/>
      <c r="AC152" s="89"/>
      <c r="AD152" s="89"/>
      <c r="AE152" s="89"/>
      <c r="AF152" s="89"/>
      <c r="AG152" s="89"/>
      <c r="AH152" s="89"/>
      <c r="AI152" s="89"/>
      <c r="AJ152" s="89"/>
      <c r="AK152" s="89"/>
      <c r="AL152" s="89"/>
      <c r="AM152" s="89"/>
      <c r="AN152" s="89"/>
      <c r="AO152" s="89"/>
      <c r="AP152" s="89"/>
      <c r="AQ152" s="89"/>
      <c r="AR152" s="89"/>
      <c r="AS152" s="89"/>
      <c r="AT152" s="89"/>
      <c r="AU152" s="89"/>
      <c r="AV152" s="89"/>
      <c r="AW152" s="89"/>
      <c r="AX152" s="89"/>
      <c r="AY152" s="89"/>
      <c r="AZ152" s="89"/>
      <c r="BA152" s="89"/>
      <c r="BB152" s="89"/>
      <c r="BC152" s="89"/>
      <c r="BD152" s="89"/>
      <c r="BE152" s="89"/>
      <c r="BF152" s="89"/>
      <c r="BG152" s="89"/>
      <c r="BH152" s="89"/>
      <c r="BI152" s="89"/>
    </row>
    <row r="153" spans="1:61" x14ac:dyDescent="0.25">
      <c r="A153" s="88"/>
      <c r="B153" s="88">
        <v>90</v>
      </c>
      <c r="C153" s="88"/>
      <c r="D153" s="88" t="s">
        <v>195</v>
      </c>
      <c r="E153" s="90">
        <f>E154+E155</f>
        <v>47.44255543822598</v>
      </c>
      <c r="F153" s="90">
        <f t="shared" ref="F153:BI153" si="101">F154+F155</f>
        <v>-183.23516981132076</v>
      </c>
      <c r="G153" s="90">
        <f t="shared" si="101"/>
        <v>-202.19317697228144</v>
      </c>
      <c r="H153" s="90">
        <f t="shared" si="101"/>
        <v>241.71478359908883</v>
      </c>
      <c r="I153" s="90">
        <f t="shared" si="101"/>
        <v>136.67638680257511</v>
      </c>
      <c r="J153" s="90">
        <f t="shared" si="101"/>
        <v>106.22754559043348</v>
      </c>
      <c r="K153" s="90">
        <f t="shared" si="101"/>
        <v>196.70473981900452</v>
      </c>
      <c r="L153" s="90">
        <f t="shared" si="101"/>
        <v>284.60024841734116</v>
      </c>
      <c r="M153" s="90">
        <f t="shared" si="101"/>
        <v>212.11042678440032</v>
      </c>
      <c r="N153" s="90">
        <f t="shared" si="101"/>
        <v>-78.907008547008544</v>
      </c>
      <c r="O153" s="90">
        <f t="shared" si="101"/>
        <v>98.253955378047095</v>
      </c>
      <c r="P153" s="90">
        <f t="shared" si="101"/>
        <v>182.82934944237917</v>
      </c>
      <c r="Q153" s="90">
        <f t="shared" si="101"/>
        <v>-42.394684684684705</v>
      </c>
      <c r="R153" s="90">
        <f t="shared" si="101"/>
        <v>104.42586698337291</v>
      </c>
      <c r="S153" s="90">
        <f t="shared" si="101"/>
        <v>-141.46595375722549</v>
      </c>
      <c r="T153" s="90">
        <f t="shared" si="101"/>
        <v>766.21243661971835</v>
      </c>
      <c r="U153" s="90">
        <f t="shared" si="101"/>
        <v>-56.062862453531608</v>
      </c>
      <c r="V153" s="90">
        <f t="shared" si="101"/>
        <v>-714.59470454545453</v>
      </c>
      <c r="W153" s="90">
        <f t="shared" si="101"/>
        <v>141.28193248683803</v>
      </c>
      <c r="X153" s="90">
        <f t="shared" si="101"/>
        <v>447.38635483870968</v>
      </c>
      <c r="Y153" s="90">
        <f t="shared" si="101"/>
        <v>1390.826346456693</v>
      </c>
      <c r="Z153" s="90">
        <f t="shared" si="101"/>
        <v>743.75768924302781</v>
      </c>
      <c r="AA153" s="90">
        <f t="shared" si="101"/>
        <v>105.48447916666669</v>
      </c>
      <c r="AB153" s="90">
        <f t="shared" si="101"/>
        <v>7.6300000000000523</v>
      </c>
      <c r="AC153" s="90">
        <f t="shared" si="101"/>
        <v>-573.47138996138995</v>
      </c>
      <c r="AD153" s="90">
        <f t="shared" si="101"/>
        <v>6.5405991440798914</v>
      </c>
      <c r="AE153" s="90">
        <f t="shared" si="101"/>
        <v>-442.17053191489367</v>
      </c>
      <c r="AF153" s="90">
        <f t="shared" si="101"/>
        <v>145.53443809523804</v>
      </c>
      <c r="AG153" s="90">
        <f t="shared" si="101"/>
        <v>473.82278679937139</v>
      </c>
      <c r="AH153" s="90">
        <f t="shared" si="101"/>
        <v>337.10649612403097</v>
      </c>
      <c r="AI153" s="90">
        <f t="shared" si="101"/>
        <v>-166.97702702702702</v>
      </c>
      <c r="AJ153" s="90">
        <f t="shared" si="101"/>
        <v>353.54007751937985</v>
      </c>
      <c r="AK153" s="90">
        <f t="shared" si="101"/>
        <v>302.39241142252774</v>
      </c>
      <c r="AL153" s="90">
        <f t="shared" si="101"/>
        <v>40.042486678507998</v>
      </c>
      <c r="AM153" s="90">
        <f t="shared" si="101"/>
        <v>101.03564897959184</v>
      </c>
      <c r="AN153" s="90">
        <f t="shared" si="101"/>
        <v>53.245641025641021</v>
      </c>
      <c r="AO153" s="90">
        <f t="shared" si="101"/>
        <v>176.85036286919831</v>
      </c>
      <c r="AP153" s="90">
        <f t="shared" si="101"/>
        <v>312.00258566978192</v>
      </c>
      <c r="AQ153" s="90">
        <f t="shared" si="101"/>
        <v>52.102922590837281</v>
      </c>
      <c r="AR153" s="90">
        <f t="shared" si="101"/>
        <v>59.62514797507788</v>
      </c>
      <c r="AS153" s="90">
        <f t="shared" si="101"/>
        <v>1.7629958960328338</v>
      </c>
      <c r="AT153" s="90">
        <f t="shared" si="101"/>
        <v>-3.4084055118110186</v>
      </c>
      <c r="AU153" s="90">
        <f t="shared" si="101"/>
        <v>157.35154605263159</v>
      </c>
      <c r="AV153" s="90">
        <f t="shared" si="101"/>
        <v>107.13794361525706</v>
      </c>
      <c r="AW153" s="90">
        <f t="shared" si="101"/>
        <v>112.46368707482995</v>
      </c>
      <c r="AX153" s="90">
        <f t="shared" si="101"/>
        <v>-273.37794594594595</v>
      </c>
      <c r="AY153" s="90">
        <f t="shared" si="101"/>
        <v>-136.57058823529411</v>
      </c>
      <c r="AZ153" s="90">
        <f t="shared" si="101"/>
        <v>35.28423099587507</v>
      </c>
      <c r="BA153" s="90">
        <f t="shared" si="101"/>
        <v>312.88784615384617</v>
      </c>
      <c r="BB153" s="90">
        <f t="shared" si="101"/>
        <v>125.40974836905872</v>
      </c>
      <c r="BC153" s="90">
        <f t="shared" si="101"/>
        <v>324.78222826086954</v>
      </c>
      <c r="BD153" s="90">
        <f t="shared" si="101"/>
        <v>100.73254407670896</v>
      </c>
      <c r="BE153" s="90">
        <f t="shared" si="101"/>
        <v>207.53776386404294</v>
      </c>
      <c r="BF153" s="90">
        <f t="shared" si="101"/>
        <v>6097.9277869510706</v>
      </c>
      <c r="BG153" s="90">
        <f t="shared" si="101"/>
        <v>1099.6266665899179</v>
      </c>
      <c r="BH153" s="90">
        <f t="shared" si="101"/>
        <v>2829.0103184838867</v>
      </c>
      <c r="BI153" s="90">
        <f t="shared" si="101"/>
        <v>2169.2908018772659</v>
      </c>
    </row>
    <row r="154" spans="1:61" x14ac:dyDescent="0.25">
      <c r="C154">
        <v>900</v>
      </c>
      <c r="D154" t="s">
        <v>196</v>
      </c>
      <c r="E154" s="4">
        <f>'4.1 Comptes 2021 natures'!E154/'4.1 Comptes 2021 natures'!E2</f>
        <v>-166.44686378035902</v>
      </c>
      <c r="F154" s="4">
        <f>'4.1 Comptes 2021 natures'!F154/'4.1 Comptes 2021 natures'!F2</f>
        <v>-266.05769811320755</v>
      </c>
      <c r="G154" s="4">
        <f>'4.1 Comptes 2021 natures'!G154/'4.1 Comptes 2021 natures'!G2</f>
        <v>-237.90603411513857</v>
      </c>
      <c r="H154" s="4">
        <f>'4.1 Comptes 2021 natures'!H154/'4.1 Comptes 2021 natures'!H2</f>
        <v>-33.277152619589977</v>
      </c>
      <c r="I154" s="4">
        <f>'4.1 Comptes 2021 natures'!I154/'4.1 Comptes 2021 natures'!I2</f>
        <v>7.7585380901287557</v>
      </c>
      <c r="J154" s="4">
        <f>'4.1 Comptes 2021 natures'!J154/'4.1 Comptes 2021 natures'!J2</f>
        <v>30.210451420029898</v>
      </c>
      <c r="K154" s="4">
        <f>'4.1 Comptes 2021 natures'!K154/'4.1 Comptes 2021 natures'!K2</f>
        <v>2.0403808446455507</v>
      </c>
      <c r="L154" s="4">
        <f>'4.1 Comptes 2021 natures'!L154/'4.1 Comptes 2021 natures'!L2</f>
        <v>-5.3850468787563109E-3</v>
      </c>
      <c r="M154" s="4">
        <f>'4.1 Comptes 2021 natures'!M154/'4.1 Comptes 2021 natures'!M2</f>
        <v>66.149426048565132</v>
      </c>
      <c r="N154" s="4">
        <f>'4.1 Comptes 2021 natures'!N154/'4.1 Comptes 2021 natures'!N2</f>
        <v>-112.16564102564102</v>
      </c>
      <c r="O154" s="4">
        <f>'4.1 Comptes 2021 natures'!O154/'4.1 Comptes 2021 natures'!O2</f>
        <v>-33.495541936372398</v>
      </c>
      <c r="P154" s="4">
        <f>'4.1 Comptes 2021 natures'!P154/'4.1 Comptes 2021 natures'!P2</f>
        <v>10.539591078066914</v>
      </c>
      <c r="Q154" s="4">
        <f>'4.1 Comptes 2021 natures'!Q154/'4.1 Comptes 2021 natures'!Q2</f>
        <v>-234.9374774774775</v>
      </c>
      <c r="R154" s="4">
        <f>'4.1 Comptes 2021 natures'!R154/'4.1 Comptes 2021 natures'!R2</f>
        <v>79.730807600950115</v>
      </c>
      <c r="S154" s="4">
        <f>'4.1 Comptes 2021 natures'!S154/'4.1 Comptes 2021 natures'!S2</f>
        <v>-392.67390173410411</v>
      </c>
      <c r="T154" s="4">
        <f>'4.1 Comptes 2021 natures'!T154/'4.1 Comptes 2021 natures'!T2</f>
        <v>436.63971830985918</v>
      </c>
      <c r="U154" s="4">
        <f>'4.1 Comptes 2021 natures'!U154/'4.1 Comptes 2021 natures'!U2</f>
        <v>-127.31189591078068</v>
      </c>
      <c r="V154" s="4">
        <f>'4.1 Comptes 2021 natures'!V154/'4.1 Comptes 2021 natures'!V2</f>
        <v>-793.46184090909094</v>
      </c>
      <c r="W154" s="4">
        <f>'4.1 Comptes 2021 natures'!W154/'4.1 Comptes 2021 natures'!W2</f>
        <v>22.129962836791574</v>
      </c>
      <c r="X154" s="4">
        <f>'4.1 Comptes 2021 natures'!X154/'4.1 Comptes 2021 natures'!X2</f>
        <v>401.21038709677418</v>
      </c>
      <c r="Y154" s="4">
        <f>'4.1 Comptes 2021 natures'!Y154/'4.1 Comptes 2021 natures'!Y2</f>
        <v>1286.4612677165355</v>
      </c>
      <c r="Z154" s="4">
        <f>'4.1 Comptes 2021 natures'!Z154/'4.1 Comptes 2021 natures'!Z2</f>
        <v>614.40120185922967</v>
      </c>
      <c r="AA154" s="4">
        <f>'4.1 Comptes 2021 natures'!AA154/'4.1 Comptes 2021 natures'!AA2</f>
        <v>139.30322916666668</v>
      </c>
      <c r="AB154" s="4">
        <f>'4.1 Comptes 2021 natures'!AB154/'4.1 Comptes 2021 natures'!AB2</f>
        <v>-230.1114189189189</v>
      </c>
      <c r="AC154" s="4">
        <f>'4.1 Comptes 2021 natures'!AC154/'4.1 Comptes 2021 natures'!AC2</f>
        <v>-368.27322393822396</v>
      </c>
      <c r="AD154" s="4">
        <f>'4.1 Comptes 2021 natures'!AD154/'4.1 Comptes 2021 natures'!AD2</f>
        <v>-94.038687589158343</v>
      </c>
      <c r="AE154" s="4">
        <f>'4.1 Comptes 2021 natures'!AE154/'4.1 Comptes 2021 natures'!AE2</f>
        <v>-263.77539007092201</v>
      </c>
      <c r="AF154" s="4">
        <f>'4.1 Comptes 2021 natures'!AF154/'4.1 Comptes 2021 natures'!AF2</f>
        <v>-303.37931428571432</v>
      </c>
      <c r="AG154" s="4">
        <f>'4.1 Comptes 2021 natures'!AG154/'4.1 Comptes 2021 natures'!AG2</f>
        <v>400.68333682556312</v>
      </c>
      <c r="AH154" s="4">
        <f>'4.1 Comptes 2021 natures'!AH154/'4.1 Comptes 2021 natures'!AH2</f>
        <v>10.906968992248062</v>
      </c>
      <c r="AI154" s="4">
        <f>'4.1 Comptes 2021 natures'!AI154/'4.1 Comptes 2021 natures'!AI2</f>
        <v>-149.3391891891892</v>
      </c>
      <c r="AJ154" s="4">
        <f>'4.1 Comptes 2021 natures'!AJ154/'4.1 Comptes 2021 natures'!AJ2</f>
        <v>-49.911472868217054</v>
      </c>
      <c r="AK154" s="4">
        <f>'4.1 Comptes 2021 natures'!AK154/'4.1 Comptes 2021 natures'!AK2</f>
        <v>223.9555790586991</v>
      </c>
      <c r="AL154" s="4">
        <f>'4.1 Comptes 2021 natures'!AL154/'4.1 Comptes 2021 natures'!AL2</f>
        <v>1.764404973357016</v>
      </c>
      <c r="AM154" s="4">
        <f>'4.1 Comptes 2021 natures'!AM154/'4.1 Comptes 2021 natures'!AM2</f>
        <v>84.575787755102041</v>
      </c>
      <c r="AN154" s="4">
        <f>'4.1 Comptes 2021 natures'!AN154/'4.1 Comptes 2021 natures'!AN2</f>
        <v>35.54</v>
      </c>
      <c r="AO154" s="4">
        <f>'4.1 Comptes 2021 natures'!AO154/'4.1 Comptes 2021 natures'!AO2</f>
        <v>40.731164556962028</v>
      </c>
      <c r="AP154" s="4">
        <f>'4.1 Comptes 2021 natures'!AP154/'4.1 Comptes 2021 natures'!AP2</f>
        <v>211.79442367601246</v>
      </c>
      <c r="AQ154" s="4">
        <f>'4.1 Comptes 2021 natures'!AQ154/'4.1 Comptes 2021 natures'!AQ2</f>
        <v>10.227740916271722</v>
      </c>
      <c r="AR154" s="4">
        <f>'4.1 Comptes 2021 natures'!AR154/'4.1 Comptes 2021 natures'!AR2</f>
        <v>7.5069626168224302</v>
      </c>
      <c r="AS154" s="4">
        <f>'4.1 Comptes 2021 natures'!AS154/'4.1 Comptes 2021 natures'!AS2</f>
        <v>44.553023255813955</v>
      </c>
      <c r="AT154" s="4">
        <f>'4.1 Comptes 2021 natures'!AT154/'4.1 Comptes 2021 natures'!AT2</f>
        <v>-47.330698818897638</v>
      </c>
      <c r="AU154" s="4">
        <f>'4.1 Comptes 2021 natures'!AU154/'4.1 Comptes 2021 natures'!AU2</f>
        <v>59.522960526315785</v>
      </c>
      <c r="AV154" s="4">
        <f>'4.1 Comptes 2021 natures'!AV154/'4.1 Comptes 2021 natures'!AV2</f>
        <v>47.751575456053068</v>
      </c>
      <c r="AW154" s="4">
        <f>'4.1 Comptes 2021 natures'!AW154/'4.1 Comptes 2021 natures'!AW2</f>
        <v>79.414149659863952</v>
      </c>
      <c r="AX154" s="4">
        <f>'4.1 Comptes 2021 natures'!AX154/'4.1 Comptes 2021 natures'!AX2</f>
        <v>-360.68091891891891</v>
      </c>
      <c r="AY154" s="4">
        <f>'4.1 Comptes 2021 natures'!AY154/'4.1 Comptes 2021 natures'!AY2</f>
        <v>-280.92423529411764</v>
      </c>
      <c r="AZ154" s="4">
        <f>'4.1 Comptes 2021 natures'!AZ154/'4.1 Comptes 2021 natures'!AZ2</f>
        <v>24.770707130229816</v>
      </c>
      <c r="BA154" s="4">
        <f>'4.1 Comptes 2021 natures'!BA154/'4.1 Comptes 2021 natures'!BA2</f>
        <v>-57.747666666666667</v>
      </c>
      <c r="BB154" s="4">
        <f>'4.1 Comptes 2021 natures'!BB154/'4.1 Comptes 2021 natures'!BB2</f>
        <v>12.392665424044734</v>
      </c>
      <c r="BC154" s="4">
        <f>'4.1 Comptes 2021 natures'!BC154/'4.1 Comptes 2021 natures'!BC2</f>
        <v>253.02326086956521</v>
      </c>
      <c r="BD154" s="4">
        <f>'4.1 Comptes 2021 natures'!BD154/'4.1 Comptes 2021 natures'!BD2</f>
        <v>-52.645790287658521</v>
      </c>
      <c r="BE154" s="4">
        <f>'4.1 Comptes 2021 natures'!BE154/'4.1 Comptes 2021 natures'!BE2</f>
        <v>118.35041144901611</v>
      </c>
      <c r="BF154" s="4">
        <f t="shared" ref="BF154:BF155" si="102">SUM(E154:BE154)</f>
        <v>108.1426456949402</v>
      </c>
      <c r="BG154" s="4">
        <f t="shared" ref="BG154:BG155" si="103">SUM(E154:W154)</f>
        <v>-1742.5405564396033</v>
      </c>
      <c r="BH154" s="4">
        <f t="shared" ref="BH154:BH155" si="104">SUM(X154:AJ154)</f>
        <v>1394.1376947966735</v>
      </c>
      <c r="BI154" s="4">
        <f t="shared" ref="BI154:BI155" si="105">SUM(AK154:BE154)</f>
        <v>456.54550733787011</v>
      </c>
    </row>
    <row r="155" spans="1:61" x14ac:dyDescent="0.25">
      <c r="C155">
        <v>901</v>
      </c>
      <c r="D155" t="s">
        <v>197</v>
      </c>
      <c r="E155" s="4">
        <f>'4.1 Comptes 2021 natures'!E155/'4.1 Comptes 2021 natures'!E2</f>
        <v>213.889419218585</v>
      </c>
      <c r="F155" s="4">
        <f>'4.1 Comptes 2021 natures'!F155/'4.1 Comptes 2021 natures'!F2</f>
        <v>82.822528301886791</v>
      </c>
      <c r="G155" s="4">
        <f>'4.1 Comptes 2021 natures'!G155/'4.1 Comptes 2021 natures'!G2</f>
        <v>35.712857142857146</v>
      </c>
      <c r="H155" s="4">
        <f>'4.1 Comptes 2021 natures'!H155/'4.1 Comptes 2021 natures'!H2</f>
        <v>274.9919362186788</v>
      </c>
      <c r="I155" s="4">
        <f>'4.1 Comptes 2021 natures'!I155/'4.1 Comptes 2021 natures'!I2</f>
        <v>128.91784871244636</v>
      </c>
      <c r="J155" s="4">
        <f>'4.1 Comptes 2021 natures'!J155/'4.1 Comptes 2021 natures'!J2</f>
        <v>76.017094170403581</v>
      </c>
      <c r="K155" s="4">
        <f>'4.1 Comptes 2021 natures'!K155/'4.1 Comptes 2021 natures'!K2</f>
        <v>194.66435897435898</v>
      </c>
      <c r="L155" s="4">
        <f>'4.1 Comptes 2021 natures'!L155/'4.1 Comptes 2021 natures'!L2</f>
        <v>284.60563346421992</v>
      </c>
      <c r="M155" s="4">
        <f>'4.1 Comptes 2021 natures'!M155/'4.1 Comptes 2021 natures'!M2</f>
        <v>145.96100073583517</v>
      </c>
      <c r="N155" s="4">
        <f>'4.1 Comptes 2021 natures'!N155/'4.1 Comptes 2021 natures'!N2</f>
        <v>33.258632478632478</v>
      </c>
      <c r="O155" s="4">
        <f>'4.1 Comptes 2021 natures'!O155/'4.1 Comptes 2021 natures'!O2</f>
        <v>131.7494973144195</v>
      </c>
      <c r="P155" s="4">
        <f>'4.1 Comptes 2021 natures'!P155/'4.1 Comptes 2021 natures'!P2</f>
        <v>172.28975836431226</v>
      </c>
      <c r="Q155" s="4">
        <f>'4.1 Comptes 2021 natures'!Q155/'4.1 Comptes 2021 natures'!Q2</f>
        <v>192.5427927927928</v>
      </c>
      <c r="R155" s="4">
        <f>'4.1 Comptes 2021 natures'!R155/'4.1 Comptes 2021 natures'!R2</f>
        <v>24.695059382422805</v>
      </c>
      <c r="S155" s="4">
        <f>'4.1 Comptes 2021 natures'!S155/'4.1 Comptes 2021 natures'!S2</f>
        <v>251.20794797687861</v>
      </c>
      <c r="T155" s="4">
        <f>'4.1 Comptes 2021 natures'!T155/'4.1 Comptes 2021 natures'!T2</f>
        <v>329.57271830985917</v>
      </c>
      <c r="U155" s="4">
        <f>'4.1 Comptes 2021 natures'!U155/'4.1 Comptes 2021 natures'!U2</f>
        <v>71.24903345724907</v>
      </c>
      <c r="V155" s="4">
        <f>'4.1 Comptes 2021 natures'!V155/'4.1 Comptes 2021 natures'!V2</f>
        <v>78.867136363636362</v>
      </c>
      <c r="W155" s="4">
        <f>'4.1 Comptes 2021 natures'!W155/'4.1 Comptes 2021 natures'!W2</f>
        <v>119.15196965004647</v>
      </c>
      <c r="X155" s="4">
        <f>'4.1 Comptes 2021 natures'!X155/'4.1 Comptes 2021 natures'!X2</f>
        <v>46.17596774193548</v>
      </c>
      <c r="Y155" s="4">
        <f>'4.1 Comptes 2021 natures'!Y155/'4.1 Comptes 2021 natures'!Y2</f>
        <v>104.36507874015747</v>
      </c>
      <c r="Z155" s="4">
        <f>'4.1 Comptes 2021 natures'!Z155/'4.1 Comptes 2021 natures'!Z2</f>
        <v>129.35648738379814</v>
      </c>
      <c r="AA155" s="4">
        <f>'4.1 Comptes 2021 natures'!AA155/'4.1 Comptes 2021 natures'!AA2</f>
        <v>-33.818750000000001</v>
      </c>
      <c r="AB155" s="4">
        <f>'4.1 Comptes 2021 natures'!AB155/'4.1 Comptes 2021 natures'!AB2</f>
        <v>237.74141891891895</v>
      </c>
      <c r="AC155" s="4">
        <f>'4.1 Comptes 2021 natures'!AC155/'4.1 Comptes 2021 natures'!AC2</f>
        <v>-205.19816602316601</v>
      </c>
      <c r="AD155" s="4">
        <f>'4.1 Comptes 2021 natures'!AD155/'4.1 Comptes 2021 natures'!AD2</f>
        <v>100.57928673323823</v>
      </c>
      <c r="AE155" s="4">
        <f>'4.1 Comptes 2021 natures'!AE155/'4.1 Comptes 2021 natures'!AE2</f>
        <v>-178.39514184397163</v>
      </c>
      <c r="AF155" s="4">
        <f>'4.1 Comptes 2021 natures'!AF155/'4.1 Comptes 2021 natures'!AF2</f>
        <v>448.91375238095236</v>
      </c>
      <c r="AG155" s="4">
        <f>'4.1 Comptes 2021 natures'!AG155/'4.1 Comptes 2021 natures'!AG2</f>
        <v>73.139449973808269</v>
      </c>
      <c r="AH155" s="4">
        <f>'4.1 Comptes 2021 natures'!AH155/'4.1 Comptes 2021 natures'!AH2</f>
        <v>326.19952713178293</v>
      </c>
      <c r="AI155" s="4">
        <f>'4.1 Comptes 2021 natures'!AI155/'4.1 Comptes 2021 natures'!AI2</f>
        <v>-17.637837837837836</v>
      </c>
      <c r="AJ155" s="4">
        <f>'4.1 Comptes 2021 natures'!AJ155/'4.1 Comptes 2021 natures'!AJ2</f>
        <v>403.45155038759691</v>
      </c>
      <c r="AK155" s="4">
        <f>'4.1 Comptes 2021 natures'!AK155/'4.1 Comptes 2021 natures'!AK2</f>
        <v>78.436832363828657</v>
      </c>
      <c r="AL155" s="4">
        <f>'4.1 Comptes 2021 natures'!AL155/'4.1 Comptes 2021 natures'!AL2</f>
        <v>38.278081705150981</v>
      </c>
      <c r="AM155" s="4">
        <f>'4.1 Comptes 2021 natures'!AM155/'4.1 Comptes 2021 natures'!AM2</f>
        <v>16.459861224489796</v>
      </c>
      <c r="AN155" s="4">
        <f>'4.1 Comptes 2021 natures'!AN155/'4.1 Comptes 2021 natures'!AN2</f>
        <v>17.705641025641025</v>
      </c>
      <c r="AO155" s="4">
        <f>'4.1 Comptes 2021 natures'!AO155/'4.1 Comptes 2021 natures'!AO2</f>
        <v>136.11919831223628</v>
      </c>
      <c r="AP155" s="4">
        <f>'4.1 Comptes 2021 natures'!AP155/'4.1 Comptes 2021 natures'!AP2</f>
        <v>100.20816199376947</v>
      </c>
      <c r="AQ155" s="4">
        <f>'4.1 Comptes 2021 natures'!AQ155/'4.1 Comptes 2021 natures'!AQ2</f>
        <v>41.87518167456556</v>
      </c>
      <c r="AR155" s="4">
        <f>'4.1 Comptes 2021 natures'!AR155/'4.1 Comptes 2021 natures'!AR2</f>
        <v>52.118185358255452</v>
      </c>
      <c r="AS155" s="4">
        <f>'4.1 Comptes 2021 natures'!AS155/'4.1 Comptes 2021 natures'!AS2</f>
        <v>-42.790027359781121</v>
      </c>
      <c r="AT155" s="4">
        <f>'4.1 Comptes 2021 natures'!AT155/'4.1 Comptes 2021 natures'!AT2</f>
        <v>43.922293307086619</v>
      </c>
      <c r="AU155" s="4">
        <f>'4.1 Comptes 2021 natures'!AU155/'4.1 Comptes 2021 natures'!AU2</f>
        <v>97.828585526315791</v>
      </c>
      <c r="AV155" s="4">
        <f>'4.1 Comptes 2021 natures'!AV155/'4.1 Comptes 2021 natures'!AV2</f>
        <v>59.386368159203982</v>
      </c>
      <c r="AW155" s="4">
        <f>'4.1 Comptes 2021 natures'!AW155/'4.1 Comptes 2021 natures'!AW2</f>
        <v>33.04953741496599</v>
      </c>
      <c r="AX155" s="4">
        <f>'4.1 Comptes 2021 natures'!AX155/'4.1 Comptes 2021 natures'!AX2</f>
        <v>87.302972972972967</v>
      </c>
      <c r="AY155" s="4">
        <f>'4.1 Comptes 2021 natures'!AY155/'4.1 Comptes 2021 natures'!AY2</f>
        <v>144.35364705882353</v>
      </c>
      <c r="AZ155" s="4">
        <f>'4.1 Comptes 2021 natures'!AZ155/'4.1 Comptes 2021 natures'!AZ2</f>
        <v>10.513523865645256</v>
      </c>
      <c r="BA155" s="4">
        <f>'4.1 Comptes 2021 natures'!BA155/'4.1 Comptes 2021 natures'!BA2</f>
        <v>370.63551282051282</v>
      </c>
      <c r="BB155" s="4">
        <f>'4.1 Comptes 2021 natures'!BB155/'4.1 Comptes 2021 natures'!BB2</f>
        <v>113.01708294501398</v>
      </c>
      <c r="BC155" s="4">
        <f>'4.1 Comptes 2021 natures'!BC155/'4.1 Comptes 2021 natures'!BC2</f>
        <v>71.758967391304353</v>
      </c>
      <c r="BD155" s="4">
        <f>'4.1 Comptes 2021 natures'!BD155/'4.1 Comptes 2021 natures'!BD2</f>
        <v>153.37833436436748</v>
      </c>
      <c r="BE155" s="4">
        <f>'4.1 Comptes 2021 natures'!BE155/'4.1 Comptes 2021 natures'!BE2</f>
        <v>89.187352415026837</v>
      </c>
      <c r="BF155" s="4">
        <f t="shared" si="102"/>
        <v>5989.7851412561304</v>
      </c>
      <c r="BG155" s="4">
        <f t="shared" si="103"/>
        <v>2842.1672230295212</v>
      </c>
      <c r="BH155" s="4">
        <f t="shared" si="104"/>
        <v>1434.8726236872133</v>
      </c>
      <c r="BI155" s="4">
        <f t="shared" si="105"/>
        <v>1712.7452945393959</v>
      </c>
    </row>
    <row r="156" spans="1:61" x14ac:dyDescent="0.25">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row>
    <row r="157" spans="1:61" x14ac:dyDescent="0.25">
      <c r="D157" s="7" t="s">
        <v>198</v>
      </c>
      <c r="E157" s="31">
        <f>E154+E155</f>
        <v>47.44255543822598</v>
      </c>
      <c r="F157" s="31">
        <f t="shared" ref="F157:BI157" si="106">F154+F155</f>
        <v>-183.23516981132076</v>
      </c>
      <c r="G157" s="31">
        <f t="shared" si="106"/>
        <v>-202.19317697228144</v>
      </c>
      <c r="H157" s="31">
        <f t="shared" si="106"/>
        <v>241.71478359908883</v>
      </c>
      <c r="I157" s="31">
        <f t="shared" si="106"/>
        <v>136.67638680257511</v>
      </c>
      <c r="J157" s="31">
        <f t="shared" si="106"/>
        <v>106.22754559043348</v>
      </c>
      <c r="K157" s="31">
        <f t="shared" si="106"/>
        <v>196.70473981900452</v>
      </c>
      <c r="L157" s="31">
        <f t="shared" si="106"/>
        <v>284.60024841734116</v>
      </c>
      <c r="M157" s="31">
        <f t="shared" si="106"/>
        <v>212.11042678440032</v>
      </c>
      <c r="N157" s="31">
        <f t="shared" si="106"/>
        <v>-78.907008547008544</v>
      </c>
      <c r="O157" s="31">
        <f t="shared" si="106"/>
        <v>98.253955378047095</v>
      </c>
      <c r="P157" s="31">
        <f t="shared" si="106"/>
        <v>182.82934944237917</v>
      </c>
      <c r="Q157" s="31">
        <f t="shared" si="106"/>
        <v>-42.394684684684705</v>
      </c>
      <c r="R157" s="31">
        <f t="shared" si="106"/>
        <v>104.42586698337291</v>
      </c>
      <c r="S157" s="31">
        <f t="shared" si="106"/>
        <v>-141.46595375722549</v>
      </c>
      <c r="T157" s="31">
        <f t="shared" si="106"/>
        <v>766.21243661971835</v>
      </c>
      <c r="U157" s="31">
        <f t="shared" si="106"/>
        <v>-56.062862453531608</v>
      </c>
      <c r="V157" s="31">
        <f t="shared" si="106"/>
        <v>-714.59470454545453</v>
      </c>
      <c r="W157" s="31">
        <f t="shared" si="106"/>
        <v>141.28193248683803</v>
      </c>
      <c r="X157" s="31">
        <f t="shared" si="106"/>
        <v>447.38635483870968</v>
      </c>
      <c r="Y157" s="31">
        <f t="shared" si="106"/>
        <v>1390.826346456693</v>
      </c>
      <c r="Z157" s="31">
        <f t="shared" si="106"/>
        <v>743.75768924302781</v>
      </c>
      <c r="AA157" s="31">
        <f t="shared" si="106"/>
        <v>105.48447916666669</v>
      </c>
      <c r="AB157" s="31">
        <f t="shared" si="106"/>
        <v>7.6300000000000523</v>
      </c>
      <c r="AC157" s="31">
        <f t="shared" si="106"/>
        <v>-573.47138996138995</v>
      </c>
      <c r="AD157" s="31">
        <f t="shared" si="106"/>
        <v>6.5405991440798914</v>
      </c>
      <c r="AE157" s="31">
        <f t="shared" si="106"/>
        <v>-442.17053191489367</v>
      </c>
      <c r="AF157" s="31">
        <f t="shared" si="106"/>
        <v>145.53443809523804</v>
      </c>
      <c r="AG157" s="31">
        <f t="shared" si="106"/>
        <v>473.82278679937139</v>
      </c>
      <c r="AH157" s="31">
        <f t="shared" si="106"/>
        <v>337.10649612403097</v>
      </c>
      <c r="AI157" s="31">
        <f t="shared" si="106"/>
        <v>-166.97702702702702</v>
      </c>
      <c r="AJ157" s="31">
        <f t="shared" si="106"/>
        <v>353.54007751937985</v>
      </c>
      <c r="AK157" s="31">
        <f t="shared" si="106"/>
        <v>302.39241142252774</v>
      </c>
      <c r="AL157" s="31">
        <f t="shared" si="106"/>
        <v>40.042486678507998</v>
      </c>
      <c r="AM157" s="31">
        <f t="shared" si="106"/>
        <v>101.03564897959184</v>
      </c>
      <c r="AN157" s="31">
        <f t="shared" si="106"/>
        <v>53.245641025641021</v>
      </c>
      <c r="AO157" s="31">
        <f t="shared" si="106"/>
        <v>176.85036286919831</v>
      </c>
      <c r="AP157" s="31">
        <f t="shared" si="106"/>
        <v>312.00258566978192</v>
      </c>
      <c r="AQ157" s="31">
        <f t="shared" si="106"/>
        <v>52.102922590837281</v>
      </c>
      <c r="AR157" s="31">
        <f t="shared" si="106"/>
        <v>59.62514797507788</v>
      </c>
      <c r="AS157" s="31">
        <f t="shared" si="106"/>
        <v>1.7629958960328338</v>
      </c>
      <c r="AT157" s="31">
        <f t="shared" si="106"/>
        <v>-3.4084055118110186</v>
      </c>
      <c r="AU157" s="31">
        <f t="shared" si="106"/>
        <v>157.35154605263159</v>
      </c>
      <c r="AV157" s="31">
        <f t="shared" si="106"/>
        <v>107.13794361525706</v>
      </c>
      <c r="AW157" s="31">
        <f t="shared" si="106"/>
        <v>112.46368707482995</v>
      </c>
      <c r="AX157" s="31">
        <f t="shared" si="106"/>
        <v>-273.37794594594595</v>
      </c>
      <c r="AY157" s="31">
        <f t="shared" si="106"/>
        <v>-136.57058823529411</v>
      </c>
      <c r="AZ157" s="31">
        <f t="shared" si="106"/>
        <v>35.28423099587507</v>
      </c>
      <c r="BA157" s="31">
        <f t="shared" si="106"/>
        <v>312.88784615384617</v>
      </c>
      <c r="BB157" s="31">
        <f t="shared" si="106"/>
        <v>125.40974836905872</v>
      </c>
      <c r="BC157" s="31">
        <f t="shared" si="106"/>
        <v>324.78222826086954</v>
      </c>
      <c r="BD157" s="31">
        <f t="shared" si="106"/>
        <v>100.73254407670896</v>
      </c>
      <c r="BE157" s="31">
        <f t="shared" si="106"/>
        <v>207.53776386404294</v>
      </c>
      <c r="BF157" s="31">
        <f t="shared" si="106"/>
        <v>6097.9277869510706</v>
      </c>
      <c r="BG157" s="31">
        <f t="shared" si="106"/>
        <v>1099.6266665899179</v>
      </c>
      <c r="BH157" s="31">
        <f t="shared" si="106"/>
        <v>2829.0103184838867</v>
      </c>
      <c r="BI157" s="31">
        <f t="shared" si="106"/>
        <v>2169.2908018772659</v>
      </c>
    </row>
    <row r="158" spans="1:61" x14ac:dyDescent="0.25">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row>
    <row r="159" spans="1:61" x14ac:dyDescent="0.25">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row>
    <row r="160" spans="1:61" x14ac:dyDescent="0.25">
      <c r="D160" s="38" t="s">
        <v>68</v>
      </c>
      <c r="E160" s="31">
        <f t="shared" ref="E160:AJ160" si="107">E157-E153</f>
        <v>0</v>
      </c>
      <c r="F160" s="31">
        <f t="shared" si="107"/>
        <v>0</v>
      </c>
      <c r="G160" s="31">
        <f t="shared" si="107"/>
        <v>0</v>
      </c>
      <c r="H160" s="31">
        <f t="shared" si="107"/>
        <v>0</v>
      </c>
      <c r="I160" s="31">
        <f t="shared" si="107"/>
        <v>0</v>
      </c>
      <c r="J160" s="31">
        <f t="shared" si="107"/>
        <v>0</v>
      </c>
      <c r="K160" s="31">
        <f t="shared" si="107"/>
        <v>0</v>
      </c>
      <c r="L160" s="31">
        <f t="shared" si="107"/>
        <v>0</v>
      </c>
      <c r="M160" s="31">
        <f t="shared" si="107"/>
        <v>0</v>
      </c>
      <c r="N160" s="31">
        <f t="shared" si="107"/>
        <v>0</v>
      </c>
      <c r="O160" s="31">
        <f t="shared" si="107"/>
        <v>0</v>
      </c>
      <c r="P160" s="31">
        <f t="shared" si="107"/>
        <v>0</v>
      </c>
      <c r="Q160" s="31">
        <f t="shared" si="107"/>
        <v>0</v>
      </c>
      <c r="R160" s="31">
        <f t="shared" si="107"/>
        <v>0</v>
      </c>
      <c r="S160" s="31">
        <f t="shared" si="107"/>
        <v>0</v>
      </c>
      <c r="T160" s="31">
        <f t="shared" si="107"/>
        <v>0</v>
      </c>
      <c r="U160" s="31">
        <f t="shared" si="107"/>
        <v>0</v>
      </c>
      <c r="V160" s="31">
        <f t="shared" si="107"/>
        <v>0</v>
      </c>
      <c r="W160" s="31">
        <f t="shared" si="107"/>
        <v>0</v>
      </c>
      <c r="X160" s="31">
        <f t="shared" si="107"/>
        <v>0</v>
      </c>
      <c r="Y160" s="31">
        <f t="shared" si="107"/>
        <v>0</v>
      </c>
      <c r="Z160" s="31">
        <f t="shared" si="107"/>
        <v>0</v>
      </c>
      <c r="AA160" s="31">
        <f t="shared" si="107"/>
        <v>0</v>
      </c>
      <c r="AB160" s="31">
        <f t="shared" si="107"/>
        <v>0</v>
      </c>
      <c r="AC160" s="31">
        <f t="shared" si="107"/>
        <v>0</v>
      </c>
      <c r="AD160" s="31">
        <f t="shared" si="107"/>
        <v>0</v>
      </c>
      <c r="AE160" s="31">
        <f t="shared" si="107"/>
        <v>0</v>
      </c>
      <c r="AF160" s="31">
        <f t="shared" si="107"/>
        <v>0</v>
      </c>
      <c r="AG160" s="31">
        <f t="shared" si="107"/>
        <v>0</v>
      </c>
      <c r="AH160" s="31">
        <f t="shared" si="107"/>
        <v>0</v>
      </c>
      <c r="AI160" s="31">
        <f t="shared" si="107"/>
        <v>0</v>
      </c>
      <c r="AJ160" s="31">
        <f t="shared" si="107"/>
        <v>0</v>
      </c>
      <c r="AK160" s="31">
        <f t="shared" ref="AK160:BE160" si="108">AK157-AK153</f>
        <v>0</v>
      </c>
      <c r="AL160" s="31">
        <f t="shared" si="108"/>
        <v>0</v>
      </c>
      <c r="AM160" s="31">
        <f t="shared" si="108"/>
        <v>0</v>
      </c>
      <c r="AN160" s="31">
        <f t="shared" si="108"/>
        <v>0</v>
      </c>
      <c r="AO160" s="31">
        <f t="shared" si="108"/>
        <v>0</v>
      </c>
      <c r="AP160" s="31">
        <f t="shared" si="108"/>
        <v>0</v>
      </c>
      <c r="AQ160" s="31">
        <f t="shared" si="108"/>
        <v>0</v>
      </c>
      <c r="AR160" s="31">
        <f t="shared" si="108"/>
        <v>0</v>
      </c>
      <c r="AS160" s="31">
        <f t="shared" si="108"/>
        <v>0</v>
      </c>
      <c r="AT160" s="31">
        <f t="shared" si="108"/>
        <v>0</v>
      </c>
      <c r="AU160" s="31">
        <f t="shared" si="108"/>
        <v>0</v>
      </c>
      <c r="AV160" s="31">
        <f t="shared" si="108"/>
        <v>0</v>
      </c>
      <c r="AW160" s="31">
        <f t="shared" si="108"/>
        <v>0</v>
      </c>
      <c r="AX160" s="31">
        <f t="shared" si="108"/>
        <v>0</v>
      </c>
      <c r="AY160" s="31">
        <f t="shared" si="108"/>
        <v>0</v>
      </c>
      <c r="AZ160" s="31">
        <f t="shared" si="108"/>
        <v>0</v>
      </c>
      <c r="BA160" s="31">
        <f t="shared" si="108"/>
        <v>0</v>
      </c>
      <c r="BB160" s="31">
        <f t="shared" si="108"/>
        <v>0</v>
      </c>
      <c r="BC160" s="31">
        <f t="shared" si="108"/>
        <v>0</v>
      </c>
      <c r="BD160" s="31">
        <f t="shared" si="108"/>
        <v>0</v>
      </c>
      <c r="BE160" s="31">
        <f t="shared" si="108"/>
        <v>0</v>
      </c>
      <c r="BF160" s="31">
        <f>BF75-BF4</f>
        <v>6414.6784444654768</v>
      </c>
      <c r="BG160" s="31">
        <f>BG75-BG4</f>
        <v>1382.5585741043615</v>
      </c>
      <c r="BH160" s="31">
        <f>BH75-BH4</f>
        <v>2862.8290684839012</v>
      </c>
      <c r="BI160" s="31">
        <f>BI75-BI4</f>
        <v>2169.2908018772578</v>
      </c>
    </row>
    <row r="163" spans="3:61" x14ac:dyDescent="0.25">
      <c r="D163" s="7" t="s">
        <v>453</v>
      </c>
    </row>
    <row r="164" spans="3:61" x14ac:dyDescent="0.25">
      <c r="C164">
        <v>4021</v>
      </c>
      <c r="D164" t="s">
        <v>214</v>
      </c>
      <c r="E164" s="4">
        <f>'4.1 Comptes 2021 natures'!E163/'4.1 Comptes 2021 natures'!E2</f>
        <v>148.8202217529039</v>
      </c>
      <c r="F164" s="4">
        <f>'4.1 Comptes 2021 natures'!F163/'4.1 Comptes 2021 natures'!F2</f>
        <v>419.76037735849059</v>
      </c>
      <c r="G164" s="4">
        <f>'4.1 Comptes 2021 natures'!G163/'4.1 Comptes 2021 natures'!G2</f>
        <v>235.77100213219617</v>
      </c>
      <c r="H164" s="4">
        <f>'4.1 Comptes 2021 natures'!H163/'4.1 Comptes 2021 natures'!H2</f>
        <v>198.34305239179955</v>
      </c>
      <c r="I164" s="4">
        <f>'4.1 Comptes 2021 natures'!I163/'4.1 Comptes 2021 natures'!I2</f>
        <v>187.75004291845494</v>
      </c>
      <c r="J164" s="4">
        <f>'4.1 Comptes 2021 natures'!J163/'4.1 Comptes 2021 natures'!J2</f>
        <v>145.3870134529148</v>
      </c>
      <c r="K164" s="4">
        <f>'4.1 Comptes 2021 natures'!K163/'4.1 Comptes 2021 natures'!K2</f>
        <v>147.95895550527905</v>
      </c>
      <c r="L164" s="4">
        <f>'4.1 Comptes 2021 natures'!L163/'4.1 Comptes 2021 natures'!L2</f>
        <v>240.35391858321978</v>
      </c>
      <c r="M164" s="4">
        <f>'4.1 Comptes 2021 natures'!M163/'4.1 Comptes 2021 natures'!M2</f>
        <v>172.22019867549668</v>
      </c>
      <c r="N164" s="4">
        <f>'4.1 Comptes 2021 natures'!N163/'4.1 Comptes 2021 natures'!N2</f>
        <v>140.40170940170941</v>
      </c>
      <c r="O164" s="4">
        <f>'4.1 Comptes 2021 natures'!O163/'4.1 Comptes 2021 natures'!O2</f>
        <v>166.40036496350365</v>
      </c>
      <c r="P164" s="4">
        <f>'4.1 Comptes 2021 natures'!P163/'4.1 Comptes 2021 natures'!P2</f>
        <v>270.67325278810409</v>
      </c>
      <c r="Q164" s="4">
        <f>'4.1 Comptes 2021 natures'!Q163/'4.1 Comptes 2021 natures'!Q2</f>
        <v>182.45135135135135</v>
      </c>
      <c r="R164" s="4">
        <f>'4.1 Comptes 2021 natures'!R163/'4.1 Comptes 2021 natures'!R2</f>
        <v>164.02339667458435</v>
      </c>
      <c r="S164" s="4">
        <f>'4.1 Comptes 2021 natures'!S163/'4.1 Comptes 2021 natures'!S2</f>
        <v>221.05751445086705</v>
      </c>
      <c r="T164" s="4">
        <f>'4.1 Comptes 2021 natures'!T163/'4.1 Comptes 2021 natures'!T2</f>
        <v>156.22112676056338</v>
      </c>
      <c r="U164" s="4">
        <f>'4.1 Comptes 2021 natures'!U163/'4.1 Comptes 2021 natures'!U2</f>
        <v>152.35241635687734</v>
      </c>
      <c r="V164" s="4">
        <f>'4.1 Comptes 2021 natures'!V163/'4.1 Comptes 2021 natures'!V2</f>
        <v>213.44000000000003</v>
      </c>
      <c r="W164" s="4">
        <f>'4.1 Comptes 2021 natures'!W163/'4.1 Comptes 2021 natures'!W2</f>
        <v>175.96423041189223</v>
      </c>
      <c r="X164" s="4">
        <f>'4.1 Comptes 2021 natures'!X163/'4.1 Comptes 2021 natures'!X2</f>
        <v>161.36387096774195</v>
      </c>
      <c r="Y164" s="4">
        <f>'4.1 Comptes 2021 natures'!Y163/'4.1 Comptes 2021 natures'!Y2</f>
        <v>136.76007874015747</v>
      </c>
      <c r="Z164" s="4">
        <f>'4.1 Comptes 2021 natures'!Z163/'4.1 Comptes 2021 natures'!Z2</f>
        <v>170.9043160690571</v>
      </c>
      <c r="AA164" s="4">
        <f>'4.1 Comptes 2021 natures'!AA163/'4.1 Comptes 2021 natures'!AA2</f>
        <v>360.88124999999997</v>
      </c>
      <c r="AB164" s="4">
        <f>'4.1 Comptes 2021 natures'!AB163/'4.1 Comptes 2021 natures'!AB2</f>
        <v>263.87297297297295</v>
      </c>
      <c r="AC164" s="4">
        <f>'4.1 Comptes 2021 natures'!AC163/'4.1 Comptes 2021 natures'!AC2</f>
        <v>174.77992277992277</v>
      </c>
      <c r="AD164" s="4">
        <f>'4.1 Comptes 2021 natures'!AD163/'4.1 Comptes 2021 natures'!AD2</f>
        <v>191.47703281027103</v>
      </c>
      <c r="AE164" s="4">
        <f>'4.1 Comptes 2021 natures'!AE163/'4.1 Comptes 2021 natures'!AE2</f>
        <v>247.83563829787232</v>
      </c>
      <c r="AF164" s="4">
        <f>'4.1 Comptes 2021 natures'!AF163/'4.1 Comptes 2021 natures'!AF2</f>
        <v>279.17571428571426</v>
      </c>
      <c r="AG164" s="4">
        <f>'4.1 Comptes 2021 natures'!AG163/'4.1 Comptes 2021 natures'!AG2</f>
        <v>226.77242011524359</v>
      </c>
      <c r="AH164" s="4">
        <f>'4.1 Comptes 2021 natures'!AH163/'4.1 Comptes 2021 natures'!AH2</f>
        <v>189.15947674418604</v>
      </c>
      <c r="AI164" s="4">
        <f>'4.1 Comptes 2021 natures'!AI163/'4.1 Comptes 2021 natures'!AI2</f>
        <v>179.21531531531534</v>
      </c>
      <c r="AJ164" s="4">
        <f>'4.1 Comptes 2021 natures'!AJ163/'4.1 Comptes 2021 natures'!AJ2</f>
        <v>510.10077519379843</v>
      </c>
      <c r="AK164" s="4">
        <f>'4.1 Comptes 2021 natures'!AK163/'4.1 Comptes 2021 natures'!AK2</f>
        <v>239.41353781068219</v>
      </c>
      <c r="AL164" s="4">
        <f>'4.1 Comptes 2021 natures'!AL163/'4.1 Comptes 2021 natures'!AL2</f>
        <v>241.38121669626997</v>
      </c>
      <c r="AM164" s="4">
        <f>'4.1 Comptes 2021 natures'!AM163/'4.1 Comptes 2021 natures'!AM2</f>
        <v>166.73963265306122</v>
      </c>
      <c r="AN164" s="4">
        <f>'4.1 Comptes 2021 natures'!AN163/'4.1 Comptes 2021 natures'!AN2</f>
        <v>221.10042735042734</v>
      </c>
      <c r="AO164" s="4">
        <f>'4.1 Comptes 2021 natures'!AO163/'4.1 Comptes 2021 natures'!AO2</f>
        <v>68.916708860759499</v>
      </c>
      <c r="AP164" s="4">
        <f>'4.1 Comptes 2021 natures'!AP163/'4.1 Comptes 2021 natures'!AP2</f>
        <v>178.25498442367601</v>
      </c>
      <c r="AQ164" s="4">
        <f>'4.1 Comptes 2021 natures'!AQ163/'4.1 Comptes 2021 natures'!AQ2</f>
        <v>173.40331753554503</v>
      </c>
      <c r="AR164" s="4">
        <f>'4.1 Comptes 2021 natures'!AR163/'4.1 Comptes 2021 natures'!AR2</f>
        <v>291.64291277258565</v>
      </c>
      <c r="AS164" s="4">
        <f>'4.1 Comptes 2021 natures'!AS163/'4.1 Comptes 2021 natures'!AS2</f>
        <v>269.86796169630645</v>
      </c>
      <c r="AT164" s="4">
        <f>'4.1 Comptes 2021 natures'!AT163/'4.1 Comptes 2021 natures'!AT2</f>
        <v>222.47189960629922</v>
      </c>
      <c r="AU164" s="4">
        <f>'4.1 Comptes 2021 natures'!AU163/'4.1 Comptes 2021 natures'!AU2</f>
        <v>143.38667763157895</v>
      </c>
      <c r="AV164" s="4">
        <f>'4.1 Comptes 2021 natures'!AV163/'4.1 Comptes 2021 natures'!AV2</f>
        <v>216.17259535655057</v>
      </c>
      <c r="AW164" s="4">
        <f>'4.1 Comptes 2021 natures'!AW163/'4.1 Comptes 2021 natures'!AW2</f>
        <v>229.63149659863944</v>
      </c>
      <c r="AX164" s="4">
        <f>'4.1 Comptes 2021 natures'!AX163/'4.1 Comptes 2021 natures'!AX2</f>
        <v>250.32972972972973</v>
      </c>
      <c r="AY164" s="4">
        <f>'4.1 Comptes 2021 natures'!AY163/'4.1 Comptes 2021 natures'!AY2</f>
        <v>263.68205882352942</v>
      </c>
      <c r="AZ164" s="4">
        <f>'4.1 Comptes 2021 natures'!AZ163/'4.1 Comptes 2021 natures'!AZ2</f>
        <v>185.13768414849736</v>
      </c>
      <c r="BA164" s="4">
        <f>'4.1 Comptes 2021 natures'!BA163/'4.1 Comptes 2021 natures'!BA2</f>
        <v>291.74769230769232</v>
      </c>
      <c r="BB164" s="4">
        <f>'4.1 Comptes 2021 natures'!BB163/'4.1 Comptes 2021 natures'!BB2</f>
        <v>284.91199440820134</v>
      </c>
      <c r="BC164" s="4">
        <f>'4.1 Comptes 2021 natures'!BC163/'4.1 Comptes 2021 natures'!BC2</f>
        <v>161.56494565217392</v>
      </c>
      <c r="BD164" s="4">
        <f>'4.1 Comptes 2021 natures'!BD163/'4.1 Comptes 2021 natures'!BD2</f>
        <v>260.26785493349831</v>
      </c>
      <c r="BE164" s="4">
        <f>'4.1 Comptes 2021 natures'!BE163/'4.1 Comptes 2021 natures'!BE2</f>
        <v>215.86932021466905</v>
      </c>
      <c r="BF164" s="4">
        <f t="shared" ref="BF164:BF176" si="109">SUM(E164:BE164)</f>
        <v>11407.543579432837</v>
      </c>
      <c r="BG164" s="4">
        <f t="shared" ref="BG164:BG176" si="110">SUM(E164:W164)</f>
        <v>3739.3501459302079</v>
      </c>
      <c r="BH164" s="4">
        <f t="shared" ref="BH164:BH176" si="111">SUM(X164:AJ164)</f>
        <v>3092.2987842922539</v>
      </c>
      <c r="BI164" s="4">
        <f t="shared" ref="BI164:BI176" si="112">SUM(AK164:BE164)</f>
        <v>4575.8946492103742</v>
      </c>
    </row>
    <row r="165" spans="3:61" x14ac:dyDescent="0.25">
      <c r="C165">
        <v>4490</v>
      </c>
      <c r="D165" t="s">
        <v>215</v>
      </c>
      <c r="E165" s="4">
        <f>'4.1 Comptes 2021 natures'!E164/'4.1 Comptes 2021 natures'!E2</f>
        <v>0</v>
      </c>
      <c r="F165" s="4">
        <f>'4.1 Comptes 2021 natures'!F164/'4.1 Comptes 2021 natures'!F2</f>
        <v>0</v>
      </c>
      <c r="G165" s="4">
        <f>'4.1 Comptes 2021 natures'!G164/'4.1 Comptes 2021 natures'!G2</f>
        <v>0</v>
      </c>
      <c r="H165" s="4">
        <f>'4.1 Comptes 2021 natures'!H164/'4.1 Comptes 2021 natures'!H2</f>
        <v>0</v>
      </c>
      <c r="I165" s="4">
        <f>'4.1 Comptes 2021 natures'!I164/'4.1 Comptes 2021 natures'!I2</f>
        <v>0</v>
      </c>
      <c r="J165" s="4">
        <f>'4.1 Comptes 2021 natures'!J164/'4.1 Comptes 2021 natures'!J2</f>
        <v>0.25411061285500747</v>
      </c>
      <c r="K165" s="4">
        <f>'4.1 Comptes 2021 natures'!K164/'4.1 Comptes 2021 natures'!K2</f>
        <v>0</v>
      </c>
      <c r="L165" s="4">
        <f>'4.1 Comptes 2021 natures'!L164/'4.1 Comptes 2021 natures'!L2</f>
        <v>0</v>
      </c>
      <c r="M165" s="4">
        <f>'4.1 Comptes 2021 natures'!M164/'4.1 Comptes 2021 natures'!M2</f>
        <v>0</v>
      </c>
      <c r="N165" s="4">
        <f>'4.1 Comptes 2021 natures'!N164/'4.1 Comptes 2021 natures'!N2</f>
        <v>0</v>
      </c>
      <c r="O165" s="4">
        <f>'4.1 Comptes 2021 natures'!O164/'4.1 Comptes 2021 natures'!O2</f>
        <v>0</v>
      </c>
      <c r="P165" s="4">
        <f>'4.1 Comptes 2021 natures'!P164/'4.1 Comptes 2021 natures'!P2</f>
        <v>0</v>
      </c>
      <c r="Q165" s="4">
        <f>'4.1 Comptes 2021 natures'!Q164/'4.1 Comptes 2021 natures'!Q2</f>
        <v>0</v>
      </c>
      <c r="R165" s="4">
        <f>'4.1 Comptes 2021 natures'!R164/'4.1 Comptes 2021 natures'!R2</f>
        <v>0</v>
      </c>
      <c r="S165" s="4">
        <f>'4.1 Comptes 2021 natures'!S164/'4.1 Comptes 2021 natures'!S2</f>
        <v>0</v>
      </c>
      <c r="T165" s="4">
        <f>'4.1 Comptes 2021 natures'!T164/'4.1 Comptes 2021 natures'!T2</f>
        <v>0</v>
      </c>
      <c r="U165" s="4">
        <f>'4.1 Comptes 2021 natures'!U164/'4.1 Comptes 2021 natures'!U2</f>
        <v>0</v>
      </c>
      <c r="V165" s="4">
        <f>'4.1 Comptes 2021 natures'!V164/'4.1 Comptes 2021 natures'!V2</f>
        <v>0</v>
      </c>
      <c r="W165" s="4">
        <f>'4.1 Comptes 2021 natures'!W164/'4.1 Comptes 2021 natures'!W2</f>
        <v>0</v>
      </c>
      <c r="X165" s="4">
        <f>'4.1 Comptes 2021 natures'!X164/'4.1 Comptes 2021 natures'!X2</f>
        <v>0</v>
      </c>
      <c r="Y165" s="4">
        <f>'4.1 Comptes 2021 natures'!Y164/'4.1 Comptes 2021 natures'!Y2</f>
        <v>0</v>
      </c>
      <c r="Z165" s="4">
        <f>'4.1 Comptes 2021 natures'!Z164/'4.1 Comptes 2021 natures'!Z2</f>
        <v>0</v>
      </c>
      <c r="AA165" s="4">
        <f>'4.1 Comptes 2021 natures'!AA164/'4.1 Comptes 2021 natures'!AA2</f>
        <v>0</v>
      </c>
      <c r="AB165" s="4">
        <f>'4.1 Comptes 2021 natures'!AB164/'4.1 Comptes 2021 natures'!AB2</f>
        <v>0</v>
      </c>
      <c r="AC165" s="4">
        <f>'4.1 Comptes 2021 natures'!AC164/'4.1 Comptes 2021 natures'!AC2</f>
        <v>0</v>
      </c>
      <c r="AD165" s="4">
        <f>'4.1 Comptes 2021 natures'!AD164/'4.1 Comptes 2021 natures'!AD2</f>
        <v>0</v>
      </c>
      <c r="AE165" s="4">
        <f>'4.1 Comptes 2021 natures'!AE164/'4.1 Comptes 2021 natures'!AE2</f>
        <v>0</v>
      </c>
      <c r="AF165" s="4">
        <f>'4.1 Comptes 2021 natures'!AF164/'4.1 Comptes 2021 natures'!AF2</f>
        <v>0</v>
      </c>
      <c r="AG165" s="4">
        <f>'4.1 Comptes 2021 natures'!AG164/'4.1 Comptes 2021 natures'!AG2</f>
        <v>0</v>
      </c>
      <c r="AH165" s="4">
        <f>'4.1 Comptes 2021 natures'!AH164/'4.1 Comptes 2021 natures'!AH2</f>
        <v>0</v>
      </c>
      <c r="AI165" s="4">
        <f>'4.1 Comptes 2021 natures'!AI164/'4.1 Comptes 2021 natures'!AI2</f>
        <v>0</v>
      </c>
      <c r="AJ165" s="4">
        <f>'4.1 Comptes 2021 natures'!AJ164/'4.1 Comptes 2021 natures'!AJ2</f>
        <v>0</v>
      </c>
      <c r="AK165" s="4">
        <f>'4.1 Comptes 2021 natures'!AK164/'4.1 Comptes 2021 natures'!AK2</f>
        <v>0</v>
      </c>
      <c r="AL165" s="4">
        <f>'4.1 Comptes 2021 natures'!AL164/'4.1 Comptes 2021 natures'!AL2</f>
        <v>0</v>
      </c>
      <c r="AM165" s="4">
        <f>'4.1 Comptes 2021 natures'!AM164/'4.1 Comptes 2021 natures'!AM2</f>
        <v>0</v>
      </c>
      <c r="AN165" s="4">
        <f>'4.1 Comptes 2021 natures'!AN164/'4.1 Comptes 2021 natures'!AN2</f>
        <v>0</v>
      </c>
      <c r="AO165" s="4">
        <f>'4.1 Comptes 2021 natures'!AO164/'4.1 Comptes 2021 natures'!AO2</f>
        <v>0</v>
      </c>
      <c r="AP165" s="4">
        <f>'4.1 Comptes 2021 natures'!AP164/'4.1 Comptes 2021 natures'!AP2</f>
        <v>0</v>
      </c>
      <c r="AQ165" s="4">
        <f>'4.1 Comptes 2021 natures'!AQ164/'4.1 Comptes 2021 natures'!AQ2</f>
        <v>0</v>
      </c>
      <c r="AR165" s="4">
        <f>'4.1 Comptes 2021 natures'!AR164/'4.1 Comptes 2021 natures'!AR2</f>
        <v>0</v>
      </c>
      <c r="AS165" s="4">
        <f>'4.1 Comptes 2021 natures'!AS164/'4.1 Comptes 2021 natures'!AS2</f>
        <v>0</v>
      </c>
      <c r="AT165" s="4">
        <f>'4.1 Comptes 2021 natures'!AT164/'4.1 Comptes 2021 natures'!AT2</f>
        <v>0</v>
      </c>
      <c r="AU165" s="4">
        <f>'4.1 Comptes 2021 natures'!AU164/'4.1 Comptes 2021 natures'!AU2</f>
        <v>0</v>
      </c>
      <c r="AV165" s="4">
        <f>'4.1 Comptes 2021 natures'!AV164/'4.1 Comptes 2021 natures'!AV2</f>
        <v>0</v>
      </c>
      <c r="AW165" s="4">
        <f>'4.1 Comptes 2021 natures'!AW164/'4.1 Comptes 2021 natures'!AW2</f>
        <v>0</v>
      </c>
      <c r="AX165" s="4">
        <f>'4.1 Comptes 2021 natures'!AX164/'4.1 Comptes 2021 natures'!AX2</f>
        <v>0</v>
      </c>
      <c r="AY165" s="4">
        <f>'4.1 Comptes 2021 natures'!AY164/'4.1 Comptes 2021 natures'!AY2</f>
        <v>0</v>
      </c>
      <c r="AZ165" s="4">
        <f>'4.1 Comptes 2021 natures'!AZ164/'4.1 Comptes 2021 natures'!AZ2</f>
        <v>0</v>
      </c>
      <c r="BA165" s="4">
        <f>'4.1 Comptes 2021 natures'!BA164/'4.1 Comptes 2021 natures'!BA2</f>
        <v>0</v>
      </c>
      <c r="BB165" s="4">
        <f>'4.1 Comptes 2021 natures'!BB164/'4.1 Comptes 2021 natures'!BB2</f>
        <v>0</v>
      </c>
      <c r="BC165" s="4">
        <f>'4.1 Comptes 2021 natures'!BC164/'4.1 Comptes 2021 natures'!BC2</f>
        <v>0</v>
      </c>
      <c r="BD165" s="4">
        <f>'4.1 Comptes 2021 natures'!BD164/'4.1 Comptes 2021 natures'!BD2</f>
        <v>110.51623878750387</v>
      </c>
      <c r="BE165" s="4">
        <f>'4.1 Comptes 2021 natures'!BE164/'4.1 Comptes 2021 natures'!BE2</f>
        <v>0</v>
      </c>
      <c r="BF165" s="4">
        <f t="shared" si="109"/>
        <v>110.77034940035887</v>
      </c>
      <c r="BG165" s="4">
        <f t="shared" si="110"/>
        <v>0.25411061285500747</v>
      </c>
      <c r="BH165" s="4">
        <f t="shared" si="111"/>
        <v>0</v>
      </c>
      <c r="BI165" s="4">
        <f t="shared" si="112"/>
        <v>110.51623878750387</v>
      </c>
    </row>
    <row r="166" spans="3:61" x14ac:dyDescent="0.25">
      <c r="C166">
        <v>46227</v>
      </c>
      <c r="D166" t="s">
        <v>271</v>
      </c>
      <c r="E166" s="4" t="e">
        <f>'4.1 Comptes 2021 natures'!#REF!/'4.1 Comptes 2021 natures'!E2</f>
        <v>#REF!</v>
      </c>
      <c r="F166" s="4" t="e">
        <f>'4.1 Comptes 2021 natures'!#REF!/'4.1 Comptes 2021 natures'!F2</f>
        <v>#REF!</v>
      </c>
      <c r="G166" s="4" t="e">
        <f>'4.1 Comptes 2021 natures'!#REF!/'4.1 Comptes 2021 natures'!G2</f>
        <v>#REF!</v>
      </c>
      <c r="H166" s="4" t="e">
        <f>'4.1 Comptes 2021 natures'!#REF!/'4.1 Comptes 2021 natures'!H2</f>
        <v>#REF!</v>
      </c>
      <c r="I166" s="4" t="e">
        <f>'4.1 Comptes 2021 natures'!#REF!/'4.1 Comptes 2021 natures'!I2</f>
        <v>#REF!</v>
      </c>
      <c r="J166" s="4" t="e">
        <f>'4.1 Comptes 2021 natures'!#REF!/'4.1 Comptes 2021 natures'!J2</f>
        <v>#REF!</v>
      </c>
      <c r="K166" s="4" t="e">
        <f>'4.1 Comptes 2021 natures'!#REF!/'4.1 Comptes 2021 natures'!K2</f>
        <v>#REF!</v>
      </c>
      <c r="L166" s="4" t="e">
        <f>'4.1 Comptes 2021 natures'!#REF!/'4.1 Comptes 2021 natures'!L2</f>
        <v>#REF!</v>
      </c>
      <c r="M166" s="4" t="e">
        <f>'4.1 Comptes 2021 natures'!#REF!/'4.1 Comptes 2021 natures'!M2</f>
        <v>#REF!</v>
      </c>
      <c r="N166" s="4" t="e">
        <f>'4.1 Comptes 2021 natures'!#REF!/'4.1 Comptes 2021 natures'!N2</f>
        <v>#REF!</v>
      </c>
      <c r="O166" s="4" t="e">
        <f>'4.1 Comptes 2021 natures'!#REF!/'4.1 Comptes 2021 natures'!O2</f>
        <v>#REF!</v>
      </c>
      <c r="P166" s="4" t="e">
        <f>'4.1 Comptes 2021 natures'!#REF!/'4.1 Comptes 2021 natures'!P2</f>
        <v>#REF!</v>
      </c>
      <c r="Q166" s="4" t="e">
        <f>'4.1 Comptes 2021 natures'!#REF!/'4.1 Comptes 2021 natures'!Q2</f>
        <v>#REF!</v>
      </c>
      <c r="R166" s="4" t="e">
        <f>'4.1 Comptes 2021 natures'!#REF!/'4.1 Comptes 2021 natures'!R2</f>
        <v>#REF!</v>
      </c>
      <c r="S166" s="4" t="e">
        <f>'4.1 Comptes 2021 natures'!#REF!/'4.1 Comptes 2021 natures'!S2</f>
        <v>#REF!</v>
      </c>
      <c r="T166" s="4" t="e">
        <f>'4.1 Comptes 2021 natures'!#REF!/'4.1 Comptes 2021 natures'!T2</f>
        <v>#REF!</v>
      </c>
      <c r="U166" s="4" t="e">
        <f>'4.1 Comptes 2021 natures'!#REF!/'4.1 Comptes 2021 natures'!U2</f>
        <v>#REF!</v>
      </c>
      <c r="V166" s="4" t="e">
        <f>'4.1 Comptes 2021 natures'!#REF!/'4.1 Comptes 2021 natures'!V2</f>
        <v>#REF!</v>
      </c>
      <c r="W166" s="4" t="e">
        <f>'4.1 Comptes 2021 natures'!#REF!/'4.1 Comptes 2021 natures'!W2</f>
        <v>#REF!</v>
      </c>
      <c r="X166" s="4" t="e">
        <f>'4.1 Comptes 2021 natures'!#REF!/'4.1 Comptes 2021 natures'!X2</f>
        <v>#REF!</v>
      </c>
      <c r="Y166" s="4" t="e">
        <f>'4.1 Comptes 2021 natures'!#REF!/'4.1 Comptes 2021 natures'!Y2</f>
        <v>#REF!</v>
      </c>
      <c r="Z166" s="4" t="e">
        <f>'4.1 Comptes 2021 natures'!#REF!/'4.1 Comptes 2021 natures'!Z2</f>
        <v>#REF!</v>
      </c>
      <c r="AA166" s="4" t="e">
        <f>'4.1 Comptes 2021 natures'!#REF!/'4.1 Comptes 2021 natures'!AA2</f>
        <v>#REF!</v>
      </c>
      <c r="AB166" s="4" t="e">
        <f>'4.1 Comptes 2021 natures'!#REF!/'4.1 Comptes 2021 natures'!AB2</f>
        <v>#REF!</v>
      </c>
      <c r="AC166" s="4" t="e">
        <f>'4.1 Comptes 2021 natures'!#REF!/'4.1 Comptes 2021 natures'!AC2</f>
        <v>#REF!</v>
      </c>
      <c r="AD166" s="4" t="e">
        <f>'4.1 Comptes 2021 natures'!#REF!/'4.1 Comptes 2021 natures'!AD2</f>
        <v>#REF!</v>
      </c>
      <c r="AE166" s="4" t="e">
        <f>'4.1 Comptes 2021 natures'!#REF!/'4.1 Comptes 2021 natures'!AE2</f>
        <v>#REF!</v>
      </c>
      <c r="AF166" s="4" t="e">
        <f>'4.1 Comptes 2021 natures'!#REF!/'4.1 Comptes 2021 natures'!AF2</f>
        <v>#REF!</v>
      </c>
      <c r="AG166" s="4" t="e">
        <f>'4.1 Comptes 2021 natures'!#REF!/'4.1 Comptes 2021 natures'!AG2</f>
        <v>#REF!</v>
      </c>
      <c r="AH166" s="4" t="e">
        <f>'4.1 Comptes 2021 natures'!#REF!/'4.1 Comptes 2021 natures'!AH2</f>
        <v>#REF!</v>
      </c>
      <c r="AI166" s="4" t="e">
        <f>'4.1 Comptes 2021 natures'!#REF!/'4.1 Comptes 2021 natures'!AI2</f>
        <v>#REF!</v>
      </c>
      <c r="AJ166" s="4" t="e">
        <f>'4.1 Comptes 2021 natures'!#REF!/'4.1 Comptes 2021 natures'!AJ2</f>
        <v>#REF!</v>
      </c>
      <c r="AK166" s="4" t="e">
        <f>'4.1 Comptes 2021 natures'!#REF!/'4.1 Comptes 2021 natures'!AK2</f>
        <v>#REF!</v>
      </c>
      <c r="AL166" s="4" t="e">
        <f>'4.1 Comptes 2021 natures'!#REF!/'4.1 Comptes 2021 natures'!AL2</f>
        <v>#REF!</v>
      </c>
      <c r="AM166" s="4" t="e">
        <f>'4.1 Comptes 2021 natures'!#REF!/'4.1 Comptes 2021 natures'!AM2</f>
        <v>#REF!</v>
      </c>
      <c r="AN166" s="4" t="e">
        <f>'4.1 Comptes 2021 natures'!#REF!/'4.1 Comptes 2021 natures'!AN2</f>
        <v>#REF!</v>
      </c>
      <c r="AO166" s="4" t="e">
        <f>'4.1 Comptes 2021 natures'!#REF!/'4.1 Comptes 2021 natures'!AO2</f>
        <v>#REF!</v>
      </c>
      <c r="AP166" s="4" t="e">
        <f>'4.1 Comptes 2021 natures'!#REF!/'4.1 Comptes 2021 natures'!AP2</f>
        <v>#REF!</v>
      </c>
      <c r="AQ166" s="4" t="e">
        <f>'4.1 Comptes 2021 natures'!#REF!/'4.1 Comptes 2021 natures'!AQ2</f>
        <v>#REF!</v>
      </c>
      <c r="AR166" s="4" t="e">
        <f>'4.1 Comptes 2021 natures'!#REF!/'4.1 Comptes 2021 natures'!AR2</f>
        <v>#REF!</v>
      </c>
      <c r="AS166" s="4" t="e">
        <f>'4.1 Comptes 2021 natures'!#REF!/'4.1 Comptes 2021 natures'!AS2</f>
        <v>#REF!</v>
      </c>
      <c r="AT166" s="4" t="e">
        <f>'4.1 Comptes 2021 natures'!#REF!/'4.1 Comptes 2021 natures'!AT2</f>
        <v>#REF!</v>
      </c>
      <c r="AU166" s="4" t="e">
        <f>'4.1 Comptes 2021 natures'!#REF!/'4.1 Comptes 2021 natures'!AU2</f>
        <v>#REF!</v>
      </c>
      <c r="AV166" s="4" t="e">
        <f>'4.1 Comptes 2021 natures'!#REF!/'4.1 Comptes 2021 natures'!AV2</f>
        <v>#REF!</v>
      </c>
      <c r="AW166" s="4" t="e">
        <f>'4.1 Comptes 2021 natures'!#REF!/'4.1 Comptes 2021 natures'!AW2</f>
        <v>#REF!</v>
      </c>
      <c r="AX166" s="4" t="e">
        <f>'4.1 Comptes 2021 natures'!#REF!/'4.1 Comptes 2021 natures'!AX2</f>
        <v>#REF!</v>
      </c>
      <c r="AY166" s="4" t="e">
        <f>'4.1 Comptes 2021 natures'!#REF!/'4.1 Comptes 2021 natures'!AY2</f>
        <v>#REF!</v>
      </c>
      <c r="AZ166" s="4" t="e">
        <f>'4.1 Comptes 2021 natures'!#REF!/'4.1 Comptes 2021 natures'!AZ2</f>
        <v>#REF!</v>
      </c>
      <c r="BA166" s="4" t="e">
        <f>'4.1 Comptes 2021 natures'!#REF!/'4.1 Comptes 2021 natures'!BA2</f>
        <v>#REF!</v>
      </c>
      <c r="BB166" s="4" t="e">
        <f>'4.1 Comptes 2021 natures'!#REF!/'4.1 Comptes 2021 natures'!BB2</f>
        <v>#REF!</v>
      </c>
      <c r="BC166" s="4" t="e">
        <f>'4.1 Comptes 2021 natures'!#REF!/'4.1 Comptes 2021 natures'!BC2</f>
        <v>#REF!</v>
      </c>
      <c r="BD166" s="4" t="e">
        <f>'4.1 Comptes 2021 natures'!#REF!/'4.1 Comptes 2021 natures'!BD2</f>
        <v>#REF!</v>
      </c>
      <c r="BE166" s="4" t="e">
        <f>'4.1 Comptes 2021 natures'!#REF!/'4.1 Comptes 2021 natures'!BE2</f>
        <v>#REF!</v>
      </c>
      <c r="BF166" s="4" t="e">
        <f t="shared" si="109"/>
        <v>#REF!</v>
      </c>
      <c r="BG166" s="4" t="e">
        <f t="shared" si="110"/>
        <v>#REF!</v>
      </c>
      <c r="BH166" s="4" t="e">
        <f t="shared" si="111"/>
        <v>#REF!</v>
      </c>
      <c r="BI166" s="4" t="e">
        <f t="shared" si="112"/>
        <v>#REF!</v>
      </c>
    </row>
    <row r="167" spans="3:61" x14ac:dyDescent="0.25">
      <c r="C167">
        <v>46228</v>
      </c>
      <c r="D167" t="s">
        <v>272</v>
      </c>
      <c r="E167" s="4" t="e">
        <f>'4.1 Comptes 2021 natures'!#REF!/'4.1 Comptes 2021 natures'!E2</f>
        <v>#REF!</v>
      </c>
      <c r="F167" s="4" t="e">
        <f>'4.1 Comptes 2021 natures'!#REF!/'4.1 Comptes 2021 natures'!F2</f>
        <v>#REF!</v>
      </c>
      <c r="G167" s="4" t="e">
        <f>'4.1 Comptes 2021 natures'!#REF!/'4.1 Comptes 2021 natures'!G2</f>
        <v>#REF!</v>
      </c>
      <c r="H167" s="4" t="e">
        <f>'4.1 Comptes 2021 natures'!#REF!/'4.1 Comptes 2021 natures'!H2</f>
        <v>#REF!</v>
      </c>
      <c r="I167" s="4" t="e">
        <f>'4.1 Comptes 2021 natures'!#REF!/'4.1 Comptes 2021 natures'!I2</f>
        <v>#REF!</v>
      </c>
      <c r="J167" s="4" t="e">
        <f>'4.1 Comptes 2021 natures'!#REF!/'4.1 Comptes 2021 natures'!J2</f>
        <v>#REF!</v>
      </c>
      <c r="K167" s="4" t="e">
        <f>'4.1 Comptes 2021 natures'!#REF!/'4.1 Comptes 2021 natures'!K2</f>
        <v>#REF!</v>
      </c>
      <c r="L167" s="4" t="e">
        <f>'4.1 Comptes 2021 natures'!#REF!/'4.1 Comptes 2021 natures'!L2</f>
        <v>#REF!</v>
      </c>
      <c r="M167" s="4" t="e">
        <f>'4.1 Comptes 2021 natures'!#REF!/'4.1 Comptes 2021 natures'!M2</f>
        <v>#REF!</v>
      </c>
      <c r="N167" s="4" t="e">
        <f>'4.1 Comptes 2021 natures'!#REF!/'4.1 Comptes 2021 natures'!N2</f>
        <v>#REF!</v>
      </c>
      <c r="O167" s="4" t="e">
        <f>'4.1 Comptes 2021 natures'!#REF!/'4.1 Comptes 2021 natures'!O2</f>
        <v>#REF!</v>
      </c>
      <c r="P167" s="4" t="e">
        <f>'4.1 Comptes 2021 natures'!#REF!/'4.1 Comptes 2021 natures'!P2</f>
        <v>#REF!</v>
      </c>
      <c r="Q167" s="4" t="e">
        <f>'4.1 Comptes 2021 natures'!#REF!/'4.1 Comptes 2021 natures'!Q2</f>
        <v>#REF!</v>
      </c>
      <c r="R167" s="4" t="e">
        <f>'4.1 Comptes 2021 natures'!#REF!/'4.1 Comptes 2021 natures'!R2</f>
        <v>#REF!</v>
      </c>
      <c r="S167" s="4" t="e">
        <f>'4.1 Comptes 2021 natures'!#REF!/'4.1 Comptes 2021 natures'!S2</f>
        <v>#REF!</v>
      </c>
      <c r="T167" s="4" t="e">
        <f>'4.1 Comptes 2021 natures'!#REF!/'4.1 Comptes 2021 natures'!T2</f>
        <v>#REF!</v>
      </c>
      <c r="U167" s="4" t="e">
        <f>'4.1 Comptes 2021 natures'!#REF!/'4.1 Comptes 2021 natures'!U2</f>
        <v>#REF!</v>
      </c>
      <c r="V167" s="4" t="e">
        <f>'4.1 Comptes 2021 natures'!#REF!/'4.1 Comptes 2021 natures'!V2</f>
        <v>#REF!</v>
      </c>
      <c r="W167" s="4" t="e">
        <f>'4.1 Comptes 2021 natures'!#REF!/'4.1 Comptes 2021 natures'!W2</f>
        <v>#REF!</v>
      </c>
      <c r="X167" s="4" t="e">
        <f>'4.1 Comptes 2021 natures'!#REF!/'4.1 Comptes 2021 natures'!X2</f>
        <v>#REF!</v>
      </c>
      <c r="Y167" s="4" t="e">
        <f>'4.1 Comptes 2021 natures'!#REF!/'4.1 Comptes 2021 natures'!Y2</f>
        <v>#REF!</v>
      </c>
      <c r="Z167" s="4" t="e">
        <f>'4.1 Comptes 2021 natures'!#REF!/'4.1 Comptes 2021 natures'!Z2</f>
        <v>#REF!</v>
      </c>
      <c r="AA167" s="4" t="e">
        <f>'4.1 Comptes 2021 natures'!#REF!/'4.1 Comptes 2021 natures'!AA2</f>
        <v>#REF!</v>
      </c>
      <c r="AB167" s="4" t="e">
        <f>'4.1 Comptes 2021 natures'!#REF!/'4.1 Comptes 2021 natures'!AB2</f>
        <v>#REF!</v>
      </c>
      <c r="AC167" s="4" t="e">
        <f>'4.1 Comptes 2021 natures'!#REF!/'4.1 Comptes 2021 natures'!AC2</f>
        <v>#REF!</v>
      </c>
      <c r="AD167" s="4" t="e">
        <f>'4.1 Comptes 2021 natures'!#REF!/'4.1 Comptes 2021 natures'!AD2</f>
        <v>#REF!</v>
      </c>
      <c r="AE167" s="4" t="e">
        <f>'4.1 Comptes 2021 natures'!#REF!/'4.1 Comptes 2021 natures'!AE2</f>
        <v>#REF!</v>
      </c>
      <c r="AF167" s="4" t="e">
        <f>'4.1 Comptes 2021 natures'!#REF!/'4.1 Comptes 2021 natures'!AF2</f>
        <v>#REF!</v>
      </c>
      <c r="AG167" s="4" t="e">
        <f>'4.1 Comptes 2021 natures'!#REF!/'4.1 Comptes 2021 natures'!AG2</f>
        <v>#REF!</v>
      </c>
      <c r="AH167" s="4" t="e">
        <f>'4.1 Comptes 2021 natures'!#REF!/'4.1 Comptes 2021 natures'!AH2</f>
        <v>#REF!</v>
      </c>
      <c r="AI167" s="4" t="e">
        <f>'4.1 Comptes 2021 natures'!#REF!/'4.1 Comptes 2021 natures'!AI2</f>
        <v>#REF!</v>
      </c>
      <c r="AJ167" s="4" t="e">
        <f>'4.1 Comptes 2021 natures'!#REF!/'4.1 Comptes 2021 natures'!AJ2</f>
        <v>#REF!</v>
      </c>
      <c r="AK167" s="4" t="e">
        <f>'4.1 Comptes 2021 natures'!#REF!/'4.1 Comptes 2021 natures'!AK2</f>
        <v>#REF!</v>
      </c>
      <c r="AL167" s="4" t="e">
        <f>'4.1 Comptes 2021 natures'!#REF!/'4.1 Comptes 2021 natures'!AL2</f>
        <v>#REF!</v>
      </c>
      <c r="AM167" s="4" t="e">
        <f>'4.1 Comptes 2021 natures'!#REF!/'4.1 Comptes 2021 natures'!AM2</f>
        <v>#REF!</v>
      </c>
      <c r="AN167" s="4" t="e">
        <f>'4.1 Comptes 2021 natures'!#REF!/'4.1 Comptes 2021 natures'!AN2</f>
        <v>#REF!</v>
      </c>
      <c r="AO167" s="4" t="e">
        <f>'4.1 Comptes 2021 natures'!#REF!/'4.1 Comptes 2021 natures'!AO2</f>
        <v>#REF!</v>
      </c>
      <c r="AP167" s="4" t="e">
        <f>'4.1 Comptes 2021 natures'!#REF!/'4.1 Comptes 2021 natures'!AP2</f>
        <v>#REF!</v>
      </c>
      <c r="AQ167" s="4" t="e">
        <f>'4.1 Comptes 2021 natures'!#REF!/'4.1 Comptes 2021 natures'!AQ2</f>
        <v>#REF!</v>
      </c>
      <c r="AR167" s="4" t="e">
        <f>'4.1 Comptes 2021 natures'!#REF!/'4.1 Comptes 2021 natures'!AR2</f>
        <v>#REF!</v>
      </c>
      <c r="AS167" s="4" t="e">
        <f>'4.1 Comptes 2021 natures'!#REF!/'4.1 Comptes 2021 natures'!AS2</f>
        <v>#REF!</v>
      </c>
      <c r="AT167" s="4" t="e">
        <f>'4.1 Comptes 2021 natures'!#REF!/'4.1 Comptes 2021 natures'!AT2</f>
        <v>#REF!</v>
      </c>
      <c r="AU167" s="4" t="e">
        <f>'4.1 Comptes 2021 natures'!#REF!/'4.1 Comptes 2021 natures'!AU2</f>
        <v>#REF!</v>
      </c>
      <c r="AV167" s="4" t="e">
        <f>'4.1 Comptes 2021 natures'!#REF!/'4.1 Comptes 2021 natures'!AV2</f>
        <v>#REF!</v>
      </c>
      <c r="AW167" s="4" t="e">
        <f>'4.1 Comptes 2021 natures'!#REF!/'4.1 Comptes 2021 natures'!AW2</f>
        <v>#REF!</v>
      </c>
      <c r="AX167" s="4" t="e">
        <f>'4.1 Comptes 2021 natures'!#REF!/'4.1 Comptes 2021 natures'!AX2</f>
        <v>#REF!</v>
      </c>
      <c r="AY167" s="4" t="e">
        <f>'4.1 Comptes 2021 natures'!#REF!/'4.1 Comptes 2021 natures'!AY2</f>
        <v>#REF!</v>
      </c>
      <c r="AZ167" s="4" t="e">
        <f>'4.1 Comptes 2021 natures'!#REF!/'4.1 Comptes 2021 natures'!AZ2</f>
        <v>#REF!</v>
      </c>
      <c r="BA167" s="4" t="e">
        <f>'4.1 Comptes 2021 natures'!#REF!/'4.1 Comptes 2021 natures'!BA2</f>
        <v>#REF!</v>
      </c>
      <c r="BB167" s="4" t="e">
        <f>'4.1 Comptes 2021 natures'!#REF!/'4.1 Comptes 2021 natures'!BB2</f>
        <v>#REF!</v>
      </c>
      <c r="BC167" s="4" t="e">
        <f>'4.1 Comptes 2021 natures'!#REF!/'4.1 Comptes 2021 natures'!BC2</f>
        <v>#REF!</v>
      </c>
      <c r="BD167" s="4" t="e">
        <f>'4.1 Comptes 2021 natures'!#REF!/'4.1 Comptes 2021 natures'!BD2</f>
        <v>#REF!</v>
      </c>
      <c r="BE167" s="4" t="e">
        <f>'4.1 Comptes 2021 natures'!#REF!/'4.1 Comptes 2021 natures'!BE2</f>
        <v>#REF!</v>
      </c>
      <c r="BF167" s="4" t="e">
        <f t="shared" si="109"/>
        <v>#REF!</v>
      </c>
      <c r="BG167" s="4" t="e">
        <f t="shared" si="110"/>
        <v>#REF!</v>
      </c>
      <c r="BH167" s="4" t="e">
        <f t="shared" si="111"/>
        <v>#REF!</v>
      </c>
      <c r="BI167" s="4" t="e">
        <f t="shared" si="112"/>
        <v>#REF!</v>
      </c>
    </row>
    <row r="168" spans="3:61" x14ac:dyDescent="0.25">
      <c r="C168">
        <v>4896</v>
      </c>
      <c r="D168" t="s">
        <v>273</v>
      </c>
      <c r="E168" s="4" t="e">
        <f>'4.1 Comptes 2021 natures'!#REF!/'4.1 Comptes 2021 natures'!E2</f>
        <v>#REF!</v>
      </c>
      <c r="F168" s="4" t="e">
        <f>'4.1 Comptes 2021 natures'!#REF!/'4.1 Comptes 2021 natures'!F2</f>
        <v>#REF!</v>
      </c>
      <c r="G168" s="4" t="e">
        <f>'4.1 Comptes 2021 natures'!#REF!/'4.1 Comptes 2021 natures'!G2</f>
        <v>#REF!</v>
      </c>
      <c r="H168" s="4" t="e">
        <f>'4.1 Comptes 2021 natures'!#REF!/'4.1 Comptes 2021 natures'!H2</f>
        <v>#REF!</v>
      </c>
      <c r="I168" s="4" t="e">
        <f>'4.1 Comptes 2021 natures'!#REF!/'4.1 Comptes 2021 natures'!I2</f>
        <v>#REF!</v>
      </c>
      <c r="J168" s="4" t="e">
        <f>'4.1 Comptes 2021 natures'!#REF!/'4.1 Comptes 2021 natures'!J2</f>
        <v>#REF!</v>
      </c>
      <c r="K168" s="4" t="e">
        <f>'4.1 Comptes 2021 natures'!#REF!/'4.1 Comptes 2021 natures'!K2</f>
        <v>#REF!</v>
      </c>
      <c r="L168" s="4" t="e">
        <f>'4.1 Comptes 2021 natures'!#REF!/'4.1 Comptes 2021 natures'!L2</f>
        <v>#REF!</v>
      </c>
      <c r="M168" s="4" t="e">
        <f>'4.1 Comptes 2021 natures'!#REF!/'4.1 Comptes 2021 natures'!M2</f>
        <v>#REF!</v>
      </c>
      <c r="N168" s="4" t="e">
        <f>'4.1 Comptes 2021 natures'!#REF!/'4.1 Comptes 2021 natures'!N2</f>
        <v>#REF!</v>
      </c>
      <c r="O168" s="4" t="e">
        <f>'4.1 Comptes 2021 natures'!#REF!/'4.1 Comptes 2021 natures'!O2</f>
        <v>#REF!</v>
      </c>
      <c r="P168" s="4" t="e">
        <f>'4.1 Comptes 2021 natures'!#REF!/'4.1 Comptes 2021 natures'!P2</f>
        <v>#REF!</v>
      </c>
      <c r="Q168" s="4" t="e">
        <f>'4.1 Comptes 2021 natures'!#REF!/'4.1 Comptes 2021 natures'!Q2</f>
        <v>#REF!</v>
      </c>
      <c r="R168" s="4" t="e">
        <f>'4.1 Comptes 2021 natures'!#REF!/'4.1 Comptes 2021 natures'!R2</f>
        <v>#REF!</v>
      </c>
      <c r="S168" s="4" t="e">
        <f>'4.1 Comptes 2021 natures'!#REF!/'4.1 Comptes 2021 natures'!S2</f>
        <v>#REF!</v>
      </c>
      <c r="T168" s="4" t="e">
        <f>'4.1 Comptes 2021 natures'!#REF!/'4.1 Comptes 2021 natures'!T2</f>
        <v>#REF!</v>
      </c>
      <c r="U168" s="4" t="e">
        <f>'4.1 Comptes 2021 natures'!#REF!/'4.1 Comptes 2021 natures'!U2</f>
        <v>#REF!</v>
      </c>
      <c r="V168" s="4" t="e">
        <f>'4.1 Comptes 2021 natures'!#REF!/'4.1 Comptes 2021 natures'!V2</f>
        <v>#REF!</v>
      </c>
      <c r="W168" s="4" t="e">
        <f>'4.1 Comptes 2021 natures'!#REF!/'4.1 Comptes 2021 natures'!W2</f>
        <v>#REF!</v>
      </c>
      <c r="X168" s="4" t="e">
        <f>'4.1 Comptes 2021 natures'!#REF!/'4.1 Comptes 2021 natures'!X2</f>
        <v>#REF!</v>
      </c>
      <c r="Y168" s="4" t="e">
        <f>'4.1 Comptes 2021 natures'!#REF!/'4.1 Comptes 2021 natures'!Y2</f>
        <v>#REF!</v>
      </c>
      <c r="Z168" s="4" t="e">
        <f>'4.1 Comptes 2021 natures'!#REF!/'4.1 Comptes 2021 natures'!Z2</f>
        <v>#REF!</v>
      </c>
      <c r="AA168" s="4" t="e">
        <f>'4.1 Comptes 2021 natures'!#REF!/'4.1 Comptes 2021 natures'!AA2</f>
        <v>#REF!</v>
      </c>
      <c r="AB168" s="4" t="e">
        <f>'4.1 Comptes 2021 natures'!#REF!/'4.1 Comptes 2021 natures'!AB2</f>
        <v>#REF!</v>
      </c>
      <c r="AC168" s="4" t="e">
        <f>'4.1 Comptes 2021 natures'!#REF!/'4.1 Comptes 2021 natures'!AC2</f>
        <v>#REF!</v>
      </c>
      <c r="AD168" s="4" t="e">
        <f>'4.1 Comptes 2021 natures'!#REF!/'4.1 Comptes 2021 natures'!AD2</f>
        <v>#REF!</v>
      </c>
      <c r="AE168" s="4" t="e">
        <f>'4.1 Comptes 2021 natures'!#REF!/'4.1 Comptes 2021 natures'!AE2</f>
        <v>#REF!</v>
      </c>
      <c r="AF168" s="4" t="e">
        <f>'4.1 Comptes 2021 natures'!#REF!/'4.1 Comptes 2021 natures'!AF2</f>
        <v>#REF!</v>
      </c>
      <c r="AG168" s="4" t="e">
        <f>'4.1 Comptes 2021 natures'!#REF!/'4.1 Comptes 2021 natures'!AG2</f>
        <v>#REF!</v>
      </c>
      <c r="AH168" s="4" t="e">
        <f>'4.1 Comptes 2021 natures'!#REF!/'4.1 Comptes 2021 natures'!AH2</f>
        <v>#REF!</v>
      </c>
      <c r="AI168" s="4" t="e">
        <f>'4.1 Comptes 2021 natures'!#REF!/'4.1 Comptes 2021 natures'!AI2</f>
        <v>#REF!</v>
      </c>
      <c r="AJ168" s="4" t="e">
        <f>'4.1 Comptes 2021 natures'!#REF!/'4.1 Comptes 2021 natures'!AJ2</f>
        <v>#REF!</v>
      </c>
      <c r="AK168" s="4" t="e">
        <f>'4.1 Comptes 2021 natures'!#REF!/'4.1 Comptes 2021 natures'!AK2</f>
        <v>#REF!</v>
      </c>
      <c r="AL168" s="4" t="e">
        <f>'4.1 Comptes 2021 natures'!#REF!/'4.1 Comptes 2021 natures'!AL2</f>
        <v>#REF!</v>
      </c>
      <c r="AM168" s="4" t="e">
        <f>'4.1 Comptes 2021 natures'!#REF!/'4.1 Comptes 2021 natures'!AM2</f>
        <v>#REF!</v>
      </c>
      <c r="AN168" s="4" t="e">
        <f>'4.1 Comptes 2021 natures'!#REF!/'4.1 Comptes 2021 natures'!AN2</f>
        <v>#REF!</v>
      </c>
      <c r="AO168" s="4" t="e">
        <f>'4.1 Comptes 2021 natures'!#REF!/'4.1 Comptes 2021 natures'!AO2</f>
        <v>#REF!</v>
      </c>
      <c r="AP168" s="4" t="e">
        <f>'4.1 Comptes 2021 natures'!#REF!/'4.1 Comptes 2021 natures'!AP2</f>
        <v>#REF!</v>
      </c>
      <c r="AQ168" s="4" t="e">
        <f>'4.1 Comptes 2021 natures'!#REF!/'4.1 Comptes 2021 natures'!AQ2</f>
        <v>#REF!</v>
      </c>
      <c r="AR168" s="4" t="e">
        <f>'4.1 Comptes 2021 natures'!#REF!/'4.1 Comptes 2021 natures'!AR2</f>
        <v>#REF!</v>
      </c>
      <c r="AS168" s="4" t="e">
        <f>'4.1 Comptes 2021 natures'!#REF!/'4.1 Comptes 2021 natures'!AS2</f>
        <v>#REF!</v>
      </c>
      <c r="AT168" s="4" t="e">
        <f>'4.1 Comptes 2021 natures'!#REF!/'4.1 Comptes 2021 natures'!AT2</f>
        <v>#REF!</v>
      </c>
      <c r="AU168" s="4" t="e">
        <f>'4.1 Comptes 2021 natures'!#REF!/'4.1 Comptes 2021 natures'!AU2</f>
        <v>#REF!</v>
      </c>
      <c r="AV168" s="4" t="e">
        <f>'4.1 Comptes 2021 natures'!#REF!/'4.1 Comptes 2021 natures'!AV2</f>
        <v>#REF!</v>
      </c>
      <c r="AW168" s="4" t="e">
        <f>'4.1 Comptes 2021 natures'!#REF!/'4.1 Comptes 2021 natures'!AW2</f>
        <v>#REF!</v>
      </c>
      <c r="AX168" s="4" t="e">
        <f>'4.1 Comptes 2021 natures'!#REF!/'4.1 Comptes 2021 natures'!AX2</f>
        <v>#REF!</v>
      </c>
      <c r="AY168" s="4" t="e">
        <f>'4.1 Comptes 2021 natures'!#REF!/'4.1 Comptes 2021 natures'!AY2</f>
        <v>#REF!</v>
      </c>
      <c r="AZ168" s="4" t="e">
        <f>'4.1 Comptes 2021 natures'!#REF!/'4.1 Comptes 2021 natures'!AZ2</f>
        <v>#REF!</v>
      </c>
      <c r="BA168" s="4" t="e">
        <f>'4.1 Comptes 2021 natures'!#REF!/'4.1 Comptes 2021 natures'!BA2</f>
        <v>#REF!</v>
      </c>
      <c r="BB168" s="4" t="e">
        <f>'4.1 Comptes 2021 natures'!#REF!/'4.1 Comptes 2021 natures'!BB2</f>
        <v>#REF!</v>
      </c>
      <c r="BC168" s="4" t="e">
        <f>'4.1 Comptes 2021 natures'!#REF!/'4.1 Comptes 2021 natures'!BC2</f>
        <v>#REF!</v>
      </c>
      <c r="BD168" s="4" t="e">
        <f>'4.1 Comptes 2021 natures'!#REF!/'4.1 Comptes 2021 natures'!BD2</f>
        <v>#REF!</v>
      </c>
      <c r="BE168" s="4" t="e">
        <f>'4.1 Comptes 2021 natures'!#REF!/'4.1 Comptes 2021 natures'!BE2</f>
        <v>#REF!</v>
      </c>
      <c r="BF168" s="4" t="e">
        <f t="shared" si="109"/>
        <v>#REF!</v>
      </c>
      <c r="BG168" s="4" t="e">
        <f t="shared" si="110"/>
        <v>#REF!</v>
      </c>
      <c r="BH168" s="4" t="e">
        <f t="shared" si="111"/>
        <v>#REF!</v>
      </c>
      <c r="BI168" s="4" t="e">
        <f t="shared" si="112"/>
        <v>#REF!</v>
      </c>
    </row>
    <row r="169" spans="3:61" x14ac:dyDescent="0.25">
      <c r="C169">
        <v>9000</v>
      </c>
      <c r="D169" t="s">
        <v>270</v>
      </c>
      <c r="E169" s="4" t="e">
        <f>'4.1 Comptes 2021 natures'!#REF!/'4.1 Comptes 2021 natures'!E2</f>
        <v>#REF!</v>
      </c>
      <c r="F169" s="4" t="e">
        <f>'4.1 Comptes 2021 natures'!#REF!/'4.1 Comptes 2021 natures'!F2</f>
        <v>#REF!</v>
      </c>
      <c r="G169" s="4" t="e">
        <f>'4.1 Comptes 2021 natures'!#REF!/'4.1 Comptes 2021 natures'!G2</f>
        <v>#REF!</v>
      </c>
      <c r="H169" s="4" t="e">
        <f>'4.1 Comptes 2021 natures'!#REF!/'4.1 Comptes 2021 natures'!H2</f>
        <v>#REF!</v>
      </c>
      <c r="I169" s="4" t="e">
        <f>'4.1 Comptes 2021 natures'!#REF!/'4.1 Comptes 2021 natures'!I2</f>
        <v>#REF!</v>
      </c>
      <c r="J169" s="4" t="e">
        <f>'4.1 Comptes 2021 natures'!#REF!/'4.1 Comptes 2021 natures'!J2</f>
        <v>#REF!</v>
      </c>
      <c r="K169" s="4" t="e">
        <f>'4.1 Comptes 2021 natures'!#REF!/'4.1 Comptes 2021 natures'!K2</f>
        <v>#REF!</v>
      </c>
      <c r="L169" s="4" t="e">
        <f>'4.1 Comptes 2021 natures'!#REF!/'4.1 Comptes 2021 natures'!L2</f>
        <v>#REF!</v>
      </c>
      <c r="M169" s="4" t="e">
        <f>'4.1 Comptes 2021 natures'!#REF!/'4.1 Comptes 2021 natures'!M2</f>
        <v>#REF!</v>
      </c>
      <c r="N169" s="4" t="e">
        <f>'4.1 Comptes 2021 natures'!#REF!/'4.1 Comptes 2021 natures'!N2</f>
        <v>#REF!</v>
      </c>
      <c r="O169" s="4" t="e">
        <f>'4.1 Comptes 2021 natures'!#REF!/'4.1 Comptes 2021 natures'!O2</f>
        <v>#REF!</v>
      </c>
      <c r="P169" s="4" t="e">
        <f>'4.1 Comptes 2021 natures'!#REF!/'4.1 Comptes 2021 natures'!P2</f>
        <v>#REF!</v>
      </c>
      <c r="Q169" s="4" t="e">
        <f>'4.1 Comptes 2021 natures'!#REF!/'4.1 Comptes 2021 natures'!Q2</f>
        <v>#REF!</v>
      </c>
      <c r="R169" s="4" t="e">
        <f>'4.1 Comptes 2021 natures'!#REF!/'4.1 Comptes 2021 natures'!R2</f>
        <v>#REF!</v>
      </c>
      <c r="S169" s="4" t="e">
        <f>'4.1 Comptes 2021 natures'!#REF!/'4.1 Comptes 2021 natures'!S2</f>
        <v>#REF!</v>
      </c>
      <c r="T169" s="4" t="e">
        <f>'4.1 Comptes 2021 natures'!#REF!/'4.1 Comptes 2021 natures'!T2</f>
        <v>#REF!</v>
      </c>
      <c r="U169" s="4" t="e">
        <f>'4.1 Comptes 2021 natures'!#REF!/'4.1 Comptes 2021 natures'!U2</f>
        <v>#REF!</v>
      </c>
      <c r="V169" s="4" t="e">
        <f>'4.1 Comptes 2021 natures'!#REF!/'4.1 Comptes 2021 natures'!V2</f>
        <v>#REF!</v>
      </c>
      <c r="W169" s="4" t="e">
        <f>'4.1 Comptes 2021 natures'!#REF!/'4.1 Comptes 2021 natures'!W2</f>
        <v>#REF!</v>
      </c>
      <c r="X169" s="4" t="e">
        <f>'4.1 Comptes 2021 natures'!#REF!/'4.1 Comptes 2021 natures'!X2</f>
        <v>#REF!</v>
      </c>
      <c r="Y169" s="4" t="e">
        <f>'4.1 Comptes 2021 natures'!#REF!/'4.1 Comptes 2021 natures'!Y2</f>
        <v>#REF!</v>
      </c>
      <c r="Z169" s="4" t="e">
        <f>'4.1 Comptes 2021 natures'!#REF!/'4.1 Comptes 2021 natures'!Z2</f>
        <v>#REF!</v>
      </c>
      <c r="AA169" s="4" t="e">
        <f>'4.1 Comptes 2021 natures'!#REF!/'4.1 Comptes 2021 natures'!AA2</f>
        <v>#REF!</v>
      </c>
      <c r="AB169" s="4" t="e">
        <f>'4.1 Comptes 2021 natures'!#REF!/'4.1 Comptes 2021 natures'!AB2</f>
        <v>#REF!</v>
      </c>
      <c r="AC169" s="4" t="e">
        <f>'4.1 Comptes 2021 natures'!#REF!/'4.1 Comptes 2021 natures'!AC2</f>
        <v>#REF!</v>
      </c>
      <c r="AD169" s="4" t="e">
        <f>'4.1 Comptes 2021 natures'!#REF!/'4.1 Comptes 2021 natures'!AD2</f>
        <v>#REF!</v>
      </c>
      <c r="AE169" s="4" t="e">
        <f>'4.1 Comptes 2021 natures'!#REF!/'4.1 Comptes 2021 natures'!AE2</f>
        <v>#REF!</v>
      </c>
      <c r="AF169" s="4" t="e">
        <f>'4.1 Comptes 2021 natures'!#REF!/'4.1 Comptes 2021 natures'!AF2</f>
        <v>#REF!</v>
      </c>
      <c r="AG169" s="4" t="e">
        <f>'4.1 Comptes 2021 natures'!#REF!/'4.1 Comptes 2021 natures'!AG2</f>
        <v>#REF!</v>
      </c>
      <c r="AH169" s="4" t="e">
        <f>'4.1 Comptes 2021 natures'!#REF!/'4.1 Comptes 2021 natures'!AH2</f>
        <v>#REF!</v>
      </c>
      <c r="AI169" s="4" t="e">
        <f>'4.1 Comptes 2021 natures'!#REF!/'4.1 Comptes 2021 natures'!AI2</f>
        <v>#REF!</v>
      </c>
      <c r="AJ169" s="4" t="e">
        <f>'4.1 Comptes 2021 natures'!#REF!/'4.1 Comptes 2021 natures'!AJ2</f>
        <v>#REF!</v>
      </c>
      <c r="AK169" s="4" t="e">
        <f>'4.1 Comptes 2021 natures'!#REF!/'4.1 Comptes 2021 natures'!AK2</f>
        <v>#REF!</v>
      </c>
      <c r="AL169" s="4" t="e">
        <f>'4.1 Comptes 2021 natures'!#REF!/'4.1 Comptes 2021 natures'!AL2</f>
        <v>#REF!</v>
      </c>
      <c r="AM169" s="4" t="e">
        <f>'4.1 Comptes 2021 natures'!#REF!/'4.1 Comptes 2021 natures'!AM2</f>
        <v>#REF!</v>
      </c>
      <c r="AN169" s="4" t="e">
        <f>'4.1 Comptes 2021 natures'!#REF!/'4.1 Comptes 2021 natures'!AN2</f>
        <v>#REF!</v>
      </c>
      <c r="AO169" s="4" t="e">
        <f>'4.1 Comptes 2021 natures'!#REF!/'4.1 Comptes 2021 natures'!AO2</f>
        <v>#REF!</v>
      </c>
      <c r="AP169" s="4" t="e">
        <f>'4.1 Comptes 2021 natures'!#REF!/'4.1 Comptes 2021 natures'!AP2</f>
        <v>#REF!</v>
      </c>
      <c r="AQ169" s="4" t="e">
        <f>'4.1 Comptes 2021 natures'!#REF!/'4.1 Comptes 2021 natures'!AQ2</f>
        <v>#REF!</v>
      </c>
      <c r="AR169" s="4" t="e">
        <f>'4.1 Comptes 2021 natures'!#REF!/'4.1 Comptes 2021 natures'!AR2</f>
        <v>#REF!</v>
      </c>
      <c r="AS169" s="4" t="e">
        <f>'4.1 Comptes 2021 natures'!#REF!/'4.1 Comptes 2021 natures'!AS2</f>
        <v>#REF!</v>
      </c>
      <c r="AT169" s="4" t="e">
        <f>'4.1 Comptes 2021 natures'!#REF!/'4.1 Comptes 2021 natures'!AT2</f>
        <v>#REF!</v>
      </c>
      <c r="AU169" s="4" t="e">
        <f>'4.1 Comptes 2021 natures'!#REF!/'4.1 Comptes 2021 natures'!AU2</f>
        <v>#REF!</v>
      </c>
      <c r="AV169" s="4" t="e">
        <f>'4.1 Comptes 2021 natures'!#REF!/'4.1 Comptes 2021 natures'!AV2</f>
        <v>#REF!</v>
      </c>
      <c r="AW169" s="4" t="e">
        <f>'4.1 Comptes 2021 natures'!#REF!/'4.1 Comptes 2021 natures'!AW2</f>
        <v>#REF!</v>
      </c>
      <c r="AX169" s="4" t="e">
        <f>'4.1 Comptes 2021 natures'!#REF!/'4.1 Comptes 2021 natures'!AX2</f>
        <v>#REF!</v>
      </c>
      <c r="AY169" s="4" t="e">
        <f>'4.1 Comptes 2021 natures'!#REF!/'4.1 Comptes 2021 natures'!AY2</f>
        <v>#REF!</v>
      </c>
      <c r="AZ169" s="4" t="e">
        <f>'4.1 Comptes 2021 natures'!#REF!/'4.1 Comptes 2021 natures'!AZ2</f>
        <v>#REF!</v>
      </c>
      <c r="BA169" s="4" t="e">
        <f>'4.1 Comptes 2021 natures'!#REF!/'4.1 Comptes 2021 natures'!BA2</f>
        <v>#REF!</v>
      </c>
      <c r="BB169" s="4" t="e">
        <f>'4.1 Comptes 2021 natures'!#REF!/'4.1 Comptes 2021 natures'!BB2</f>
        <v>#REF!</v>
      </c>
      <c r="BC169" s="4" t="e">
        <f>'4.1 Comptes 2021 natures'!#REF!/'4.1 Comptes 2021 natures'!BC2</f>
        <v>#REF!</v>
      </c>
      <c r="BD169" s="4" t="e">
        <f>'4.1 Comptes 2021 natures'!#REF!/'4.1 Comptes 2021 natures'!BD2</f>
        <v>#REF!</v>
      </c>
      <c r="BE169" s="4" t="e">
        <f>'4.1 Comptes 2021 natures'!#REF!/'4.1 Comptes 2021 natures'!BE2</f>
        <v>#REF!</v>
      </c>
      <c r="BF169" s="4" t="e">
        <f t="shared" si="109"/>
        <v>#REF!</v>
      </c>
      <c r="BG169" s="4" t="e">
        <f t="shared" si="110"/>
        <v>#REF!</v>
      </c>
      <c r="BH169" s="4" t="e">
        <f t="shared" si="111"/>
        <v>#REF!</v>
      </c>
      <c r="BI169" s="4" t="e">
        <f t="shared" si="112"/>
        <v>#REF!</v>
      </c>
    </row>
    <row r="170" spans="3:61" x14ac:dyDescent="0.25">
      <c r="C170">
        <v>9029</v>
      </c>
      <c r="D170" t="s">
        <v>274</v>
      </c>
      <c r="E170" s="4" t="e">
        <f>'4.1 Comptes 2021 natures'!#REF!/'4.1 Comptes 2021 natures'!E2</f>
        <v>#REF!</v>
      </c>
      <c r="F170" s="4" t="e">
        <f>'4.1 Comptes 2021 natures'!#REF!/'4.1 Comptes 2021 natures'!F2</f>
        <v>#REF!</v>
      </c>
      <c r="G170" s="4" t="e">
        <f>'4.1 Comptes 2021 natures'!#REF!/'4.1 Comptes 2021 natures'!G2</f>
        <v>#REF!</v>
      </c>
      <c r="H170" s="4" t="e">
        <f>'4.1 Comptes 2021 natures'!#REF!/'4.1 Comptes 2021 natures'!H2</f>
        <v>#REF!</v>
      </c>
      <c r="I170" s="4" t="e">
        <f>'4.1 Comptes 2021 natures'!#REF!/'4.1 Comptes 2021 natures'!I2</f>
        <v>#REF!</v>
      </c>
      <c r="J170" s="4" t="e">
        <f>'4.1 Comptes 2021 natures'!#REF!/'4.1 Comptes 2021 natures'!J2</f>
        <v>#REF!</v>
      </c>
      <c r="K170" s="4" t="e">
        <f>'4.1 Comptes 2021 natures'!#REF!/'4.1 Comptes 2021 natures'!K2</f>
        <v>#REF!</v>
      </c>
      <c r="L170" s="4" t="e">
        <f>'4.1 Comptes 2021 natures'!#REF!/'4.1 Comptes 2021 natures'!L2</f>
        <v>#REF!</v>
      </c>
      <c r="M170" s="4" t="e">
        <f>'4.1 Comptes 2021 natures'!#REF!/'4.1 Comptes 2021 natures'!M2</f>
        <v>#REF!</v>
      </c>
      <c r="N170" s="4" t="e">
        <f>'4.1 Comptes 2021 natures'!#REF!/'4.1 Comptes 2021 natures'!N2</f>
        <v>#REF!</v>
      </c>
      <c r="O170" s="4" t="e">
        <f>'4.1 Comptes 2021 natures'!#REF!/'4.1 Comptes 2021 natures'!O2</f>
        <v>#REF!</v>
      </c>
      <c r="P170" s="4" t="e">
        <f>'4.1 Comptes 2021 natures'!#REF!/'4.1 Comptes 2021 natures'!P2</f>
        <v>#REF!</v>
      </c>
      <c r="Q170" s="4" t="e">
        <f>'4.1 Comptes 2021 natures'!#REF!/'4.1 Comptes 2021 natures'!Q2</f>
        <v>#REF!</v>
      </c>
      <c r="R170" s="4" t="e">
        <f>'4.1 Comptes 2021 natures'!#REF!/'4.1 Comptes 2021 natures'!R2</f>
        <v>#REF!</v>
      </c>
      <c r="S170" s="4" t="e">
        <f>'4.1 Comptes 2021 natures'!#REF!/'4.1 Comptes 2021 natures'!S2</f>
        <v>#REF!</v>
      </c>
      <c r="T170" s="4" t="e">
        <f>'4.1 Comptes 2021 natures'!#REF!/'4.1 Comptes 2021 natures'!T2</f>
        <v>#REF!</v>
      </c>
      <c r="U170" s="4" t="e">
        <f>'4.1 Comptes 2021 natures'!#REF!/'4.1 Comptes 2021 natures'!U2</f>
        <v>#REF!</v>
      </c>
      <c r="V170" s="4" t="e">
        <f>'4.1 Comptes 2021 natures'!#REF!/'4.1 Comptes 2021 natures'!V2</f>
        <v>#REF!</v>
      </c>
      <c r="W170" s="4" t="e">
        <f>'4.1 Comptes 2021 natures'!#REF!/'4.1 Comptes 2021 natures'!W2</f>
        <v>#REF!</v>
      </c>
      <c r="X170" s="4" t="e">
        <f>'4.1 Comptes 2021 natures'!#REF!/'4.1 Comptes 2021 natures'!X2</f>
        <v>#REF!</v>
      </c>
      <c r="Y170" s="4" t="e">
        <f>'4.1 Comptes 2021 natures'!#REF!/'4.1 Comptes 2021 natures'!Y2</f>
        <v>#REF!</v>
      </c>
      <c r="Z170" s="4" t="e">
        <f>'4.1 Comptes 2021 natures'!#REF!/'4.1 Comptes 2021 natures'!Z2</f>
        <v>#REF!</v>
      </c>
      <c r="AA170" s="4" t="e">
        <f>'4.1 Comptes 2021 natures'!#REF!/'4.1 Comptes 2021 natures'!AA2</f>
        <v>#REF!</v>
      </c>
      <c r="AB170" s="4" t="e">
        <f>'4.1 Comptes 2021 natures'!#REF!/'4.1 Comptes 2021 natures'!AB2</f>
        <v>#REF!</v>
      </c>
      <c r="AC170" s="4" t="e">
        <f>'4.1 Comptes 2021 natures'!#REF!/'4.1 Comptes 2021 natures'!AC2</f>
        <v>#REF!</v>
      </c>
      <c r="AD170" s="4" t="e">
        <f>'4.1 Comptes 2021 natures'!#REF!/'4.1 Comptes 2021 natures'!AD2</f>
        <v>#REF!</v>
      </c>
      <c r="AE170" s="4" t="e">
        <f>'4.1 Comptes 2021 natures'!#REF!/'4.1 Comptes 2021 natures'!AE2</f>
        <v>#REF!</v>
      </c>
      <c r="AF170" s="4" t="e">
        <f>'4.1 Comptes 2021 natures'!#REF!/'4.1 Comptes 2021 natures'!AF2</f>
        <v>#REF!</v>
      </c>
      <c r="AG170" s="4" t="e">
        <f>'4.1 Comptes 2021 natures'!#REF!/'4.1 Comptes 2021 natures'!AG2</f>
        <v>#REF!</v>
      </c>
      <c r="AH170" s="4" t="e">
        <f>'4.1 Comptes 2021 natures'!#REF!/'4.1 Comptes 2021 natures'!AH2</f>
        <v>#REF!</v>
      </c>
      <c r="AI170" s="4" t="e">
        <f>'4.1 Comptes 2021 natures'!#REF!/'4.1 Comptes 2021 natures'!AI2</f>
        <v>#REF!</v>
      </c>
      <c r="AJ170" s="4" t="e">
        <f>'4.1 Comptes 2021 natures'!#REF!/'4.1 Comptes 2021 natures'!AJ2</f>
        <v>#REF!</v>
      </c>
      <c r="AK170" s="4" t="e">
        <f>'4.1 Comptes 2021 natures'!#REF!/'4.1 Comptes 2021 natures'!AK2</f>
        <v>#REF!</v>
      </c>
      <c r="AL170" s="4" t="e">
        <f>'4.1 Comptes 2021 natures'!#REF!/'4.1 Comptes 2021 natures'!AL2</f>
        <v>#REF!</v>
      </c>
      <c r="AM170" s="4" t="e">
        <f>'4.1 Comptes 2021 natures'!#REF!/'4.1 Comptes 2021 natures'!AM2</f>
        <v>#REF!</v>
      </c>
      <c r="AN170" s="4" t="e">
        <f>'4.1 Comptes 2021 natures'!#REF!/'4.1 Comptes 2021 natures'!AN2</f>
        <v>#REF!</v>
      </c>
      <c r="AO170" s="4" t="e">
        <f>'4.1 Comptes 2021 natures'!#REF!/'4.1 Comptes 2021 natures'!AO2</f>
        <v>#REF!</v>
      </c>
      <c r="AP170" s="4" t="e">
        <f>'4.1 Comptes 2021 natures'!#REF!/'4.1 Comptes 2021 natures'!AP2</f>
        <v>#REF!</v>
      </c>
      <c r="AQ170" s="4" t="e">
        <f>'4.1 Comptes 2021 natures'!#REF!/'4.1 Comptes 2021 natures'!AQ2</f>
        <v>#REF!</v>
      </c>
      <c r="AR170" s="4" t="e">
        <f>'4.1 Comptes 2021 natures'!#REF!/'4.1 Comptes 2021 natures'!AR2</f>
        <v>#REF!</v>
      </c>
      <c r="AS170" s="4" t="e">
        <f>'4.1 Comptes 2021 natures'!#REF!/'4.1 Comptes 2021 natures'!AS2</f>
        <v>#REF!</v>
      </c>
      <c r="AT170" s="4" t="e">
        <f>'4.1 Comptes 2021 natures'!#REF!/'4.1 Comptes 2021 natures'!AT2</f>
        <v>#REF!</v>
      </c>
      <c r="AU170" s="4" t="e">
        <f>'4.1 Comptes 2021 natures'!#REF!/'4.1 Comptes 2021 natures'!AU2</f>
        <v>#REF!</v>
      </c>
      <c r="AV170" s="4" t="e">
        <f>'4.1 Comptes 2021 natures'!#REF!/'4.1 Comptes 2021 natures'!AV2</f>
        <v>#REF!</v>
      </c>
      <c r="AW170" s="4" t="e">
        <f>'4.1 Comptes 2021 natures'!#REF!/'4.1 Comptes 2021 natures'!AW2</f>
        <v>#REF!</v>
      </c>
      <c r="AX170" s="4" t="e">
        <f>'4.1 Comptes 2021 natures'!#REF!/'4.1 Comptes 2021 natures'!AX2</f>
        <v>#REF!</v>
      </c>
      <c r="AY170" s="4" t="e">
        <f>'4.1 Comptes 2021 natures'!#REF!/'4.1 Comptes 2021 natures'!AY2</f>
        <v>#REF!</v>
      </c>
      <c r="AZ170" s="4" t="e">
        <f>'4.1 Comptes 2021 natures'!#REF!/'4.1 Comptes 2021 natures'!AZ2</f>
        <v>#REF!</v>
      </c>
      <c r="BA170" s="4" t="e">
        <f>'4.1 Comptes 2021 natures'!#REF!/'4.1 Comptes 2021 natures'!BA2</f>
        <v>#REF!</v>
      </c>
      <c r="BB170" s="4" t="e">
        <f>'4.1 Comptes 2021 natures'!#REF!/'4.1 Comptes 2021 natures'!BB2</f>
        <v>#REF!</v>
      </c>
      <c r="BC170" s="4" t="e">
        <f>'4.1 Comptes 2021 natures'!#REF!/'4.1 Comptes 2021 natures'!BC2</f>
        <v>#REF!</v>
      </c>
      <c r="BD170" s="4" t="e">
        <f>'4.1 Comptes 2021 natures'!#REF!/'4.1 Comptes 2021 natures'!BD2</f>
        <v>#REF!</v>
      </c>
      <c r="BE170" s="4" t="e">
        <f>'4.1 Comptes 2021 natures'!#REF!/'4.1 Comptes 2021 natures'!BE2</f>
        <v>#REF!</v>
      </c>
      <c r="BF170" s="4" t="e">
        <f t="shared" si="109"/>
        <v>#REF!</v>
      </c>
      <c r="BG170" s="4" t="e">
        <f t="shared" si="110"/>
        <v>#REF!</v>
      </c>
      <c r="BH170" s="4" t="e">
        <f t="shared" si="111"/>
        <v>#REF!</v>
      </c>
      <c r="BI170" s="4" t="e">
        <f t="shared" si="112"/>
        <v>#REF!</v>
      </c>
    </row>
    <row r="171" spans="3:61" x14ac:dyDescent="0.25">
      <c r="C171">
        <v>3180</v>
      </c>
      <c r="D171" t="s">
        <v>297</v>
      </c>
      <c r="E171" s="4" t="e">
        <f>'4.1 Comptes 2021 natures'!#REF!/'4.1 Comptes 2021 natures'!E2</f>
        <v>#REF!</v>
      </c>
      <c r="F171" s="4" t="e">
        <f>'4.1 Comptes 2021 natures'!#REF!/'4.1 Comptes 2021 natures'!F2</f>
        <v>#REF!</v>
      </c>
      <c r="G171" s="4" t="e">
        <f>'4.1 Comptes 2021 natures'!#REF!/'4.1 Comptes 2021 natures'!G2</f>
        <v>#REF!</v>
      </c>
      <c r="H171" s="4" t="e">
        <f>'4.1 Comptes 2021 natures'!#REF!/'4.1 Comptes 2021 natures'!H2</f>
        <v>#REF!</v>
      </c>
      <c r="I171" s="4" t="e">
        <f>'4.1 Comptes 2021 natures'!#REF!/'4.1 Comptes 2021 natures'!I2</f>
        <v>#REF!</v>
      </c>
      <c r="J171" s="4" t="e">
        <f>'4.1 Comptes 2021 natures'!#REF!/'4.1 Comptes 2021 natures'!J2</f>
        <v>#REF!</v>
      </c>
      <c r="K171" s="4" t="e">
        <f>'4.1 Comptes 2021 natures'!#REF!/'4.1 Comptes 2021 natures'!K2</f>
        <v>#REF!</v>
      </c>
      <c r="L171" s="4" t="e">
        <f>'4.1 Comptes 2021 natures'!#REF!/'4.1 Comptes 2021 natures'!L2</f>
        <v>#REF!</v>
      </c>
      <c r="M171" s="4" t="e">
        <f>'4.1 Comptes 2021 natures'!#REF!/'4.1 Comptes 2021 natures'!M2</f>
        <v>#REF!</v>
      </c>
      <c r="N171" s="4" t="e">
        <f>'4.1 Comptes 2021 natures'!#REF!/'4.1 Comptes 2021 natures'!N2</f>
        <v>#REF!</v>
      </c>
      <c r="O171" s="4" t="e">
        <f>'4.1 Comptes 2021 natures'!#REF!/'4.1 Comptes 2021 natures'!O2</f>
        <v>#REF!</v>
      </c>
      <c r="P171" s="4" t="e">
        <f>'4.1 Comptes 2021 natures'!#REF!/'4.1 Comptes 2021 natures'!P2</f>
        <v>#REF!</v>
      </c>
      <c r="Q171" s="4" t="e">
        <f>'4.1 Comptes 2021 natures'!#REF!/'4.1 Comptes 2021 natures'!Q2</f>
        <v>#REF!</v>
      </c>
      <c r="R171" s="4" t="e">
        <f>'4.1 Comptes 2021 natures'!#REF!/'4.1 Comptes 2021 natures'!R2</f>
        <v>#REF!</v>
      </c>
      <c r="S171" s="4" t="e">
        <f>'4.1 Comptes 2021 natures'!#REF!/'4.1 Comptes 2021 natures'!S2</f>
        <v>#REF!</v>
      </c>
      <c r="T171" s="4" t="e">
        <f>'4.1 Comptes 2021 natures'!#REF!/'4.1 Comptes 2021 natures'!T2</f>
        <v>#REF!</v>
      </c>
      <c r="U171" s="4" t="e">
        <f>'4.1 Comptes 2021 natures'!#REF!/'4.1 Comptes 2021 natures'!U2</f>
        <v>#REF!</v>
      </c>
      <c r="V171" s="4" t="e">
        <f>'4.1 Comptes 2021 natures'!#REF!/'4.1 Comptes 2021 natures'!V2</f>
        <v>#REF!</v>
      </c>
      <c r="W171" s="4" t="e">
        <f>'4.1 Comptes 2021 natures'!#REF!/'4.1 Comptes 2021 natures'!W2</f>
        <v>#REF!</v>
      </c>
      <c r="X171" s="4" t="e">
        <f>'4.1 Comptes 2021 natures'!#REF!/'4.1 Comptes 2021 natures'!X2</f>
        <v>#REF!</v>
      </c>
      <c r="Y171" s="4" t="e">
        <f>'4.1 Comptes 2021 natures'!#REF!/'4.1 Comptes 2021 natures'!Y2</f>
        <v>#REF!</v>
      </c>
      <c r="Z171" s="4" t="e">
        <f>'4.1 Comptes 2021 natures'!#REF!/'4.1 Comptes 2021 natures'!Z2</f>
        <v>#REF!</v>
      </c>
      <c r="AA171" s="4" t="e">
        <f>'4.1 Comptes 2021 natures'!#REF!/'4.1 Comptes 2021 natures'!AA2</f>
        <v>#REF!</v>
      </c>
      <c r="AB171" s="4" t="e">
        <f>'4.1 Comptes 2021 natures'!#REF!/'4.1 Comptes 2021 natures'!AB2</f>
        <v>#REF!</v>
      </c>
      <c r="AC171" s="4" t="e">
        <f>'4.1 Comptes 2021 natures'!#REF!/'4.1 Comptes 2021 natures'!AC2</f>
        <v>#REF!</v>
      </c>
      <c r="AD171" s="4" t="e">
        <f>'4.1 Comptes 2021 natures'!#REF!/'4.1 Comptes 2021 natures'!AD2</f>
        <v>#REF!</v>
      </c>
      <c r="AE171" s="4" t="e">
        <f>'4.1 Comptes 2021 natures'!#REF!/'4.1 Comptes 2021 natures'!AE2</f>
        <v>#REF!</v>
      </c>
      <c r="AF171" s="4" t="e">
        <f>'4.1 Comptes 2021 natures'!#REF!/'4.1 Comptes 2021 natures'!AF2</f>
        <v>#REF!</v>
      </c>
      <c r="AG171" s="4" t="e">
        <f>'4.1 Comptes 2021 natures'!#REF!/'4.1 Comptes 2021 natures'!AG2</f>
        <v>#REF!</v>
      </c>
      <c r="AH171" s="4" t="e">
        <f>'4.1 Comptes 2021 natures'!#REF!/'4.1 Comptes 2021 natures'!AH2</f>
        <v>#REF!</v>
      </c>
      <c r="AI171" s="4" t="e">
        <f>'4.1 Comptes 2021 natures'!#REF!/'4.1 Comptes 2021 natures'!AI2</f>
        <v>#REF!</v>
      </c>
      <c r="AJ171" s="4" t="e">
        <f>'4.1 Comptes 2021 natures'!#REF!/'4.1 Comptes 2021 natures'!AJ2</f>
        <v>#REF!</v>
      </c>
      <c r="AK171" s="4" t="e">
        <f>'4.1 Comptes 2021 natures'!#REF!/'4.1 Comptes 2021 natures'!AK2</f>
        <v>#REF!</v>
      </c>
      <c r="AL171" s="4" t="e">
        <f>'4.1 Comptes 2021 natures'!#REF!/'4.1 Comptes 2021 natures'!AL2</f>
        <v>#REF!</v>
      </c>
      <c r="AM171" s="4" t="e">
        <f>'4.1 Comptes 2021 natures'!#REF!/'4.1 Comptes 2021 natures'!AM2</f>
        <v>#REF!</v>
      </c>
      <c r="AN171" s="4" t="e">
        <f>'4.1 Comptes 2021 natures'!#REF!/'4.1 Comptes 2021 natures'!AN2</f>
        <v>#REF!</v>
      </c>
      <c r="AO171" s="4" t="e">
        <f>'4.1 Comptes 2021 natures'!#REF!/'4.1 Comptes 2021 natures'!AO2</f>
        <v>#REF!</v>
      </c>
      <c r="AP171" s="4" t="e">
        <f>'4.1 Comptes 2021 natures'!#REF!/'4.1 Comptes 2021 natures'!AP2</f>
        <v>#REF!</v>
      </c>
      <c r="AQ171" s="4" t="e">
        <f>'4.1 Comptes 2021 natures'!#REF!/'4.1 Comptes 2021 natures'!AQ2</f>
        <v>#REF!</v>
      </c>
      <c r="AR171" s="4" t="e">
        <f>'4.1 Comptes 2021 natures'!#REF!/'4.1 Comptes 2021 natures'!AR2</f>
        <v>#REF!</v>
      </c>
      <c r="AS171" s="4" t="e">
        <f>'4.1 Comptes 2021 natures'!#REF!/'4.1 Comptes 2021 natures'!AS2</f>
        <v>#REF!</v>
      </c>
      <c r="AT171" s="4" t="e">
        <f>'4.1 Comptes 2021 natures'!#REF!/'4.1 Comptes 2021 natures'!AT2</f>
        <v>#REF!</v>
      </c>
      <c r="AU171" s="4" t="e">
        <f>'4.1 Comptes 2021 natures'!#REF!/'4.1 Comptes 2021 natures'!AU2</f>
        <v>#REF!</v>
      </c>
      <c r="AV171" s="4" t="e">
        <f>'4.1 Comptes 2021 natures'!#REF!/'4.1 Comptes 2021 natures'!AV2</f>
        <v>#REF!</v>
      </c>
      <c r="AW171" s="4" t="e">
        <f>'4.1 Comptes 2021 natures'!#REF!/'4.1 Comptes 2021 natures'!AW2</f>
        <v>#REF!</v>
      </c>
      <c r="AX171" s="4" t="e">
        <f>'4.1 Comptes 2021 natures'!#REF!/'4.1 Comptes 2021 natures'!AX2</f>
        <v>#REF!</v>
      </c>
      <c r="AY171" s="4" t="e">
        <f>'4.1 Comptes 2021 natures'!#REF!/'4.1 Comptes 2021 natures'!AY2</f>
        <v>#REF!</v>
      </c>
      <c r="AZ171" s="4" t="e">
        <f>'4.1 Comptes 2021 natures'!#REF!/'4.1 Comptes 2021 natures'!AZ2</f>
        <v>#REF!</v>
      </c>
      <c r="BA171" s="4" t="e">
        <f>'4.1 Comptes 2021 natures'!#REF!/'4.1 Comptes 2021 natures'!BA2</f>
        <v>#REF!</v>
      </c>
      <c r="BB171" s="4" t="e">
        <f>'4.1 Comptes 2021 natures'!#REF!/'4.1 Comptes 2021 natures'!BB2</f>
        <v>#REF!</v>
      </c>
      <c r="BC171" s="4" t="e">
        <f>'4.1 Comptes 2021 natures'!#REF!/'4.1 Comptes 2021 natures'!BC2</f>
        <v>#REF!</v>
      </c>
      <c r="BD171" s="4" t="e">
        <f>'4.1 Comptes 2021 natures'!#REF!/'4.1 Comptes 2021 natures'!BD2</f>
        <v>#REF!</v>
      </c>
      <c r="BE171" s="4" t="e">
        <f>'4.1 Comptes 2021 natures'!#REF!/'4.1 Comptes 2021 natures'!BE2</f>
        <v>#REF!</v>
      </c>
      <c r="BF171" s="4" t="e">
        <f t="shared" si="109"/>
        <v>#REF!</v>
      </c>
      <c r="BG171" s="4" t="e">
        <f t="shared" si="110"/>
        <v>#REF!</v>
      </c>
      <c r="BH171" s="4" t="e">
        <f t="shared" si="111"/>
        <v>#REF!</v>
      </c>
      <c r="BI171" s="4" t="e">
        <f t="shared" si="112"/>
        <v>#REF!</v>
      </c>
    </row>
    <row r="172" spans="3:61" x14ac:dyDescent="0.25">
      <c r="C172">
        <v>36227</v>
      </c>
      <c r="D172" t="s">
        <v>271</v>
      </c>
      <c r="E172" s="4" t="e">
        <f>'4.1 Comptes 2021 natures'!#REF!/'4.1 Comptes 2021 natures'!E2</f>
        <v>#REF!</v>
      </c>
      <c r="F172" s="4" t="e">
        <f>'4.1 Comptes 2021 natures'!#REF!/'4.1 Comptes 2021 natures'!F2</f>
        <v>#REF!</v>
      </c>
      <c r="G172" s="4" t="e">
        <f>'4.1 Comptes 2021 natures'!#REF!/'4.1 Comptes 2021 natures'!G2</f>
        <v>#REF!</v>
      </c>
      <c r="H172" s="4" t="e">
        <f>'4.1 Comptes 2021 natures'!#REF!/'4.1 Comptes 2021 natures'!H2</f>
        <v>#REF!</v>
      </c>
      <c r="I172" s="4" t="e">
        <f>'4.1 Comptes 2021 natures'!#REF!/'4.1 Comptes 2021 natures'!I2</f>
        <v>#REF!</v>
      </c>
      <c r="J172" s="4" t="e">
        <f>'4.1 Comptes 2021 natures'!#REF!/'4.1 Comptes 2021 natures'!J2</f>
        <v>#REF!</v>
      </c>
      <c r="K172" s="4" t="e">
        <f>'4.1 Comptes 2021 natures'!#REF!/'4.1 Comptes 2021 natures'!K2</f>
        <v>#REF!</v>
      </c>
      <c r="L172" s="4" t="e">
        <f>'4.1 Comptes 2021 natures'!#REF!/'4.1 Comptes 2021 natures'!L2</f>
        <v>#REF!</v>
      </c>
      <c r="M172" s="4" t="e">
        <f>'4.1 Comptes 2021 natures'!#REF!/'4.1 Comptes 2021 natures'!M2</f>
        <v>#REF!</v>
      </c>
      <c r="N172" s="4" t="e">
        <f>'4.1 Comptes 2021 natures'!#REF!/'4.1 Comptes 2021 natures'!N2</f>
        <v>#REF!</v>
      </c>
      <c r="O172" s="4" t="e">
        <f>'4.1 Comptes 2021 natures'!#REF!/'4.1 Comptes 2021 natures'!O2</f>
        <v>#REF!</v>
      </c>
      <c r="P172" s="4" t="e">
        <f>'4.1 Comptes 2021 natures'!#REF!/'4.1 Comptes 2021 natures'!P2</f>
        <v>#REF!</v>
      </c>
      <c r="Q172" s="4" t="e">
        <f>'4.1 Comptes 2021 natures'!#REF!/'4.1 Comptes 2021 natures'!Q2</f>
        <v>#REF!</v>
      </c>
      <c r="R172" s="4" t="e">
        <f>'4.1 Comptes 2021 natures'!#REF!/'4.1 Comptes 2021 natures'!R2</f>
        <v>#REF!</v>
      </c>
      <c r="S172" s="4" t="e">
        <f>'4.1 Comptes 2021 natures'!#REF!/'4.1 Comptes 2021 natures'!S2</f>
        <v>#REF!</v>
      </c>
      <c r="T172" s="4" t="e">
        <f>'4.1 Comptes 2021 natures'!#REF!/'4.1 Comptes 2021 natures'!T2</f>
        <v>#REF!</v>
      </c>
      <c r="U172" s="4" t="e">
        <f>'4.1 Comptes 2021 natures'!#REF!/'4.1 Comptes 2021 natures'!U2</f>
        <v>#REF!</v>
      </c>
      <c r="V172" s="4" t="e">
        <f>'4.1 Comptes 2021 natures'!#REF!/'4.1 Comptes 2021 natures'!V2</f>
        <v>#REF!</v>
      </c>
      <c r="W172" s="4" t="e">
        <f>'4.1 Comptes 2021 natures'!#REF!/'4.1 Comptes 2021 natures'!W2</f>
        <v>#REF!</v>
      </c>
      <c r="X172" s="4" t="e">
        <f>'4.1 Comptes 2021 natures'!#REF!/'4.1 Comptes 2021 natures'!X2</f>
        <v>#REF!</v>
      </c>
      <c r="Y172" s="4" t="e">
        <f>'4.1 Comptes 2021 natures'!#REF!/'4.1 Comptes 2021 natures'!Y2</f>
        <v>#REF!</v>
      </c>
      <c r="Z172" s="4" t="e">
        <f>'4.1 Comptes 2021 natures'!#REF!/'4.1 Comptes 2021 natures'!Z2</f>
        <v>#REF!</v>
      </c>
      <c r="AA172" s="4" t="e">
        <f>'4.1 Comptes 2021 natures'!#REF!/'4.1 Comptes 2021 natures'!AA2</f>
        <v>#REF!</v>
      </c>
      <c r="AB172" s="4" t="e">
        <f>'4.1 Comptes 2021 natures'!#REF!/'4.1 Comptes 2021 natures'!AB2</f>
        <v>#REF!</v>
      </c>
      <c r="AC172" s="4" t="e">
        <f>'4.1 Comptes 2021 natures'!#REF!/'4.1 Comptes 2021 natures'!AC2</f>
        <v>#REF!</v>
      </c>
      <c r="AD172" s="4" t="e">
        <f>'4.1 Comptes 2021 natures'!#REF!/'4.1 Comptes 2021 natures'!AD2</f>
        <v>#REF!</v>
      </c>
      <c r="AE172" s="4" t="e">
        <f>'4.1 Comptes 2021 natures'!#REF!/'4.1 Comptes 2021 natures'!AE2</f>
        <v>#REF!</v>
      </c>
      <c r="AF172" s="4" t="e">
        <f>'4.1 Comptes 2021 natures'!#REF!/'4.1 Comptes 2021 natures'!AF2</f>
        <v>#REF!</v>
      </c>
      <c r="AG172" s="4" t="e">
        <f>'4.1 Comptes 2021 natures'!#REF!/'4.1 Comptes 2021 natures'!AG2</f>
        <v>#REF!</v>
      </c>
      <c r="AH172" s="4" t="e">
        <f>'4.1 Comptes 2021 natures'!#REF!/'4.1 Comptes 2021 natures'!AH2</f>
        <v>#REF!</v>
      </c>
      <c r="AI172" s="4" t="e">
        <f>'4.1 Comptes 2021 natures'!#REF!/'4.1 Comptes 2021 natures'!AI2</f>
        <v>#REF!</v>
      </c>
      <c r="AJ172" s="4" t="e">
        <f>'4.1 Comptes 2021 natures'!#REF!/'4.1 Comptes 2021 natures'!AJ2</f>
        <v>#REF!</v>
      </c>
      <c r="AK172" s="4" t="e">
        <f>'4.1 Comptes 2021 natures'!#REF!/'4.1 Comptes 2021 natures'!AK2</f>
        <v>#REF!</v>
      </c>
      <c r="AL172" s="4" t="e">
        <f>'4.1 Comptes 2021 natures'!#REF!/'4.1 Comptes 2021 natures'!AL2</f>
        <v>#REF!</v>
      </c>
      <c r="AM172" s="4" t="e">
        <f>'4.1 Comptes 2021 natures'!#REF!/'4.1 Comptes 2021 natures'!AM2</f>
        <v>#REF!</v>
      </c>
      <c r="AN172" s="4" t="e">
        <f>'4.1 Comptes 2021 natures'!#REF!/'4.1 Comptes 2021 natures'!AN2</f>
        <v>#REF!</v>
      </c>
      <c r="AO172" s="4" t="e">
        <f>'4.1 Comptes 2021 natures'!#REF!/'4.1 Comptes 2021 natures'!AO2</f>
        <v>#REF!</v>
      </c>
      <c r="AP172" s="4" t="e">
        <f>'4.1 Comptes 2021 natures'!#REF!/'4.1 Comptes 2021 natures'!AP2</f>
        <v>#REF!</v>
      </c>
      <c r="AQ172" s="4" t="e">
        <f>'4.1 Comptes 2021 natures'!#REF!/'4.1 Comptes 2021 natures'!AQ2</f>
        <v>#REF!</v>
      </c>
      <c r="AR172" s="4" t="e">
        <f>'4.1 Comptes 2021 natures'!#REF!/'4.1 Comptes 2021 natures'!AR2</f>
        <v>#REF!</v>
      </c>
      <c r="AS172" s="4" t="e">
        <f>'4.1 Comptes 2021 natures'!#REF!/'4.1 Comptes 2021 natures'!AS2</f>
        <v>#REF!</v>
      </c>
      <c r="AT172" s="4" t="e">
        <f>'4.1 Comptes 2021 natures'!#REF!/'4.1 Comptes 2021 natures'!AT2</f>
        <v>#REF!</v>
      </c>
      <c r="AU172" s="4" t="e">
        <f>'4.1 Comptes 2021 natures'!#REF!/'4.1 Comptes 2021 natures'!AU2</f>
        <v>#REF!</v>
      </c>
      <c r="AV172" s="4" t="e">
        <f>'4.1 Comptes 2021 natures'!#REF!/'4.1 Comptes 2021 natures'!AV2</f>
        <v>#REF!</v>
      </c>
      <c r="AW172" s="4" t="e">
        <f>'4.1 Comptes 2021 natures'!#REF!/'4.1 Comptes 2021 natures'!AW2</f>
        <v>#REF!</v>
      </c>
      <c r="AX172" s="4" t="e">
        <f>'4.1 Comptes 2021 natures'!#REF!/'4.1 Comptes 2021 natures'!AX2</f>
        <v>#REF!</v>
      </c>
      <c r="AY172" s="4" t="e">
        <f>'4.1 Comptes 2021 natures'!#REF!/'4.1 Comptes 2021 natures'!AY2</f>
        <v>#REF!</v>
      </c>
      <c r="AZ172" s="4" t="e">
        <f>'4.1 Comptes 2021 natures'!#REF!/'4.1 Comptes 2021 natures'!AZ2</f>
        <v>#REF!</v>
      </c>
      <c r="BA172" s="4" t="e">
        <f>'4.1 Comptes 2021 natures'!#REF!/'4.1 Comptes 2021 natures'!BA2</f>
        <v>#REF!</v>
      </c>
      <c r="BB172" s="4" t="e">
        <f>'4.1 Comptes 2021 natures'!#REF!/'4.1 Comptes 2021 natures'!BB2</f>
        <v>#REF!</v>
      </c>
      <c r="BC172" s="4" t="e">
        <f>'4.1 Comptes 2021 natures'!#REF!/'4.1 Comptes 2021 natures'!BC2</f>
        <v>#REF!</v>
      </c>
      <c r="BD172" s="4" t="e">
        <f>'4.1 Comptes 2021 natures'!#REF!/'4.1 Comptes 2021 natures'!BD2</f>
        <v>#REF!</v>
      </c>
      <c r="BE172" s="4" t="e">
        <f>'4.1 Comptes 2021 natures'!#REF!/'4.1 Comptes 2021 natures'!BE2</f>
        <v>#REF!</v>
      </c>
      <c r="BF172" s="4" t="e">
        <f t="shared" si="109"/>
        <v>#REF!</v>
      </c>
      <c r="BG172" s="4" t="e">
        <f t="shared" si="110"/>
        <v>#REF!</v>
      </c>
      <c r="BH172" s="4" t="e">
        <f t="shared" si="111"/>
        <v>#REF!</v>
      </c>
      <c r="BI172" s="4" t="e">
        <f t="shared" si="112"/>
        <v>#REF!</v>
      </c>
    </row>
    <row r="173" spans="3:61" x14ac:dyDescent="0.25">
      <c r="C173">
        <v>36228</v>
      </c>
      <c r="D173" t="s">
        <v>272</v>
      </c>
      <c r="E173" s="4" t="e">
        <f>'4.1 Comptes 2021 natures'!#REF!/'4.1 Comptes 2021 natures'!E2</f>
        <v>#REF!</v>
      </c>
      <c r="F173" s="4" t="e">
        <f>'4.1 Comptes 2021 natures'!#REF!/'4.1 Comptes 2021 natures'!F2</f>
        <v>#REF!</v>
      </c>
      <c r="G173" s="4" t="e">
        <f>'4.1 Comptes 2021 natures'!#REF!/'4.1 Comptes 2021 natures'!G2</f>
        <v>#REF!</v>
      </c>
      <c r="H173" s="4" t="e">
        <f>'4.1 Comptes 2021 natures'!#REF!/'4.1 Comptes 2021 natures'!H2</f>
        <v>#REF!</v>
      </c>
      <c r="I173" s="4" t="e">
        <f>'4.1 Comptes 2021 natures'!#REF!/'4.1 Comptes 2021 natures'!I2</f>
        <v>#REF!</v>
      </c>
      <c r="J173" s="4" t="e">
        <f>'4.1 Comptes 2021 natures'!#REF!/'4.1 Comptes 2021 natures'!J2</f>
        <v>#REF!</v>
      </c>
      <c r="K173" s="4" t="e">
        <f>'4.1 Comptes 2021 natures'!#REF!/'4.1 Comptes 2021 natures'!K2</f>
        <v>#REF!</v>
      </c>
      <c r="L173" s="4" t="e">
        <f>'4.1 Comptes 2021 natures'!#REF!/'4.1 Comptes 2021 natures'!L2</f>
        <v>#REF!</v>
      </c>
      <c r="M173" s="4" t="e">
        <f>'4.1 Comptes 2021 natures'!#REF!/'4.1 Comptes 2021 natures'!M2</f>
        <v>#REF!</v>
      </c>
      <c r="N173" s="4" t="e">
        <f>'4.1 Comptes 2021 natures'!#REF!/'4.1 Comptes 2021 natures'!N2</f>
        <v>#REF!</v>
      </c>
      <c r="O173" s="4" t="e">
        <f>'4.1 Comptes 2021 natures'!#REF!/'4.1 Comptes 2021 natures'!O2</f>
        <v>#REF!</v>
      </c>
      <c r="P173" s="4" t="e">
        <f>'4.1 Comptes 2021 natures'!#REF!/'4.1 Comptes 2021 natures'!P2</f>
        <v>#REF!</v>
      </c>
      <c r="Q173" s="4" t="e">
        <f>'4.1 Comptes 2021 natures'!#REF!/'4.1 Comptes 2021 natures'!Q2</f>
        <v>#REF!</v>
      </c>
      <c r="R173" s="4" t="e">
        <f>'4.1 Comptes 2021 natures'!#REF!/'4.1 Comptes 2021 natures'!R2</f>
        <v>#REF!</v>
      </c>
      <c r="S173" s="4" t="e">
        <f>'4.1 Comptes 2021 natures'!#REF!/'4.1 Comptes 2021 natures'!S2</f>
        <v>#REF!</v>
      </c>
      <c r="T173" s="4" t="e">
        <f>'4.1 Comptes 2021 natures'!#REF!/'4.1 Comptes 2021 natures'!T2</f>
        <v>#REF!</v>
      </c>
      <c r="U173" s="4" t="e">
        <f>'4.1 Comptes 2021 natures'!#REF!/'4.1 Comptes 2021 natures'!U2</f>
        <v>#REF!</v>
      </c>
      <c r="V173" s="4" t="e">
        <f>'4.1 Comptes 2021 natures'!#REF!/'4.1 Comptes 2021 natures'!V2</f>
        <v>#REF!</v>
      </c>
      <c r="W173" s="4" t="e">
        <f>'4.1 Comptes 2021 natures'!#REF!/'4.1 Comptes 2021 natures'!W2</f>
        <v>#REF!</v>
      </c>
      <c r="X173" s="4" t="e">
        <f>'4.1 Comptes 2021 natures'!#REF!/'4.1 Comptes 2021 natures'!X2</f>
        <v>#REF!</v>
      </c>
      <c r="Y173" s="4" t="e">
        <f>'4.1 Comptes 2021 natures'!#REF!/'4.1 Comptes 2021 natures'!Y2</f>
        <v>#REF!</v>
      </c>
      <c r="Z173" s="4" t="e">
        <f>'4.1 Comptes 2021 natures'!#REF!/'4.1 Comptes 2021 natures'!Z2</f>
        <v>#REF!</v>
      </c>
      <c r="AA173" s="4" t="e">
        <f>'4.1 Comptes 2021 natures'!#REF!/'4.1 Comptes 2021 natures'!AA2</f>
        <v>#REF!</v>
      </c>
      <c r="AB173" s="4" t="e">
        <f>'4.1 Comptes 2021 natures'!#REF!/'4.1 Comptes 2021 natures'!AB2</f>
        <v>#REF!</v>
      </c>
      <c r="AC173" s="4" t="e">
        <f>'4.1 Comptes 2021 natures'!#REF!/'4.1 Comptes 2021 natures'!AC2</f>
        <v>#REF!</v>
      </c>
      <c r="AD173" s="4" t="e">
        <f>'4.1 Comptes 2021 natures'!#REF!/'4.1 Comptes 2021 natures'!AD2</f>
        <v>#REF!</v>
      </c>
      <c r="AE173" s="4" t="e">
        <f>'4.1 Comptes 2021 natures'!#REF!/'4.1 Comptes 2021 natures'!AE2</f>
        <v>#REF!</v>
      </c>
      <c r="AF173" s="4" t="e">
        <f>'4.1 Comptes 2021 natures'!#REF!/'4.1 Comptes 2021 natures'!AF2</f>
        <v>#REF!</v>
      </c>
      <c r="AG173" s="4" t="e">
        <f>'4.1 Comptes 2021 natures'!#REF!/'4.1 Comptes 2021 natures'!AG2</f>
        <v>#REF!</v>
      </c>
      <c r="AH173" s="4" t="e">
        <f>'4.1 Comptes 2021 natures'!#REF!/'4.1 Comptes 2021 natures'!AH2</f>
        <v>#REF!</v>
      </c>
      <c r="AI173" s="4" t="e">
        <f>'4.1 Comptes 2021 natures'!#REF!/'4.1 Comptes 2021 natures'!AI2</f>
        <v>#REF!</v>
      </c>
      <c r="AJ173" s="4" t="e">
        <f>'4.1 Comptes 2021 natures'!#REF!/'4.1 Comptes 2021 natures'!AJ2</f>
        <v>#REF!</v>
      </c>
      <c r="AK173" s="4" t="e">
        <f>'4.1 Comptes 2021 natures'!#REF!/'4.1 Comptes 2021 natures'!AK2</f>
        <v>#REF!</v>
      </c>
      <c r="AL173" s="4" t="e">
        <f>'4.1 Comptes 2021 natures'!#REF!/'4.1 Comptes 2021 natures'!AL2</f>
        <v>#REF!</v>
      </c>
      <c r="AM173" s="4" t="e">
        <f>'4.1 Comptes 2021 natures'!#REF!/'4.1 Comptes 2021 natures'!AM2</f>
        <v>#REF!</v>
      </c>
      <c r="AN173" s="4" t="e">
        <f>'4.1 Comptes 2021 natures'!#REF!/'4.1 Comptes 2021 natures'!AN2</f>
        <v>#REF!</v>
      </c>
      <c r="AO173" s="4" t="e">
        <f>'4.1 Comptes 2021 natures'!#REF!/'4.1 Comptes 2021 natures'!AO2</f>
        <v>#REF!</v>
      </c>
      <c r="AP173" s="4" t="e">
        <f>'4.1 Comptes 2021 natures'!#REF!/'4.1 Comptes 2021 natures'!AP2</f>
        <v>#REF!</v>
      </c>
      <c r="AQ173" s="4" t="e">
        <f>'4.1 Comptes 2021 natures'!#REF!/'4.1 Comptes 2021 natures'!AQ2</f>
        <v>#REF!</v>
      </c>
      <c r="AR173" s="4" t="e">
        <f>'4.1 Comptes 2021 natures'!#REF!/'4.1 Comptes 2021 natures'!AR2</f>
        <v>#REF!</v>
      </c>
      <c r="AS173" s="4" t="e">
        <f>'4.1 Comptes 2021 natures'!#REF!/'4.1 Comptes 2021 natures'!AS2</f>
        <v>#REF!</v>
      </c>
      <c r="AT173" s="4" t="e">
        <f>'4.1 Comptes 2021 natures'!#REF!/'4.1 Comptes 2021 natures'!AT2</f>
        <v>#REF!</v>
      </c>
      <c r="AU173" s="4" t="e">
        <f>'4.1 Comptes 2021 natures'!#REF!/'4.1 Comptes 2021 natures'!AU2</f>
        <v>#REF!</v>
      </c>
      <c r="AV173" s="4" t="e">
        <f>'4.1 Comptes 2021 natures'!#REF!/'4.1 Comptes 2021 natures'!AV2</f>
        <v>#REF!</v>
      </c>
      <c r="AW173" s="4" t="e">
        <f>'4.1 Comptes 2021 natures'!#REF!/'4.1 Comptes 2021 natures'!AW2</f>
        <v>#REF!</v>
      </c>
      <c r="AX173" s="4" t="e">
        <f>'4.1 Comptes 2021 natures'!#REF!/'4.1 Comptes 2021 natures'!AX2</f>
        <v>#REF!</v>
      </c>
      <c r="AY173" s="4" t="e">
        <f>'4.1 Comptes 2021 natures'!#REF!/'4.1 Comptes 2021 natures'!AY2</f>
        <v>#REF!</v>
      </c>
      <c r="AZ173" s="4" t="e">
        <f>'4.1 Comptes 2021 natures'!#REF!/'4.1 Comptes 2021 natures'!AZ2</f>
        <v>#REF!</v>
      </c>
      <c r="BA173" s="4" t="e">
        <f>'4.1 Comptes 2021 natures'!#REF!/'4.1 Comptes 2021 natures'!BA2</f>
        <v>#REF!</v>
      </c>
      <c r="BB173" s="4" t="e">
        <f>'4.1 Comptes 2021 natures'!#REF!/'4.1 Comptes 2021 natures'!BB2</f>
        <v>#REF!</v>
      </c>
      <c r="BC173" s="4" t="e">
        <f>'4.1 Comptes 2021 natures'!#REF!/'4.1 Comptes 2021 natures'!BC2</f>
        <v>#REF!</v>
      </c>
      <c r="BD173" s="4" t="e">
        <f>'4.1 Comptes 2021 natures'!#REF!/'4.1 Comptes 2021 natures'!BD2</f>
        <v>#REF!</v>
      </c>
      <c r="BE173" s="4" t="e">
        <f>'4.1 Comptes 2021 natures'!#REF!/'4.1 Comptes 2021 natures'!BE2</f>
        <v>#REF!</v>
      </c>
      <c r="BF173" s="4" t="e">
        <f t="shared" si="109"/>
        <v>#REF!</v>
      </c>
      <c r="BG173" s="4" t="e">
        <f t="shared" si="110"/>
        <v>#REF!</v>
      </c>
      <c r="BH173" s="4" t="e">
        <f t="shared" si="111"/>
        <v>#REF!</v>
      </c>
      <c r="BI173" s="4" t="e">
        <f t="shared" si="112"/>
        <v>#REF!</v>
      </c>
    </row>
    <row r="174" spans="3:61" x14ac:dyDescent="0.25">
      <c r="C174">
        <v>3898</v>
      </c>
      <c r="D174" t="s">
        <v>292</v>
      </c>
      <c r="E174" s="4" t="e">
        <f>'4.1 Comptes 2021 natures'!#REF!/'4.1 Comptes 2021 natures'!E2</f>
        <v>#REF!</v>
      </c>
      <c r="F174" s="4" t="e">
        <f>'4.1 Comptes 2021 natures'!#REF!/'4.1 Comptes 2021 natures'!F2</f>
        <v>#REF!</v>
      </c>
      <c r="G174" s="4" t="e">
        <f>'4.1 Comptes 2021 natures'!#REF!/'4.1 Comptes 2021 natures'!G2</f>
        <v>#REF!</v>
      </c>
      <c r="H174" s="4" t="e">
        <f>'4.1 Comptes 2021 natures'!#REF!/'4.1 Comptes 2021 natures'!H2</f>
        <v>#REF!</v>
      </c>
      <c r="I174" s="4" t="e">
        <f>'4.1 Comptes 2021 natures'!#REF!/'4.1 Comptes 2021 natures'!I2</f>
        <v>#REF!</v>
      </c>
      <c r="J174" s="4" t="e">
        <f>'4.1 Comptes 2021 natures'!#REF!/'4.1 Comptes 2021 natures'!J2</f>
        <v>#REF!</v>
      </c>
      <c r="K174" s="4" t="e">
        <f>'4.1 Comptes 2021 natures'!#REF!/'4.1 Comptes 2021 natures'!K2</f>
        <v>#REF!</v>
      </c>
      <c r="L174" s="4" t="e">
        <f>'4.1 Comptes 2021 natures'!#REF!/'4.1 Comptes 2021 natures'!L2</f>
        <v>#REF!</v>
      </c>
      <c r="M174" s="4" t="e">
        <f>'4.1 Comptes 2021 natures'!#REF!/'4.1 Comptes 2021 natures'!M2</f>
        <v>#REF!</v>
      </c>
      <c r="N174" s="4" t="e">
        <f>'4.1 Comptes 2021 natures'!#REF!/'4.1 Comptes 2021 natures'!N2</f>
        <v>#REF!</v>
      </c>
      <c r="O174" s="4" t="e">
        <f>'4.1 Comptes 2021 natures'!#REF!/'4.1 Comptes 2021 natures'!O2</f>
        <v>#REF!</v>
      </c>
      <c r="P174" s="4" t="e">
        <f>'4.1 Comptes 2021 natures'!#REF!/'4.1 Comptes 2021 natures'!P2</f>
        <v>#REF!</v>
      </c>
      <c r="Q174" s="4" t="e">
        <f>'4.1 Comptes 2021 natures'!#REF!/'4.1 Comptes 2021 natures'!Q2</f>
        <v>#REF!</v>
      </c>
      <c r="R174" s="4" t="e">
        <f>'4.1 Comptes 2021 natures'!#REF!/'4.1 Comptes 2021 natures'!R2</f>
        <v>#REF!</v>
      </c>
      <c r="S174" s="4" t="e">
        <f>'4.1 Comptes 2021 natures'!#REF!/'4.1 Comptes 2021 natures'!S2</f>
        <v>#REF!</v>
      </c>
      <c r="T174" s="4" t="e">
        <f>'4.1 Comptes 2021 natures'!#REF!/'4.1 Comptes 2021 natures'!T2</f>
        <v>#REF!</v>
      </c>
      <c r="U174" s="4" t="e">
        <f>'4.1 Comptes 2021 natures'!#REF!/'4.1 Comptes 2021 natures'!U2</f>
        <v>#REF!</v>
      </c>
      <c r="V174" s="4" t="e">
        <f>'4.1 Comptes 2021 natures'!#REF!/'4.1 Comptes 2021 natures'!V2</f>
        <v>#REF!</v>
      </c>
      <c r="W174" s="4" t="e">
        <f>'4.1 Comptes 2021 natures'!#REF!/'4.1 Comptes 2021 natures'!W2</f>
        <v>#REF!</v>
      </c>
      <c r="X174" s="4" t="e">
        <f>'4.1 Comptes 2021 natures'!#REF!/'4.1 Comptes 2021 natures'!X2</f>
        <v>#REF!</v>
      </c>
      <c r="Y174" s="4" t="e">
        <f>'4.1 Comptes 2021 natures'!#REF!/'4.1 Comptes 2021 natures'!Y2</f>
        <v>#REF!</v>
      </c>
      <c r="Z174" s="4" t="e">
        <f>'4.1 Comptes 2021 natures'!#REF!/'4.1 Comptes 2021 natures'!Z2</f>
        <v>#REF!</v>
      </c>
      <c r="AA174" s="4" t="e">
        <f>'4.1 Comptes 2021 natures'!#REF!/'4.1 Comptes 2021 natures'!AA2</f>
        <v>#REF!</v>
      </c>
      <c r="AB174" s="4" t="e">
        <f>'4.1 Comptes 2021 natures'!#REF!/'4.1 Comptes 2021 natures'!AB2</f>
        <v>#REF!</v>
      </c>
      <c r="AC174" s="4" t="e">
        <f>'4.1 Comptes 2021 natures'!#REF!/'4.1 Comptes 2021 natures'!AC2</f>
        <v>#REF!</v>
      </c>
      <c r="AD174" s="4" t="e">
        <f>'4.1 Comptes 2021 natures'!#REF!/'4.1 Comptes 2021 natures'!AD2</f>
        <v>#REF!</v>
      </c>
      <c r="AE174" s="4" t="e">
        <f>'4.1 Comptes 2021 natures'!#REF!/'4.1 Comptes 2021 natures'!AE2</f>
        <v>#REF!</v>
      </c>
      <c r="AF174" s="4" t="e">
        <f>'4.1 Comptes 2021 natures'!#REF!/'4.1 Comptes 2021 natures'!AF2</f>
        <v>#REF!</v>
      </c>
      <c r="AG174" s="4" t="e">
        <f>'4.1 Comptes 2021 natures'!#REF!/'4.1 Comptes 2021 natures'!AG2</f>
        <v>#REF!</v>
      </c>
      <c r="AH174" s="4" t="e">
        <f>'4.1 Comptes 2021 natures'!#REF!/'4.1 Comptes 2021 natures'!AH2</f>
        <v>#REF!</v>
      </c>
      <c r="AI174" s="4" t="e">
        <f>'4.1 Comptes 2021 natures'!#REF!/'4.1 Comptes 2021 natures'!AI2</f>
        <v>#REF!</v>
      </c>
      <c r="AJ174" s="4" t="e">
        <f>'4.1 Comptes 2021 natures'!#REF!/'4.1 Comptes 2021 natures'!AJ2</f>
        <v>#REF!</v>
      </c>
      <c r="AK174" s="4" t="e">
        <f>'4.1 Comptes 2021 natures'!#REF!/'4.1 Comptes 2021 natures'!AK2</f>
        <v>#REF!</v>
      </c>
      <c r="AL174" s="4" t="e">
        <f>'4.1 Comptes 2021 natures'!#REF!/'4.1 Comptes 2021 natures'!AL2</f>
        <v>#REF!</v>
      </c>
      <c r="AM174" s="4" t="e">
        <f>'4.1 Comptes 2021 natures'!#REF!/'4.1 Comptes 2021 natures'!AM2</f>
        <v>#REF!</v>
      </c>
      <c r="AN174" s="4" t="e">
        <f>'4.1 Comptes 2021 natures'!#REF!/'4.1 Comptes 2021 natures'!AN2</f>
        <v>#REF!</v>
      </c>
      <c r="AO174" s="4" t="e">
        <f>'4.1 Comptes 2021 natures'!#REF!/'4.1 Comptes 2021 natures'!AO2</f>
        <v>#REF!</v>
      </c>
      <c r="AP174" s="4" t="e">
        <f>'4.1 Comptes 2021 natures'!#REF!/'4.1 Comptes 2021 natures'!AP2</f>
        <v>#REF!</v>
      </c>
      <c r="AQ174" s="4" t="e">
        <f>'4.1 Comptes 2021 natures'!#REF!/'4.1 Comptes 2021 natures'!AQ2</f>
        <v>#REF!</v>
      </c>
      <c r="AR174" s="4" t="e">
        <f>'4.1 Comptes 2021 natures'!#REF!/'4.1 Comptes 2021 natures'!AR2</f>
        <v>#REF!</v>
      </c>
      <c r="AS174" s="4" t="e">
        <f>'4.1 Comptes 2021 natures'!#REF!/'4.1 Comptes 2021 natures'!AS2</f>
        <v>#REF!</v>
      </c>
      <c r="AT174" s="4" t="e">
        <f>'4.1 Comptes 2021 natures'!#REF!/'4.1 Comptes 2021 natures'!AT2</f>
        <v>#REF!</v>
      </c>
      <c r="AU174" s="4" t="e">
        <f>'4.1 Comptes 2021 natures'!#REF!/'4.1 Comptes 2021 natures'!AU2</f>
        <v>#REF!</v>
      </c>
      <c r="AV174" s="4" t="e">
        <f>'4.1 Comptes 2021 natures'!#REF!/'4.1 Comptes 2021 natures'!AV2</f>
        <v>#REF!</v>
      </c>
      <c r="AW174" s="4" t="e">
        <f>'4.1 Comptes 2021 natures'!#REF!/'4.1 Comptes 2021 natures'!AW2</f>
        <v>#REF!</v>
      </c>
      <c r="AX174" s="4" t="e">
        <f>'4.1 Comptes 2021 natures'!#REF!/'4.1 Comptes 2021 natures'!AX2</f>
        <v>#REF!</v>
      </c>
      <c r="AY174" s="4" t="e">
        <f>'4.1 Comptes 2021 natures'!#REF!/'4.1 Comptes 2021 natures'!AY2</f>
        <v>#REF!</v>
      </c>
      <c r="AZ174" s="4" t="e">
        <f>'4.1 Comptes 2021 natures'!#REF!/'4.1 Comptes 2021 natures'!AZ2</f>
        <v>#REF!</v>
      </c>
      <c r="BA174" s="4" t="e">
        <f>'4.1 Comptes 2021 natures'!#REF!/'4.1 Comptes 2021 natures'!BA2</f>
        <v>#REF!</v>
      </c>
      <c r="BB174" s="4" t="e">
        <f>'4.1 Comptes 2021 natures'!#REF!/'4.1 Comptes 2021 natures'!BB2</f>
        <v>#REF!</v>
      </c>
      <c r="BC174" s="4" t="e">
        <f>'4.1 Comptes 2021 natures'!#REF!/'4.1 Comptes 2021 natures'!BC2</f>
        <v>#REF!</v>
      </c>
      <c r="BD174" s="4" t="e">
        <f>'4.1 Comptes 2021 natures'!#REF!/'4.1 Comptes 2021 natures'!BD2</f>
        <v>#REF!</v>
      </c>
      <c r="BE174" s="4" t="e">
        <f>'4.1 Comptes 2021 natures'!#REF!/'4.1 Comptes 2021 natures'!BE2</f>
        <v>#REF!</v>
      </c>
      <c r="BF174" s="4" t="e">
        <f t="shared" si="109"/>
        <v>#REF!</v>
      </c>
      <c r="BG174" s="4" t="e">
        <f t="shared" si="110"/>
        <v>#REF!</v>
      </c>
      <c r="BH174" s="4" t="e">
        <f t="shared" si="111"/>
        <v>#REF!</v>
      </c>
      <c r="BI174" s="4" t="e">
        <f t="shared" si="112"/>
        <v>#REF!</v>
      </c>
    </row>
    <row r="175" spans="3:61" x14ac:dyDescent="0.25">
      <c r="C175">
        <v>90010</v>
      </c>
      <c r="D175" t="s">
        <v>298</v>
      </c>
      <c r="E175" s="4" t="e">
        <f>'4.1 Comptes 2021 natures'!#REF!/'4.1 Comptes 2021 natures'!E2</f>
        <v>#REF!</v>
      </c>
      <c r="F175" s="4" t="e">
        <f>'4.1 Comptes 2021 natures'!#REF!/'4.1 Comptes 2021 natures'!F2</f>
        <v>#REF!</v>
      </c>
      <c r="G175" s="4" t="e">
        <f>'4.1 Comptes 2021 natures'!#REF!/'4.1 Comptes 2021 natures'!G2</f>
        <v>#REF!</v>
      </c>
      <c r="H175" s="4" t="e">
        <f>'4.1 Comptes 2021 natures'!#REF!/'4.1 Comptes 2021 natures'!H2</f>
        <v>#REF!</v>
      </c>
      <c r="I175" s="4" t="e">
        <f>'4.1 Comptes 2021 natures'!#REF!/'4.1 Comptes 2021 natures'!I2</f>
        <v>#REF!</v>
      </c>
      <c r="J175" s="4" t="e">
        <f>'4.1 Comptes 2021 natures'!#REF!/'4.1 Comptes 2021 natures'!J2</f>
        <v>#REF!</v>
      </c>
      <c r="K175" s="4" t="e">
        <f>'4.1 Comptes 2021 natures'!#REF!/'4.1 Comptes 2021 natures'!K2</f>
        <v>#REF!</v>
      </c>
      <c r="L175" s="4" t="e">
        <f>'4.1 Comptes 2021 natures'!#REF!/'4.1 Comptes 2021 natures'!L2</f>
        <v>#REF!</v>
      </c>
      <c r="M175" s="4" t="e">
        <f>'4.1 Comptes 2021 natures'!#REF!/'4.1 Comptes 2021 natures'!M2</f>
        <v>#REF!</v>
      </c>
      <c r="N175" s="4" t="e">
        <f>'4.1 Comptes 2021 natures'!#REF!/'4.1 Comptes 2021 natures'!N2</f>
        <v>#REF!</v>
      </c>
      <c r="O175" s="4" t="e">
        <f>'4.1 Comptes 2021 natures'!#REF!/'4.1 Comptes 2021 natures'!O2</f>
        <v>#REF!</v>
      </c>
      <c r="P175" s="4" t="e">
        <f>'4.1 Comptes 2021 natures'!#REF!/'4.1 Comptes 2021 natures'!P2</f>
        <v>#REF!</v>
      </c>
      <c r="Q175" s="4" t="e">
        <f>'4.1 Comptes 2021 natures'!#REF!/'4.1 Comptes 2021 natures'!Q2</f>
        <v>#REF!</v>
      </c>
      <c r="R175" s="4" t="e">
        <f>'4.1 Comptes 2021 natures'!#REF!/'4.1 Comptes 2021 natures'!R2</f>
        <v>#REF!</v>
      </c>
      <c r="S175" s="4" t="e">
        <f>'4.1 Comptes 2021 natures'!#REF!/'4.1 Comptes 2021 natures'!S2</f>
        <v>#REF!</v>
      </c>
      <c r="T175" s="4" t="e">
        <f>'4.1 Comptes 2021 natures'!#REF!/'4.1 Comptes 2021 natures'!T2</f>
        <v>#REF!</v>
      </c>
      <c r="U175" s="4" t="e">
        <f>'4.1 Comptes 2021 natures'!#REF!/'4.1 Comptes 2021 natures'!U2</f>
        <v>#REF!</v>
      </c>
      <c r="V175" s="4" t="e">
        <f>'4.1 Comptes 2021 natures'!#REF!/'4.1 Comptes 2021 natures'!V2</f>
        <v>#REF!</v>
      </c>
      <c r="W175" s="4" t="e">
        <f>'4.1 Comptes 2021 natures'!#REF!/'4.1 Comptes 2021 natures'!W2</f>
        <v>#REF!</v>
      </c>
      <c r="X175" s="4" t="e">
        <f>'4.1 Comptes 2021 natures'!#REF!/'4.1 Comptes 2021 natures'!X2</f>
        <v>#REF!</v>
      </c>
      <c r="Y175" s="4" t="e">
        <f>'4.1 Comptes 2021 natures'!#REF!/'4.1 Comptes 2021 natures'!Y2</f>
        <v>#REF!</v>
      </c>
      <c r="Z175" s="4" t="e">
        <f>'4.1 Comptes 2021 natures'!#REF!/'4.1 Comptes 2021 natures'!Z2</f>
        <v>#REF!</v>
      </c>
      <c r="AA175" s="4" t="e">
        <f>'4.1 Comptes 2021 natures'!#REF!/'4.1 Comptes 2021 natures'!AA2</f>
        <v>#REF!</v>
      </c>
      <c r="AB175" s="4" t="e">
        <f>'4.1 Comptes 2021 natures'!#REF!/'4.1 Comptes 2021 natures'!AB2</f>
        <v>#REF!</v>
      </c>
      <c r="AC175" s="4" t="e">
        <f>'4.1 Comptes 2021 natures'!#REF!/'4.1 Comptes 2021 natures'!AC2</f>
        <v>#REF!</v>
      </c>
      <c r="AD175" s="4" t="e">
        <f>'4.1 Comptes 2021 natures'!#REF!/'4.1 Comptes 2021 natures'!AD2</f>
        <v>#REF!</v>
      </c>
      <c r="AE175" s="4" t="e">
        <f>'4.1 Comptes 2021 natures'!#REF!/'4.1 Comptes 2021 natures'!AE2</f>
        <v>#REF!</v>
      </c>
      <c r="AF175" s="4" t="e">
        <f>'4.1 Comptes 2021 natures'!#REF!/'4.1 Comptes 2021 natures'!AF2</f>
        <v>#REF!</v>
      </c>
      <c r="AG175" s="4" t="e">
        <f>'4.1 Comptes 2021 natures'!#REF!/'4.1 Comptes 2021 natures'!AG2</f>
        <v>#REF!</v>
      </c>
      <c r="AH175" s="4" t="e">
        <f>'4.1 Comptes 2021 natures'!#REF!/'4.1 Comptes 2021 natures'!AH2</f>
        <v>#REF!</v>
      </c>
      <c r="AI175" s="4" t="e">
        <f>'4.1 Comptes 2021 natures'!#REF!/'4.1 Comptes 2021 natures'!AI2</f>
        <v>#REF!</v>
      </c>
      <c r="AJ175" s="4" t="e">
        <f>'4.1 Comptes 2021 natures'!#REF!/'4.1 Comptes 2021 natures'!AJ2</f>
        <v>#REF!</v>
      </c>
      <c r="AK175" s="4" t="e">
        <f>'4.1 Comptes 2021 natures'!#REF!/'4.1 Comptes 2021 natures'!AK2</f>
        <v>#REF!</v>
      </c>
      <c r="AL175" s="4" t="e">
        <f>'4.1 Comptes 2021 natures'!#REF!/'4.1 Comptes 2021 natures'!AL2</f>
        <v>#REF!</v>
      </c>
      <c r="AM175" s="4" t="e">
        <f>'4.1 Comptes 2021 natures'!#REF!/'4.1 Comptes 2021 natures'!AM2</f>
        <v>#REF!</v>
      </c>
      <c r="AN175" s="4" t="e">
        <f>'4.1 Comptes 2021 natures'!#REF!/'4.1 Comptes 2021 natures'!AN2</f>
        <v>#REF!</v>
      </c>
      <c r="AO175" s="4" t="e">
        <f>'4.1 Comptes 2021 natures'!#REF!/'4.1 Comptes 2021 natures'!AO2</f>
        <v>#REF!</v>
      </c>
      <c r="AP175" s="4" t="e">
        <f>'4.1 Comptes 2021 natures'!#REF!/'4.1 Comptes 2021 natures'!AP2</f>
        <v>#REF!</v>
      </c>
      <c r="AQ175" s="4" t="e">
        <f>'4.1 Comptes 2021 natures'!#REF!/'4.1 Comptes 2021 natures'!AQ2</f>
        <v>#REF!</v>
      </c>
      <c r="AR175" s="4" t="e">
        <f>'4.1 Comptes 2021 natures'!#REF!/'4.1 Comptes 2021 natures'!AR2</f>
        <v>#REF!</v>
      </c>
      <c r="AS175" s="4" t="e">
        <f>'4.1 Comptes 2021 natures'!#REF!/'4.1 Comptes 2021 natures'!AS2</f>
        <v>#REF!</v>
      </c>
      <c r="AT175" s="4" t="e">
        <f>'4.1 Comptes 2021 natures'!#REF!/'4.1 Comptes 2021 natures'!AT2</f>
        <v>#REF!</v>
      </c>
      <c r="AU175" s="4" t="e">
        <f>'4.1 Comptes 2021 natures'!#REF!/'4.1 Comptes 2021 natures'!AU2</f>
        <v>#REF!</v>
      </c>
      <c r="AV175" s="4" t="e">
        <f>'4.1 Comptes 2021 natures'!#REF!/'4.1 Comptes 2021 natures'!AV2</f>
        <v>#REF!</v>
      </c>
      <c r="AW175" s="4" t="e">
        <f>'4.1 Comptes 2021 natures'!#REF!/'4.1 Comptes 2021 natures'!AW2</f>
        <v>#REF!</v>
      </c>
      <c r="AX175" s="4" t="e">
        <f>'4.1 Comptes 2021 natures'!#REF!/'4.1 Comptes 2021 natures'!AX2</f>
        <v>#REF!</v>
      </c>
      <c r="AY175" s="4" t="e">
        <f>'4.1 Comptes 2021 natures'!#REF!/'4.1 Comptes 2021 natures'!AY2</f>
        <v>#REF!</v>
      </c>
      <c r="AZ175" s="4" t="e">
        <f>'4.1 Comptes 2021 natures'!#REF!/'4.1 Comptes 2021 natures'!AZ2</f>
        <v>#REF!</v>
      </c>
      <c r="BA175" s="4" t="e">
        <f>'4.1 Comptes 2021 natures'!#REF!/'4.1 Comptes 2021 natures'!BA2</f>
        <v>#REF!</v>
      </c>
      <c r="BB175" s="4" t="e">
        <f>'4.1 Comptes 2021 natures'!#REF!/'4.1 Comptes 2021 natures'!BB2</f>
        <v>#REF!</v>
      </c>
      <c r="BC175" s="4" t="e">
        <f>'4.1 Comptes 2021 natures'!#REF!/'4.1 Comptes 2021 natures'!BC2</f>
        <v>#REF!</v>
      </c>
      <c r="BD175" s="4" t="e">
        <f>'4.1 Comptes 2021 natures'!#REF!/'4.1 Comptes 2021 natures'!BD2</f>
        <v>#REF!</v>
      </c>
      <c r="BE175" s="4" t="e">
        <f>'4.1 Comptes 2021 natures'!#REF!/'4.1 Comptes 2021 natures'!BE2</f>
        <v>#REF!</v>
      </c>
      <c r="BF175" s="4" t="e">
        <f t="shared" si="109"/>
        <v>#REF!</v>
      </c>
      <c r="BG175" s="4" t="e">
        <f t="shared" si="110"/>
        <v>#REF!</v>
      </c>
      <c r="BH175" s="4" t="e">
        <f t="shared" si="111"/>
        <v>#REF!</v>
      </c>
      <c r="BI175" s="4" t="e">
        <f t="shared" si="112"/>
        <v>#REF!</v>
      </c>
    </row>
    <row r="176" spans="3:61" x14ac:dyDescent="0.25">
      <c r="C176">
        <v>9031</v>
      </c>
      <c r="D176" t="s">
        <v>294</v>
      </c>
      <c r="E176" s="4" t="e">
        <f>'4.1 Comptes 2021 natures'!#REF!/'4.1 Comptes 2021 natures'!E2</f>
        <v>#REF!</v>
      </c>
      <c r="F176" s="4" t="e">
        <f>'4.1 Comptes 2021 natures'!#REF!/'4.1 Comptes 2021 natures'!F2</f>
        <v>#REF!</v>
      </c>
      <c r="G176" s="4" t="e">
        <f>'4.1 Comptes 2021 natures'!#REF!/'4.1 Comptes 2021 natures'!G2</f>
        <v>#REF!</v>
      </c>
      <c r="H176" s="4" t="e">
        <f>'4.1 Comptes 2021 natures'!#REF!/'4.1 Comptes 2021 natures'!H2</f>
        <v>#REF!</v>
      </c>
      <c r="I176" s="4" t="e">
        <f>'4.1 Comptes 2021 natures'!#REF!/'4.1 Comptes 2021 natures'!I2</f>
        <v>#REF!</v>
      </c>
      <c r="J176" s="4" t="e">
        <f>'4.1 Comptes 2021 natures'!#REF!/'4.1 Comptes 2021 natures'!J2</f>
        <v>#REF!</v>
      </c>
      <c r="K176" s="4" t="e">
        <f>'4.1 Comptes 2021 natures'!#REF!/'4.1 Comptes 2021 natures'!K2</f>
        <v>#REF!</v>
      </c>
      <c r="L176" s="4" t="e">
        <f>'4.1 Comptes 2021 natures'!#REF!/'4.1 Comptes 2021 natures'!L2</f>
        <v>#REF!</v>
      </c>
      <c r="M176" s="4" t="e">
        <f>'4.1 Comptes 2021 natures'!#REF!/'4.1 Comptes 2021 natures'!M2</f>
        <v>#REF!</v>
      </c>
      <c r="N176" s="4" t="e">
        <f>'4.1 Comptes 2021 natures'!#REF!/'4.1 Comptes 2021 natures'!N2</f>
        <v>#REF!</v>
      </c>
      <c r="O176" s="4" t="e">
        <f>'4.1 Comptes 2021 natures'!#REF!/'4.1 Comptes 2021 natures'!O2</f>
        <v>#REF!</v>
      </c>
      <c r="P176" s="4" t="e">
        <f>'4.1 Comptes 2021 natures'!#REF!/'4.1 Comptes 2021 natures'!P2</f>
        <v>#REF!</v>
      </c>
      <c r="Q176" s="4" t="e">
        <f>'4.1 Comptes 2021 natures'!#REF!/'4.1 Comptes 2021 natures'!Q2</f>
        <v>#REF!</v>
      </c>
      <c r="R176" s="4" t="e">
        <f>'4.1 Comptes 2021 natures'!#REF!/'4.1 Comptes 2021 natures'!R2</f>
        <v>#REF!</v>
      </c>
      <c r="S176" s="4" t="e">
        <f>'4.1 Comptes 2021 natures'!#REF!/'4.1 Comptes 2021 natures'!S2</f>
        <v>#REF!</v>
      </c>
      <c r="T176" s="4" t="e">
        <f>'4.1 Comptes 2021 natures'!#REF!/'4.1 Comptes 2021 natures'!T2</f>
        <v>#REF!</v>
      </c>
      <c r="U176" s="4" t="e">
        <f>'4.1 Comptes 2021 natures'!#REF!/'4.1 Comptes 2021 natures'!U2</f>
        <v>#REF!</v>
      </c>
      <c r="V176" s="4" t="e">
        <f>'4.1 Comptes 2021 natures'!#REF!/'4.1 Comptes 2021 natures'!V2</f>
        <v>#REF!</v>
      </c>
      <c r="W176" s="4" t="e">
        <f>'4.1 Comptes 2021 natures'!#REF!/'4.1 Comptes 2021 natures'!W2</f>
        <v>#REF!</v>
      </c>
      <c r="X176" s="4" t="e">
        <f>'4.1 Comptes 2021 natures'!#REF!/'4.1 Comptes 2021 natures'!X2</f>
        <v>#REF!</v>
      </c>
      <c r="Y176" s="4" t="e">
        <f>'4.1 Comptes 2021 natures'!#REF!/'4.1 Comptes 2021 natures'!Y2</f>
        <v>#REF!</v>
      </c>
      <c r="Z176" s="4" t="e">
        <f>'4.1 Comptes 2021 natures'!#REF!/'4.1 Comptes 2021 natures'!Z2</f>
        <v>#REF!</v>
      </c>
      <c r="AA176" s="4" t="e">
        <f>'4.1 Comptes 2021 natures'!#REF!/'4.1 Comptes 2021 natures'!AA2</f>
        <v>#REF!</v>
      </c>
      <c r="AB176" s="4" t="e">
        <f>'4.1 Comptes 2021 natures'!#REF!/'4.1 Comptes 2021 natures'!AB2</f>
        <v>#REF!</v>
      </c>
      <c r="AC176" s="4" t="e">
        <f>'4.1 Comptes 2021 natures'!#REF!/'4.1 Comptes 2021 natures'!AC2</f>
        <v>#REF!</v>
      </c>
      <c r="AD176" s="4" t="e">
        <f>'4.1 Comptes 2021 natures'!#REF!/'4.1 Comptes 2021 natures'!AD2</f>
        <v>#REF!</v>
      </c>
      <c r="AE176" s="4" t="e">
        <f>'4.1 Comptes 2021 natures'!#REF!/'4.1 Comptes 2021 natures'!AE2</f>
        <v>#REF!</v>
      </c>
      <c r="AF176" s="4" t="e">
        <f>'4.1 Comptes 2021 natures'!#REF!/'4.1 Comptes 2021 natures'!AF2</f>
        <v>#REF!</v>
      </c>
      <c r="AG176" s="4" t="e">
        <f>'4.1 Comptes 2021 natures'!#REF!/'4.1 Comptes 2021 natures'!AG2</f>
        <v>#REF!</v>
      </c>
      <c r="AH176" s="4" t="e">
        <f>'4.1 Comptes 2021 natures'!#REF!/'4.1 Comptes 2021 natures'!AH2</f>
        <v>#REF!</v>
      </c>
      <c r="AI176" s="4" t="e">
        <f>'4.1 Comptes 2021 natures'!#REF!/'4.1 Comptes 2021 natures'!AI2</f>
        <v>#REF!</v>
      </c>
      <c r="AJ176" s="4" t="e">
        <f>'4.1 Comptes 2021 natures'!#REF!/'4.1 Comptes 2021 natures'!AJ2</f>
        <v>#REF!</v>
      </c>
      <c r="AK176" s="4" t="e">
        <f>'4.1 Comptes 2021 natures'!#REF!/'4.1 Comptes 2021 natures'!AK2</f>
        <v>#REF!</v>
      </c>
      <c r="AL176" s="4" t="e">
        <f>'4.1 Comptes 2021 natures'!#REF!/'4.1 Comptes 2021 natures'!AL2</f>
        <v>#REF!</v>
      </c>
      <c r="AM176" s="4" t="e">
        <f>'4.1 Comptes 2021 natures'!#REF!/'4.1 Comptes 2021 natures'!AM2</f>
        <v>#REF!</v>
      </c>
      <c r="AN176" s="4" t="e">
        <f>'4.1 Comptes 2021 natures'!#REF!/'4.1 Comptes 2021 natures'!AN2</f>
        <v>#REF!</v>
      </c>
      <c r="AO176" s="4" t="e">
        <f>'4.1 Comptes 2021 natures'!#REF!/'4.1 Comptes 2021 natures'!AO2</f>
        <v>#REF!</v>
      </c>
      <c r="AP176" s="4" t="e">
        <f>'4.1 Comptes 2021 natures'!#REF!/'4.1 Comptes 2021 natures'!AP2</f>
        <v>#REF!</v>
      </c>
      <c r="AQ176" s="4" t="e">
        <f>'4.1 Comptes 2021 natures'!#REF!/'4.1 Comptes 2021 natures'!AQ2</f>
        <v>#REF!</v>
      </c>
      <c r="AR176" s="4" t="e">
        <f>'4.1 Comptes 2021 natures'!#REF!/'4.1 Comptes 2021 natures'!AR2</f>
        <v>#REF!</v>
      </c>
      <c r="AS176" s="4" t="e">
        <f>'4.1 Comptes 2021 natures'!#REF!/'4.1 Comptes 2021 natures'!AS2</f>
        <v>#REF!</v>
      </c>
      <c r="AT176" s="4" t="e">
        <f>'4.1 Comptes 2021 natures'!#REF!/'4.1 Comptes 2021 natures'!AT2</f>
        <v>#REF!</v>
      </c>
      <c r="AU176" s="4" t="e">
        <f>'4.1 Comptes 2021 natures'!#REF!/'4.1 Comptes 2021 natures'!AU2</f>
        <v>#REF!</v>
      </c>
      <c r="AV176" s="4" t="e">
        <f>'4.1 Comptes 2021 natures'!#REF!/'4.1 Comptes 2021 natures'!AV2</f>
        <v>#REF!</v>
      </c>
      <c r="AW176" s="4" t="e">
        <f>'4.1 Comptes 2021 natures'!#REF!/'4.1 Comptes 2021 natures'!AW2</f>
        <v>#REF!</v>
      </c>
      <c r="AX176" s="4" t="e">
        <f>'4.1 Comptes 2021 natures'!#REF!/'4.1 Comptes 2021 natures'!AX2</f>
        <v>#REF!</v>
      </c>
      <c r="AY176" s="4" t="e">
        <f>'4.1 Comptes 2021 natures'!#REF!/'4.1 Comptes 2021 natures'!AY2</f>
        <v>#REF!</v>
      </c>
      <c r="AZ176" s="4" t="e">
        <f>'4.1 Comptes 2021 natures'!#REF!/'4.1 Comptes 2021 natures'!AZ2</f>
        <v>#REF!</v>
      </c>
      <c r="BA176" s="4" t="e">
        <f>'4.1 Comptes 2021 natures'!#REF!/'4.1 Comptes 2021 natures'!BA2</f>
        <v>#REF!</v>
      </c>
      <c r="BB176" s="4" t="e">
        <f>'4.1 Comptes 2021 natures'!#REF!/'4.1 Comptes 2021 natures'!BB2</f>
        <v>#REF!</v>
      </c>
      <c r="BC176" s="4" t="e">
        <f>'4.1 Comptes 2021 natures'!#REF!/'4.1 Comptes 2021 natures'!BC2</f>
        <v>#REF!</v>
      </c>
      <c r="BD176" s="4" t="e">
        <f>'4.1 Comptes 2021 natures'!#REF!/'4.1 Comptes 2021 natures'!BD2</f>
        <v>#REF!</v>
      </c>
      <c r="BE176" s="4" t="e">
        <f>'4.1 Comptes 2021 natures'!#REF!/'4.1 Comptes 2021 natures'!BE2</f>
        <v>#REF!</v>
      </c>
      <c r="BF176" s="4" t="e">
        <f t="shared" si="109"/>
        <v>#REF!</v>
      </c>
      <c r="BG176" s="4" t="e">
        <f t="shared" si="110"/>
        <v>#REF!</v>
      </c>
      <c r="BH176" s="4" t="e">
        <f t="shared" si="111"/>
        <v>#REF!</v>
      </c>
      <c r="BI176" s="4" t="e">
        <f t="shared" si="112"/>
        <v>#REF!</v>
      </c>
    </row>
    <row r="177" spans="4:61" x14ac:dyDescent="0.25">
      <c r="M177" s="4"/>
    </row>
    <row r="178" spans="4:61" x14ac:dyDescent="0.25">
      <c r="D178" s="48" t="s">
        <v>237</v>
      </c>
      <c r="E178" s="49">
        <f>E64-E140</f>
        <v>0</v>
      </c>
      <c r="F178" s="49">
        <f t="shared" ref="F178:BI178" si="113">F64-F140</f>
        <v>0</v>
      </c>
      <c r="G178" s="49">
        <f t="shared" si="113"/>
        <v>0</v>
      </c>
      <c r="H178" s="49">
        <f t="shared" si="113"/>
        <v>0</v>
      </c>
      <c r="I178" s="49">
        <f t="shared" si="113"/>
        <v>0</v>
      </c>
      <c r="J178" s="49">
        <f t="shared" si="113"/>
        <v>0</v>
      </c>
      <c r="K178" s="49">
        <f t="shared" si="113"/>
        <v>0</v>
      </c>
      <c r="L178" s="49">
        <f t="shared" si="113"/>
        <v>0</v>
      </c>
      <c r="M178" s="49">
        <f t="shared" si="113"/>
        <v>0</v>
      </c>
      <c r="N178" s="49">
        <f t="shared" si="113"/>
        <v>-76.647008547008554</v>
      </c>
      <c r="O178" s="49">
        <f t="shared" si="113"/>
        <v>0</v>
      </c>
      <c r="P178" s="49">
        <f t="shared" si="113"/>
        <v>0</v>
      </c>
      <c r="Q178" s="49">
        <f t="shared" si="113"/>
        <v>0</v>
      </c>
      <c r="R178" s="49">
        <f t="shared" si="113"/>
        <v>-26.539192399049895</v>
      </c>
      <c r="S178" s="49">
        <f t="shared" si="113"/>
        <v>0</v>
      </c>
      <c r="T178" s="49">
        <f t="shared" si="113"/>
        <v>0.14859154929577301</v>
      </c>
      <c r="U178" s="49">
        <f t="shared" si="113"/>
        <v>0</v>
      </c>
      <c r="V178" s="49">
        <f t="shared" si="113"/>
        <v>0</v>
      </c>
      <c r="W178" s="49">
        <f t="shared" si="113"/>
        <v>0</v>
      </c>
      <c r="X178" s="49">
        <f t="shared" si="113"/>
        <v>0</v>
      </c>
      <c r="Y178" s="49">
        <f t="shared" si="113"/>
        <v>0</v>
      </c>
      <c r="Z178" s="49">
        <f t="shared" si="113"/>
        <v>0</v>
      </c>
      <c r="AA178" s="49">
        <f t="shared" si="113"/>
        <v>-3.0562500000000057</v>
      </c>
      <c r="AB178" s="49">
        <f t="shared" si="113"/>
        <v>0</v>
      </c>
      <c r="AC178" s="49">
        <f t="shared" si="113"/>
        <v>0</v>
      </c>
      <c r="AD178" s="49">
        <f t="shared" si="113"/>
        <v>0</v>
      </c>
      <c r="AE178" s="49">
        <f t="shared" si="113"/>
        <v>0</v>
      </c>
      <c r="AF178" s="49">
        <f t="shared" si="113"/>
        <v>0</v>
      </c>
      <c r="AG178" s="49">
        <f t="shared" si="113"/>
        <v>0</v>
      </c>
      <c r="AH178" s="49">
        <f t="shared" si="113"/>
        <v>0</v>
      </c>
      <c r="AI178" s="49">
        <f t="shared" si="113"/>
        <v>0</v>
      </c>
      <c r="AJ178" s="49">
        <f t="shared" si="113"/>
        <v>0</v>
      </c>
      <c r="AK178" s="49">
        <f t="shared" si="113"/>
        <v>0</v>
      </c>
      <c r="AL178" s="49">
        <f t="shared" si="113"/>
        <v>0</v>
      </c>
      <c r="AM178" s="49">
        <f t="shared" si="113"/>
        <v>0</v>
      </c>
      <c r="AN178" s="49">
        <f t="shared" si="113"/>
        <v>0</v>
      </c>
      <c r="AO178" s="49">
        <f t="shared" si="113"/>
        <v>-3.1475105485232007</v>
      </c>
      <c r="AP178" s="49">
        <f t="shared" si="113"/>
        <v>0</v>
      </c>
      <c r="AQ178" s="49">
        <f t="shared" si="113"/>
        <v>0</v>
      </c>
      <c r="AR178" s="49">
        <f t="shared" si="113"/>
        <v>0</v>
      </c>
      <c r="AS178" s="49">
        <f t="shared" si="113"/>
        <v>0.31087551299589222</v>
      </c>
      <c r="AT178" s="49">
        <f t="shared" si="113"/>
        <v>0</v>
      </c>
      <c r="AU178" s="49">
        <f t="shared" si="113"/>
        <v>0</v>
      </c>
      <c r="AV178" s="49">
        <f t="shared" si="113"/>
        <v>0</v>
      </c>
      <c r="AW178" s="49">
        <f t="shared" si="113"/>
        <v>0</v>
      </c>
      <c r="AX178" s="49">
        <f t="shared" si="113"/>
        <v>0</v>
      </c>
      <c r="AY178" s="49">
        <f t="shared" si="113"/>
        <v>0</v>
      </c>
      <c r="AZ178" s="49">
        <f t="shared" si="113"/>
        <v>0</v>
      </c>
      <c r="BA178" s="49">
        <f t="shared" si="113"/>
        <v>0</v>
      </c>
      <c r="BB178" s="49">
        <f t="shared" si="113"/>
        <v>0</v>
      </c>
      <c r="BC178" s="49">
        <f t="shared" si="113"/>
        <v>13.663586956521739</v>
      </c>
      <c r="BD178" s="49">
        <f t="shared" si="113"/>
        <v>0</v>
      </c>
      <c r="BE178" s="49">
        <f t="shared" si="113"/>
        <v>0</v>
      </c>
      <c r="BF178" s="49">
        <f t="shared" si="113"/>
        <v>-95.266907475767766</v>
      </c>
      <c r="BG178" s="49">
        <f t="shared" si="113"/>
        <v>-103.03760939676249</v>
      </c>
      <c r="BH178" s="49">
        <f t="shared" si="113"/>
        <v>-3.0562500000000909</v>
      </c>
      <c r="BI178" s="49">
        <f t="shared" si="113"/>
        <v>10.826951920994361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61</vt:i4>
      </vt:variant>
      <vt:variant>
        <vt:lpstr>Plages nommées</vt:lpstr>
      </vt:variant>
      <vt:variant>
        <vt:i4>3</vt:i4>
      </vt:variant>
    </vt:vector>
  </HeadingPairs>
  <TitlesOfParts>
    <vt:vector size="64" baseType="lpstr">
      <vt:lpstr>Sommaire</vt:lpstr>
      <vt:lpstr>4.1 Comptes 2021 natures</vt:lpstr>
      <vt:lpstr>6.1 Investissements</vt:lpstr>
      <vt:lpstr>Base de données pop.</vt:lpstr>
      <vt:lpstr>Population</vt:lpstr>
      <vt:lpstr>Graphique par nature</vt:lpstr>
      <vt:lpstr>Résultats par commune</vt:lpstr>
      <vt:lpstr>4.2 Comptes 2021 par commune</vt:lpstr>
      <vt:lpstr>4.9 Comptes 2021 par habitant</vt:lpstr>
      <vt:lpstr>4.10 Comptes 2021 Hab. par com</vt:lpstr>
      <vt:lpstr>4.5 Vue d'ensemble</vt:lpstr>
      <vt:lpstr>4.6 Vue par commune</vt:lpstr>
      <vt:lpstr>4.3 Résultats à 3 niveaux</vt:lpstr>
      <vt:lpstr>4.4 Résultats à 3 par commune</vt:lpstr>
      <vt:lpstr>4.7 Autofinancement</vt:lpstr>
      <vt:lpstr>4.8 Autofinancement par commune</vt:lpstr>
      <vt:lpstr>4.11 Comptes 2020 fonctionnelle</vt:lpstr>
      <vt:lpstr>4.12 Fonctionnelle par commune</vt:lpstr>
      <vt:lpstr>Tableau fonctionnelle</vt:lpstr>
      <vt:lpstr>4.12.1 et 2 Graph par fonction</vt:lpstr>
      <vt:lpstr>5. Bilan</vt:lpstr>
      <vt:lpstr>5.3 Bilan par commune</vt:lpstr>
      <vt:lpstr>5.2 Tableau bilan</vt:lpstr>
      <vt:lpstr>5.1.2Graphique capitaux propres</vt:lpstr>
      <vt:lpstr>5.4 Tableau de l'endettement</vt:lpstr>
      <vt:lpstr>5.4.1Graphique de l'endettement</vt:lpstr>
      <vt:lpstr>5.5 Endettement par commune</vt:lpstr>
      <vt:lpstr>6.2 Investissements par commune</vt:lpstr>
      <vt:lpstr>7, Définition des indicateurs</vt:lpstr>
      <vt:lpstr>Base de données indicateurs1</vt:lpstr>
      <vt:lpstr>Endett. net + degré d'auto.</vt:lpstr>
      <vt:lpstr>Quotité d'intéret + revenus det</vt:lpstr>
      <vt:lpstr>Quotité d'invest + fin.</vt:lpstr>
      <vt:lpstr>Quotité d'autofinancement</vt:lpstr>
      <vt:lpstr>Quotient excédent du bilan</vt:lpstr>
      <vt:lpstr>Récapitulatif</vt:lpstr>
      <vt:lpstr>Indicateurs par commune</vt:lpstr>
      <vt:lpstr>Bourgeoisies Comptes 2021</vt:lpstr>
      <vt:lpstr>Comptes 2021 par Bourgeoisie</vt:lpstr>
      <vt:lpstr>Bourgeoisie vue d'ensemble</vt:lpstr>
      <vt:lpstr>Vue d'ensemble par Bourgeoisie</vt:lpstr>
      <vt:lpstr>Bourgeoisie résultats 3 niveaux</vt:lpstr>
      <vt:lpstr>Résultats 3 nivaux par Bourgeoi</vt:lpstr>
      <vt:lpstr>Bourgeoisie autofinancement</vt:lpstr>
      <vt:lpstr>Autofinancement par Bourgeoisie</vt:lpstr>
      <vt:lpstr>Bourgeoisie bilan</vt:lpstr>
      <vt:lpstr>Bilan par bourgeoisie</vt:lpstr>
      <vt:lpstr>Bourgeoisie endettement</vt:lpstr>
      <vt:lpstr>Endettement par bourgeoisie</vt:lpstr>
      <vt:lpstr>Bourgeoisie investissement</vt:lpstr>
      <vt:lpstr>Investissement par bourgeoisie</vt:lpstr>
      <vt:lpstr>Syndicats comptes 2021</vt:lpstr>
      <vt:lpstr>Comptes 2021 par Syndicats</vt:lpstr>
      <vt:lpstr>Syndicats vue d'ensemble</vt:lpstr>
      <vt:lpstr>Vue d'ensemble par syndicat</vt:lpstr>
      <vt:lpstr>Syndicats résultat à 3 niveaux</vt:lpstr>
      <vt:lpstr>Résultat 3 niveaux par syndicat</vt:lpstr>
      <vt:lpstr>Syndicats Bilan</vt:lpstr>
      <vt:lpstr>Bilan par Syndicats</vt:lpstr>
      <vt:lpstr>Syndicats endettement</vt:lpstr>
      <vt:lpstr>Endettement par syndicat</vt:lpstr>
      <vt:lpstr>'4.7 Autofinancement'!Zone_d_impression</vt:lpstr>
      <vt:lpstr>'Autofinancement par Bourgeoisie'!Zone_d_impression</vt:lpstr>
      <vt:lpstr>Récapitulatif!Zone_d_impression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Buchwalder Julien</dc:creator>
  <cp:lastModifiedBy>Haefelin Julien (IT-PTR-CEN1-YPT2)</cp:lastModifiedBy>
  <cp:lastPrinted>2023-06-02T08:00:43Z</cp:lastPrinted>
  <dcterms:created xsi:type="dcterms:W3CDTF">2015-10-26T07:38:03Z</dcterms:created>
  <dcterms:modified xsi:type="dcterms:W3CDTF">2024-03-15T07:36:39Z</dcterms:modified>
</cp:coreProperties>
</file>