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en.proux\Documents\Perso\FMWC\Power up builders\"/>
    </mc:Choice>
  </mc:AlternateContent>
  <bookViews>
    <workbookView xWindow="0" yWindow="0" windowWidth="19200" windowHeight="6470"/>
  </bookViews>
  <sheets>
    <sheet name="R_TdB" sheetId="6" r:id="rId1"/>
    <sheet name="Check" sheetId="3" r:id="rId2"/>
    <sheet name="R_Financial_Statements" sheetId="5" r:id="rId3"/>
    <sheet name="C_Support_Calculations" sheetId="4" r:id="rId4"/>
    <sheet name="D_Assumption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5" l="1"/>
  <c r="P16" i="5"/>
  <c r="D222" i="4"/>
  <c r="E220" i="4" s="1"/>
  <c r="D218" i="4"/>
  <c r="E215" i="4" s="1"/>
  <c r="D213" i="4"/>
  <c r="E210" i="4" s="1"/>
  <c r="D208" i="4"/>
  <c r="E206" i="4" s="1"/>
  <c r="E208" i="4" s="1"/>
  <c r="F206" i="4" s="1"/>
  <c r="F208" i="4" s="1"/>
  <c r="D204" i="4"/>
  <c r="E202" i="4" s="1"/>
  <c r="D200" i="4"/>
  <c r="E197" i="4" s="1"/>
  <c r="E200" i="4" s="1"/>
  <c r="F197" i="4" s="1"/>
  <c r="F200" i="4" s="1"/>
  <c r="G197" i="4" s="1"/>
  <c r="G200" i="4" s="1"/>
  <c r="H197" i="4" s="1"/>
  <c r="H200" i="4" s="1"/>
  <c r="I197" i="4" s="1"/>
  <c r="I200" i="4" s="1"/>
  <c r="J197" i="4" s="1"/>
  <c r="J200" i="4" s="1"/>
  <c r="K197" i="4" s="1"/>
  <c r="K200" i="4" s="1"/>
  <c r="L197" i="4" s="1"/>
  <c r="L200" i="4" s="1"/>
  <c r="M197" i="4" s="1"/>
  <c r="M200" i="4" s="1"/>
  <c r="N197" i="4" s="1"/>
  <c r="N200" i="4" s="1"/>
  <c r="O197" i="4" s="1"/>
  <c r="O200" i="4" s="1"/>
  <c r="P197" i="4" s="1"/>
  <c r="P200" i="4" s="1"/>
  <c r="P76" i="5" s="1"/>
  <c r="P52" i="5"/>
  <c r="O52" i="5"/>
  <c r="N52" i="5"/>
  <c r="M52" i="5"/>
  <c r="L52" i="5"/>
  <c r="K52" i="5"/>
  <c r="J52" i="5"/>
  <c r="I52" i="5"/>
  <c r="H52" i="5"/>
  <c r="G52" i="5"/>
  <c r="F52" i="5"/>
  <c r="E52" i="5"/>
  <c r="F168" i="4"/>
  <c r="G168" i="4"/>
  <c r="H168" i="4"/>
  <c r="I168" i="4"/>
  <c r="J168" i="4"/>
  <c r="K168" i="4"/>
  <c r="L168" i="4"/>
  <c r="M168" i="4"/>
  <c r="N168" i="4"/>
  <c r="O168" i="4"/>
  <c r="P168" i="4"/>
  <c r="E168" i="4"/>
  <c r="D193" i="4"/>
  <c r="E189" i="4" s="1"/>
  <c r="D187" i="4"/>
  <c r="E185" i="4" s="1"/>
  <c r="D183" i="4"/>
  <c r="E180" i="4" s="1"/>
  <c r="D178" i="4"/>
  <c r="E175" i="4" s="1"/>
  <c r="D173" i="4"/>
  <c r="E171" i="4" s="1"/>
  <c r="E173" i="4" s="1"/>
  <c r="F171" i="4" s="1"/>
  <c r="F173" i="4" s="1"/>
  <c r="G171" i="4" s="1"/>
  <c r="G173" i="4" s="1"/>
  <c r="H171" i="4" s="1"/>
  <c r="H173" i="4" s="1"/>
  <c r="I171" i="4" s="1"/>
  <c r="I173" i="4" s="1"/>
  <c r="J171" i="4" s="1"/>
  <c r="J173" i="4" s="1"/>
  <c r="K171" i="4" s="1"/>
  <c r="K173" i="4" s="1"/>
  <c r="L171" i="4" s="1"/>
  <c r="L173" i="4" s="1"/>
  <c r="M171" i="4" s="1"/>
  <c r="M173" i="4" s="1"/>
  <c r="N171" i="4" s="1"/>
  <c r="N173" i="4" s="1"/>
  <c r="O171" i="4" s="1"/>
  <c r="O173" i="4" s="1"/>
  <c r="P171" i="4" s="1"/>
  <c r="P173" i="4" s="1"/>
  <c r="P62" i="5" s="1"/>
  <c r="D169" i="4"/>
  <c r="E165" i="4" s="1"/>
  <c r="P38" i="5"/>
  <c r="O38" i="5"/>
  <c r="N38" i="5"/>
  <c r="M38" i="5"/>
  <c r="L38" i="5"/>
  <c r="K38" i="5"/>
  <c r="J38" i="5"/>
  <c r="I38" i="5"/>
  <c r="H38" i="5"/>
  <c r="G38" i="5"/>
  <c r="F38" i="5"/>
  <c r="E38" i="5"/>
  <c r="F144" i="4"/>
  <c r="G144" i="4"/>
  <c r="H144" i="4"/>
  <c r="I144" i="4"/>
  <c r="J144" i="4"/>
  <c r="K144" i="4"/>
  <c r="L144" i="4"/>
  <c r="M144" i="4"/>
  <c r="N144" i="4"/>
  <c r="O144" i="4"/>
  <c r="P144" i="4"/>
  <c r="E144" i="4"/>
  <c r="D12" i="5"/>
  <c r="D11" i="5"/>
  <c r="D9" i="5"/>
  <c r="D22" i="5" s="1"/>
  <c r="O16" i="5"/>
  <c r="N16" i="5"/>
  <c r="M16" i="5"/>
  <c r="L16" i="5"/>
  <c r="K16" i="5"/>
  <c r="J16" i="5"/>
  <c r="I16" i="5"/>
  <c r="H16" i="5"/>
  <c r="G16" i="5"/>
  <c r="F16" i="5"/>
  <c r="F5" i="5"/>
  <c r="G5" i="5" s="1"/>
  <c r="H5" i="5" s="1"/>
  <c r="I5" i="5" s="1"/>
  <c r="J5" i="5" s="1"/>
  <c r="K5" i="5" s="1"/>
  <c r="L5" i="5" s="1"/>
  <c r="M5" i="5" s="1"/>
  <c r="N5" i="5" s="1"/>
  <c r="O5" i="5" s="1"/>
  <c r="P5" i="5" s="1"/>
  <c r="E5" i="5"/>
  <c r="E3" i="5"/>
  <c r="D4" i="5" s="1"/>
  <c r="E102" i="4"/>
  <c r="E101" i="4"/>
  <c r="E100" i="4"/>
  <c r="E99" i="4"/>
  <c r="E98" i="4"/>
  <c r="E97" i="4"/>
  <c r="E96" i="4"/>
  <c r="E95" i="4"/>
  <c r="E94" i="4"/>
  <c r="E93" i="4"/>
  <c r="P75" i="4"/>
  <c r="O75" i="4"/>
  <c r="N75" i="4"/>
  <c r="M75" i="4"/>
  <c r="L75" i="4"/>
  <c r="K75" i="4"/>
  <c r="J75" i="4"/>
  <c r="I75" i="4"/>
  <c r="H75" i="4"/>
  <c r="G75" i="4"/>
  <c r="F75" i="4"/>
  <c r="E75" i="4"/>
  <c r="E33" i="4"/>
  <c r="E32" i="4"/>
  <c r="E31" i="4"/>
  <c r="E30" i="4"/>
  <c r="E29" i="4"/>
  <c r="F29" i="4" s="1"/>
  <c r="E28" i="4"/>
  <c r="E27" i="4"/>
  <c r="F27" i="4" s="1"/>
  <c r="E26" i="4"/>
  <c r="E25" i="4"/>
  <c r="F25" i="4" s="1"/>
  <c r="E24" i="4"/>
  <c r="F24" i="4" s="1"/>
  <c r="P132" i="4"/>
  <c r="O132" i="4"/>
  <c r="N132" i="4"/>
  <c r="M132" i="4"/>
  <c r="L132" i="4"/>
  <c r="K132" i="4"/>
  <c r="J132" i="4"/>
  <c r="I132" i="4"/>
  <c r="H132" i="4"/>
  <c r="G132" i="4"/>
  <c r="F132" i="4"/>
  <c r="E132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E3" i="4"/>
  <c r="D4" i="4" s="1"/>
  <c r="E5" i="4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D86" i="1"/>
  <c r="D72" i="1"/>
  <c r="D79" i="1"/>
  <c r="Q63" i="1"/>
  <c r="Q62" i="1"/>
  <c r="Q61" i="1"/>
  <c r="Q60" i="1"/>
  <c r="Q59" i="1"/>
  <c r="Q58" i="1"/>
  <c r="Q57" i="1"/>
  <c r="Q56" i="1"/>
  <c r="Q55" i="1"/>
  <c r="Q54" i="1"/>
  <c r="G50" i="1"/>
  <c r="O18" i="4" s="1"/>
  <c r="O71" i="4" s="1"/>
  <c r="G49" i="1"/>
  <c r="K17" i="4" s="1"/>
  <c r="K70" i="4" s="1"/>
  <c r="G48" i="1"/>
  <c r="K16" i="4" s="1"/>
  <c r="K69" i="4" s="1"/>
  <c r="G47" i="1"/>
  <c r="N15" i="4" s="1"/>
  <c r="N68" i="4" s="1"/>
  <c r="G46" i="1"/>
  <c r="P40" i="4" s="1"/>
  <c r="G45" i="1"/>
  <c r="L13" i="4" s="1"/>
  <c r="L66" i="4" s="1"/>
  <c r="G44" i="1"/>
  <c r="P38" i="4" s="1"/>
  <c r="G43" i="1"/>
  <c r="E11" i="4" s="1"/>
  <c r="G42" i="1"/>
  <c r="M10" i="4" s="1"/>
  <c r="M63" i="4" s="1"/>
  <c r="G41" i="1"/>
  <c r="P9" i="4" s="1"/>
  <c r="P62" i="4" s="1"/>
  <c r="R118" i="4" l="1"/>
  <c r="R132" i="4"/>
  <c r="R131" i="4"/>
  <c r="R117" i="4"/>
  <c r="R130" i="4"/>
  <c r="R116" i="4"/>
  <c r="R115" i="4"/>
  <c r="R129" i="4"/>
  <c r="R114" i="4"/>
  <c r="R128" i="4"/>
  <c r="R127" i="4"/>
  <c r="R113" i="4"/>
  <c r="R126" i="4"/>
  <c r="R112" i="4"/>
  <c r="R111" i="4"/>
  <c r="R125" i="4"/>
  <c r="R110" i="4"/>
  <c r="R124" i="4"/>
  <c r="R123" i="4"/>
  <c r="R109" i="4"/>
  <c r="L15" i="4"/>
  <c r="L68" i="4" s="1"/>
  <c r="R75" i="4"/>
  <c r="P13" i="4"/>
  <c r="P66" i="4" s="1"/>
  <c r="K13" i="4"/>
  <c r="K66" i="4" s="1"/>
  <c r="M13" i="4"/>
  <c r="M66" i="4" s="1"/>
  <c r="M14" i="4"/>
  <c r="M67" i="4" s="1"/>
  <c r="P39" i="4"/>
  <c r="G15" i="4"/>
  <c r="G68" i="4" s="1"/>
  <c r="E38" i="4"/>
  <c r="P41" i="4"/>
  <c r="E64" i="4"/>
  <c r="H12" i="4"/>
  <c r="H65" i="4" s="1"/>
  <c r="F16" i="4"/>
  <c r="F69" i="4" s="1"/>
  <c r="E40" i="4"/>
  <c r="P42" i="4"/>
  <c r="I12" i="4"/>
  <c r="I65" i="4" s="1"/>
  <c r="G16" i="4"/>
  <c r="G69" i="4" s="1"/>
  <c r="P35" i="4"/>
  <c r="P43" i="4"/>
  <c r="G13" i="4"/>
  <c r="G66" i="4" s="1"/>
  <c r="M16" i="4"/>
  <c r="M69" i="4" s="1"/>
  <c r="P36" i="4"/>
  <c r="P44" i="4"/>
  <c r="E35" i="4"/>
  <c r="P37" i="4"/>
  <c r="E36" i="4"/>
  <c r="G206" i="4"/>
  <c r="G208" i="4" s="1"/>
  <c r="H206" i="4" s="1"/>
  <c r="H208" i="4" s="1"/>
  <c r="I206" i="4" s="1"/>
  <c r="I208" i="4" s="1"/>
  <c r="J206" i="4" s="1"/>
  <c r="J208" i="4" s="1"/>
  <c r="K206" i="4" s="1"/>
  <c r="K208" i="4" s="1"/>
  <c r="L206" i="4" s="1"/>
  <c r="L208" i="4" s="1"/>
  <c r="F80" i="5"/>
  <c r="E62" i="5"/>
  <c r="F62" i="5"/>
  <c r="M62" i="5"/>
  <c r="N62" i="5"/>
  <c r="L62" i="5"/>
  <c r="G62" i="5"/>
  <c r="O62" i="5"/>
  <c r="H76" i="5"/>
  <c r="H62" i="5"/>
  <c r="O76" i="5"/>
  <c r="G76" i="5"/>
  <c r="I62" i="5"/>
  <c r="N76" i="5"/>
  <c r="F76" i="5"/>
  <c r="I76" i="5"/>
  <c r="J62" i="5"/>
  <c r="M76" i="5"/>
  <c r="E76" i="5"/>
  <c r="K62" i="5"/>
  <c r="L76" i="5"/>
  <c r="E80" i="5"/>
  <c r="K76" i="5"/>
  <c r="J76" i="5"/>
  <c r="D27" i="5"/>
  <c r="E4" i="5"/>
  <c r="F3" i="5" s="1"/>
  <c r="F4" i="5" s="1"/>
  <c r="G3" i="5" s="1"/>
  <c r="G4" i="5" s="1"/>
  <c r="H3" i="5" s="1"/>
  <c r="H4" i="5" s="1"/>
  <c r="I3" i="5" s="1"/>
  <c r="I4" i="5" s="1"/>
  <c r="J3" i="5" s="1"/>
  <c r="J4" i="5" s="1"/>
  <c r="K3" i="5" s="1"/>
  <c r="K4" i="5" s="1"/>
  <c r="L3" i="5" s="1"/>
  <c r="L4" i="5" s="1"/>
  <c r="M3" i="5" s="1"/>
  <c r="M4" i="5" s="1"/>
  <c r="N3" i="5" s="1"/>
  <c r="N4" i="5" s="1"/>
  <c r="O3" i="5" s="1"/>
  <c r="O4" i="5" s="1"/>
  <c r="P3" i="5" s="1"/>
  <c r="P4" i="5" s="1"/>
  <c r="D13" i="5"/>
  <c r="D17" i="5" s="1"/>
  <c r="D18" i="5" s="1"/>
  <c r="K11" i="4"/>
  <c r="K64" i="4" s="1"/>
  <c r="H13" i="4"/>
  <c r="H66" i="4" s="1"/>
  <c r="K14" i="4"/>
  <c r="K67" i="4" s="1"/>
  <c r="O15" i="4"/>
  <c r="O68" i="4" s="1"/>
  <c r="N16" i="4"/>
  <c r="N69" i="4" s="1"/>
  <c r="N10" i="4"/>
  <c r="N63" i="4" s="1"/>
  <c r="J14" i="4"/>
  <c r="J67" i="4" s="1"/>
  <c r="L11" i="4"/>
  <c r="L64" i="4" s="1"/>
  <c r="J13" i="4"/>
  <c r="J66" i="4" s="1"/>
  <c r="L14" i="4"/>
  <c r="L67" i="4" s="1"/>
  <c r="E16" i="4"/>
  <c r="O16" i="4"/>
  <c r="O69" i="4" s="1"/>
  <c r="P15" i="4"/>
  <c r="P68" i="4" s="1"/>
  <c r="J12" i="4"/>
  <c r="J65" i="4" s="1"/>
  <c r="N13" i="4"/>
  <c r="N66" i="4" s="1"/>
  <c r="H15" i="4"/>
  <c r="H68" i="4" s="1"/>
  <c r="I16" i="4"/>
  <c r="I69" i="4" s="1"/>
  <c r="P16" i="4"/>
  <c r="P69" i="4" s="1"/>
  <c r="E13" i="4"/>
  <c r="O13" i="4"/>
  <c r="O66" i="4" s="1"/>
  <c r="I15" i="4"/>
  <c r="I68" i="4" s="1"/>
  <c r="J16" i="4"/>
  <c r="J69" i="4" s="1"/>
  <c r="F10" i="4"/>
  <c r="F63" i="4" s="1"/>
  <c r="F13" i="4"/>
  <c r="F66" i="4" s="1"/>
  <c r="E14" i="4"/>
  <c r="J15" i="4"/>
  <c r="J68" i="4" s="1"/>
  <c r="L16" i="4"/>
  <c r="L69" i="4" s="1"/>
  <c r="P17" i="4"/>
  <c r="P70" i="4" s="1"/>
  <c r="P18" i="4"/>
  <c r="P71" i="4" s="1"/>
  <c r="F11" i="4"/>
  <c r="F64" i="4" s="1"/>
  <c r="L17" i="4"/>
  <c r="L70" i="4" s="1"/>
  <c r="I18" i="4"/>
  <c r="I71" i="4" s="1"/>
  <c r="P11" i="4"/>
  <c r="P64" i="4" s="1"/>
  <c r="E9" i="4"/>
  <c r="M9" i="4"/>
  <c r="M62" i="4" s="1"/>
  <c r="J10" i="4"/>
  <c r="J63" i="4" s="1"/>
  <c r="G11" i="4"/>
  <c r="G64" i="4" s="1"/>
  <c r="O11" i="4"/>
  <c r="O64" i="4" s="1"/>
  <c r="L12" i="4"/>
  <c r="L65" i="4" s="1"/>
  <c r="I13" i="4"/>
  <c r="I66" i="4" s="1"/>
  <c r="F14" i="4"/>
  <c r="F67" i="4" s="1"/>
  <c r="N14" i="4"/>
  <c r="N67" i="4" s="1"/>
  <c r="K15" i="4"/>
  <c r="K68" i="4" s="1"/>
  <c r="H16" i="4"/>
  <c r="H69" i="4" s="1"/>
  <c r="E17" i="4"/>
  <c r="M17" i="4"/>
  <c r="M70" i="4" s="1"/>
  <c r="J18" i="4"/>
  <c r="J71" i="4" s="1"/>
  <c r="G10" i="4"/>
  <c r="G63" i="4" s="1"/>
  <c r="H10" i="4"/>
  <c r="H63" i="4" s="1"/>
  <c r="P10" i="4"/>
  <c r="P63" i="4" s="1"/>
  <c r="I10" i="4"/>
  <c r="I63" i="4" s="1"/>
  <c r="K12" i="4"/>
  <c r="K65" i="4" s="1"/>
  <c r="F9" i="4"/>
  <c r="F62" i="4" s="1"/>
  <c r="H11" i="4"/>
  <c r="H64" i="4" s="1"/>
  <c r="M12" i="4"/>
  <c r="M65" i="4" s="1"/>
  <c r="O14" i="4"/>
  <c r="O67" i="4" s="1"/>
  <c r="N17" i="4"/>
  <c r="N70" i="4" s="1"/>
  <c r="H18" i="4"/>
  <c r="H71" i="4" s="1"/>
  <c r="L9" i="4"/>
  <c r="L62" i="4" s="1"/>
  <c r="P12" i="4"/>
  <c r="P65" i="4" s="1"/>
  <c r="K10" i="4"/>
  <c r="K63" i="4" s="1"/>
  <c r="G14" i="4"/>
  <c r="G67" i="4" s="1"/>
  <c r="K18" i="4"/>
  <c r="K71" i="4" s="1"/>
  <c r="O9" i="4"/>
  <c r="O62" i="4" s="1"/>
  <c r="M15" i="4"/>
  <c r="M68" i="4" s="1"/>
  <c r="G17" i="4"/>
  <c r="G70" i="4" s="1"/>
  <c r="J9" i="4"/>
  <c r="J62" i="4" s="1"/>
  <c r="O10" i="4"/>
  <c r="O63" i="4" s="1"/>
  <c r="K9" i="4"/>
  <c r="K62" i="4" s="1"/>
  <c r="M11" i="4"/>
  <c r="M64" i="4" s="1"/>
  <c r="N11" i="4"/>
  <c r="N64" i="4" s="1"/>
  <c r="N9" i="4"/>
  <c r="N62" i="4" s="1"/>
  <c r="E12" i="4"/>
  <c r="F17" i="4"/>
  <c r="F70" i="4" s="1"/>
  <c r="G9" i="4"/>
  <c r="G62" i="4" s="1"/>
  <c r="L10" i="4"/>
  <c r="L63" i="4" s="1"/>
  <c r="I11" i="4"/>
  <c r="I64" i="4" s="1"/>
  <c r="F12" i="4"/>
  <c r="F65" i="4" s="1"/>
  <c r="N12" i="4"/>
  <c r="N65" i="4" s="1"/>
  <c r="H14" i="4"/>
  <c r="H67" i="4" s="1"/>
  <c r="E15" i="4"/>
  <c r="O17" i="4"/>
  <c r="O70" i="4" s="1"/>
  <c r="L18" i="4"/>
  <c r="L71" i="4" s="1"/>
  <c r="P14" i="4"/>
  <c r="P67" i="4" s="1"/>
  <c r="H9" i="4"/>
  <c r="H62" i="4" s="1"/>
  <c r="E10" i="4"/>
  <c r="J11" i="4"/>
  <c r="J64" i="4" s="1"/>
  <c r="G12" i="4"/>
  <c r="G65" i="4" s="1"/>
  <c r="O12" i="4"/>
  <c r="O65" i="4" s="1"/>
  <c r="I14" i="4"/>
  <c r="I67" i="4" s="1"/>
  <c r="F15" i="4"/>
  <c r="F68" i="4" s="1"/>
  <c r="H17" i="4"/>
  <c r="H70" i="4" s="1"/>
  <c r="E18" i="4"/>
  <c r="M18" i="4"/>
  <c r="M71" i="4" s="1"/>
  <c r="I9" i="4"/>
  <c r="I62" i="4" s="1"/>
  <c r="I17" i="4"/>
  <c r="I70" i="4" s="1"/>
  <c r="F18" i="4"/>
  <c r="F71" i="4" s="1"/>
  <c r="N18" i="4"/>
  <c r="N71" i="4" s="1"/>
  <c r="J17" i="4"/>
  <c r="J70" i="4" s="1"/>
  <c r="G18" i="4"/>
  <c r="G71" i="4" s="1"/>
  <c r="G24" i="4"/>
  <c r="F35" i="4" s="1"/>
  <c r="F32" i="4"/>
  <c r="E43" i="4" s="1"/>
  <c r="F31" i="4"/>
  <c r="E42" i="4" s="1"/>
  <c r="F33" i="4"/>
  <c r="E44" i="4" s="1"/>
  <c r="F30" i="4"/>
  <c r="E41" i="4" s="1"/>
  <c r="G25" i="4"/>
  <c r="F36" i="4" s="1"/>
  <c r="G27" i="4"/>
  <c r="F38" i="4" s="1"/>
  <c r="G29" i="4"/>
  <c r="F40" i="4" s="1"/>
  <c r="F26" i="4"/>
  <c r="E37" i="4" s="1"/>
  <c r="F28" i="4"/>
  <c r="E39" i="4" s="1"/>
  <c r="N133" i="4"/>
  <c r="N12" i="5" s="1"/>
  <c r="J119" i="4"/>
  <c r="I133" i="4"/>
  <c r="I12" i="5" s="1"/>
  <c r="P133" i="4"/>
  <c r="P12" i="5" s="1"/>
  <c r="G119" i="4"/>
  <c r="O119" i="4"/>
  <c r="G133" i="4"/>
  <c r="G12" i="5" s="1"/>
  <c r="O133" i="4"/>
  <c r="O12" i="5" s="1"/>
  <c r="N119" i="4"/>
  <c r="J133" i="4"/>
  <c r="J12" i="5" s="1"/>
  <c r="L119" i="4"/>
  <c r="L133" i="4"/>
  <c r="L12" i="5" s="1"/>
  <c r="I119" i="4"/>
  <c r="P119" i="4"/>
  <c r="F119" i="4"/>
  <c r="F133" i="4"/>
  <c r="F12" i="5" s="1"/>
  <c r="H119" i="4"/>
  <c r="H133" i="4"/>
  <c r="H12" i="5" s="1"/>
  <c r="K119" i="4"/>
  <c r="K133" i="4"/>
  <c r="K12" i="5" s="1"/>
  <c r="E119" i="4"/>
  <c r="M119" i="4"/>
  <c r="E133" i="4"/>
  <c r="E12" i="5" s="1"/>
  <c r="M133" i="4"/>
  <c r="M12" i="5" s="1"/>
  <c r="E4" i="4"/>
  <c r="F3" i="4" s="1"/>
  <c r="D88" i="1"/>
  <c r="D1" i="1" s="1"/>
  <c r="E4" i="3" s="1"/>
  <c r="R18" i="4" l="1"/>
  <c r="R17" i="4"/>
  <c r="R16" i="4"/>
  <c r="R15" i="4"/>
  <c r="R14" i="4"/>
  <c r="R13" i="4"/>
  <c r="R12" i="4"/>
  <c r="R11" i="4"/>
  <c r="R64" i="4"/>
  <c r="R10" i="4"/>
  <c r="R9" i="4"/>
  <c r="R105" i="4"/>
  <c r="E63" i="4"/>
  <c r="R63" i="4" s="1"/>
  <c r="R12" i="5"/>
  <c r="E71" i="4"/>
  <c r="R71" i="4" s="1"/>
  <c r="E66" i="4"/>
  <c r="R66" i="4" s="1"/>
  <c r="E69" i="4"/>
  <c r="R69" i="4" s="1"/>
  <c r="E70" i="4"/>
  <c r="R70" i="4" s="1"/>
  <c r="E62" i="4"/>
  <c r="E68" i="4"/>
  <c r="R68" i="4" s="1"/>
  <c r="E65" i="4"/>
  <c r="R65" i="4" s="1"/>
  <c r="E67" i="4"/>
  <c r="R67" i="4" s="1"/>
  <c r="E158" i="4"/>
  <c r="G80" i="5"/>
  <c r="H80" i="5"/>
  <c r="J80" i="5"/>
  <c r="I80" i="5"/>
  <c r="K80" i="5"/>
  <c r="M206" i="4"/>
  <c r="M208" i="4" s="1"/>
  <c r="L80" i="5"/>
  <c r="K11" i="5"/>
  <c r="K177" i="4"/>
  <c r="K176" i="4"/>
  <c r="F11" i="5"/>
  <c r="F176" i="4"/>
  <c r="F177" i="4"/>
  <c r="P11" i="5"/>
  <c r="P176" i="4"/>
  <c r="P177" i="4"/>
  <c r="L11" i="5"/>
  <c r="L176" i="4"/>
  <c r="L177" i="4"/>
  <c r="M11" i="5"/>
  <c r="M176" i="4"/>
  <c r="M177" i="4"/>
  <c r="E11" i="5"/>
  <c r="E176" i="4"/>
  <c r="E177" i="4"/>
  <c r="I11" i="5"/>
  <c r="I177" i="4"/>
  <c r="I176" i="4"/>
  <c r="G11" i="5"/>
  <c r="G176" i="4"/>
  <c r="G177" i="4"/>
  <c r="O11" i="5"/>
  <c r="O176" i="4"/>
  <c r="O177" i="4"/>
  <c r="J11" i="5"/>
  <c r="J177" i="4"/>
  <c r="J176" i="4"/>
  <c r="H11" i="5"/>
  <c r="H176" i="4"/>
  <c r="H177" i="4"/>
  <c r="N11" i="5"/>
  <c r="N176" i="4"/>
  <c r="N177" i="4"/>
  <c r="E140" i="4"/>
  <c r="F4" i="4"/>
  <c r="G3" i="4" s="1"/>
  <c r="D14" i="5"/>
  <c r="G26" i="4"/>
  <c r="O19" i="4"/>
  <c r="O9" i="5" s="1"/>
  <c r="O13" i="5" s="1"/>
  <c r="G19" i="4"/>
  <c r="G9" i="5" s="1"/>
  <c r="F19" i="4"/>
  <c r="F9" i="5" s="1"/>
  <c r="H19" i="4"/>
  <c r="H9" i="5" s="1"/>
  <c r="J19" i="4"/>
  <c r="J9" i="5" s="1"/>
  <c r="E19" i="4"/>
  <c r="I19" i="4"/>
  <c r="I9" i="5" s="1"/>
  <c r="K19" i="4"/>
  <c r="K9" i="5" s="1"/>
  <c r="N19" i="4"/>
  <c r="N9" i="5" s="1"/>
  <c r="P19" i="4"/>
  <c r="P9" i="5" s="1"/>
  <c r="M19" i="4"/>
  <c r="M9" i="5" s="1"/>
  <c r="P45" i="4"/>
  <c r="L19" i="4"/>
  <c r="L9" i="5" s="1"/>
  <c r="G31" i="4"/>
  <c r="F42" i="4" s="1"/>
  <c r="G32" i="4"/>
  <c r="F43" i="4" s="1"/>
  <c r="G30" i="4"/>
  <c r="F41" i="4" s="1"/>
  <c r="H24" i="4"/>
  <c r="G35" i="4" s="1"/>
  <c r="H27" i="4"/>
  <c r="G38" i="4" s="1"/>
  <c r="H29" i="4"/>
  <c r="G40" i="4" s="1"/>
  <c r="G33" i="4"/>
  <c r="F44" i="4" s="1"/>
  <c r="H25" i="4"/>
  <c r="G36" i="4" s="1"/>
  <c r="G28" i="4"/>
  <c r="F39" i="4" s="1"/>
  <c r="R7" i="4" l="1"/>
  <c r="R62" i="4"/>
  <c r="R59" i="4" s="1"/>
  <c r="R11" i="5"/>
  <c r="H26" i="4"/>
  <c r="G37" i="4" s="1"/>
  <c r="F37" i="4"/>
  <c r="N206" i="4"/>
  <c r="N208" i="4" s="1"/>
  <c r="M80" i="5"/>
  <c r="E178" i="4"/>
  <c r="N13" i="5"/>
  <c r="N14" i="5" s="1"/>
  <c r="P33" i="5"/>
  <c r="P211" i="4"/>
  <c r="M13" i="5"/>
  <c r="M17" i="5" s="1"/>
  <c r="G4" i="4"/>
  <c r="H3" i="4" s="1"/>
  <c r="F140" i="4"/>
  <c r="E9" i="5"/>
  <c r="V7" i="6" s="1"/>
  <c r="C137" i="4"/>
  <c r="C138" i="4" s="1"/>
  <c r="P13" i="5"/>
  <c r="J13" i="5"/>
  <c r="L13" i="5"/>
  <c r="O17" i="5"/>
  <c r="O14" i="5"/>
  <c r="H13" i="5"/>
  <c r="I13" i="5"/>
  <c r="G13" i="5"/>
  <c r="K13" i="5"/>
  <c r="F13" i="5"/>
  <c r="I72" i="4"/>
  <c r="O72" i="4"/>
  <c r="E72" i="4"/>
  <c r="K72" i="4"/>
  <c r="H72" i="4"/>
  <c r="N72" i="4"/>
  <c r="L72" i="4"/>
  <c r="F72" i="4"/>
  <c r="M72" i="4"/>
  <c r="G72" i="4"/>
  <c r="P72" i="4"/>
  <c r="J72" i="4"/>
  <c r="I25" i="4"/>
  <c r="H36" i="4" s="1"/>
  <c r="E45" i="4"/>
  <c r="H30" i="4"/>
  <c r="G41" i="4" s="1"/>
  <c r="H31" i="4"/>
  <c r="G42" i="4" s="1"/>
  <c r="H32" i="4"/>
  <c r="G43" i="4" s="1"/>
  <c r="H33" i="4"/>
  <c r="G44" i="4" s="1"/>
  <c r="I29" i="4"/>
  <c r="H40" i="4" s="1"/>
  <c r="H28" i="4"/>
  <c r="G39" i="4" s="1"/>
  <c r="I24" i="4"/>
  <c r="H35" i="4" s="1"/>
  <c r="I27" i="4"/>
  <c r="H38" i="4" s="1"/>
  <c r="M6" i="6" l="1"/>
  <c r="J6" i="6"/>
  <c r="N6" i="6"/>
  <c r="L6" i="6"/>
  <c r="R6" i="6"/>
  <c r="H6" i="6"/>
  <c r="O6" i="6"/>
  <c r="S6" i="6"/>
  <c r="K6" i="6"/>
  <c r="Q6" i="6"/>
  <c r="I6" i="6"/>
  <c r="P6" i="6"/>
  <c r="I26" i="4"/>
  <c r="H37" i="4" s="1"/>
  <c r="E13" i="5"/>
  <c r="E17" i="5" s="1"/>
  <c r="R9" i="5"/>
  <c r="G145" i="4"/>
  <c r="F145" i="4"/>
  <c r="F146" i="4" s="1"/>
  <c r="F20" i="5" s="1"/>
  <c r="F166" i="4" s="1"/>
  <c r="E145" i="4"/>
  <c r="E146" i="4" s="1"/>
  <c r="E20" i="5" s="1"/>
  <c r="O206" i="4"/>
  <c r="O208" i="4" s="1"/>
  <c r="N80" i="5"/>
  <c r="F175" i="4"/>
  <c r="F178" i="4" s="1"/>
  <c r="E65" i="5"/>
  <c r="N17" i="5"/>
  <c r="N31" i="5" s="1"/>
  <c r="E33" i="5"/>
  <c r="E211" i="4"/>
  <c r="M14" i="5"/>
  <c r="M35" i="5"/>
  <c r="M186" i="4"/>
  <c r="L35" i="5"/>
  <c r="L186" i="4"/>
  <c r="N35" i="5"/>
  <c r="N186" i="4"/>
  <c r="I35" i="5"/>
  <c r="I186" i="4"/>
  <c r="G35" i="5"/>
  <c r="G186" i="4"/>
  <c r="O35" i="5"/>
  <c r="O186" i="4"/>
  <c r="F35" i="5"/>
  <c r="F186" i="4"/>
  <c r="H35" i="5"/>
  <c r="H186" i="4"/>
  <c r="J35" i="5"/>
  <c r="J186" i="4"/>
  <c r="K35" i="5"/>
  <c r="K186" i="4"/>
  <c r="P35" i="5"/>
  <c r="P186" i="4"/>
  <c r="E35" i="5"/>
  <c r="E186" i="4"/>
  <c r="E41" i="5"/>
  <c r="C150" i="4"/>
  <c r="F41" i="5"/>
  <c r="M18" i="5"/>
  <c r="M31" i="5"/>
  <c r="O18" i="5"/>
  <c r="O31" i="5"/>
  <c r="H4" i="4"/>
  <c r="I3" i="4" s="1"/>
  <c r="G140" i="4"/>
  <c r="K17" i="5"/>
  <c r="K14" i="5"/>
  <c r="E14" i="5"/>
  <c r="J17" i="5"/>
  <c r="J14" i="5"/>
  <c r="F14" i="5"/>
  <c r="F17" i="5"/>
  <c r="H14" i="5"/>
  <c r="H17" i="5"/>
  <c r="L17" i="5"/>
  <c r="L14" i="5"/>
  <c r="I14" i="5"/>
  <c r="I17" i="5"/>
  <c r="P14" i="5"/>
  <c r="P17" i="5"/>
  <c r="G14" i="5"/>
  <c r="G17" i="5"/>
  <c r="F45" i="4"/>
  <c r="I32" i="4"/>
  <c r="H43" i="4" s="1"/>
  <c r="J25" i="4"/>
  <c r="I36" i="4" s="1"/>
  <c r="I30" i="4"/>
  <c r="H41" i="4" s="1"/>
  <c r="I31" i="4"/>
  <c r="H42" i="4" s="1"/>
  <c r="I33" i="4"/>
  <c r="H44" i="4" s="1"/>
  <c r="J24" i="4"/>
  <c r="I35" i="4" s="1"/>
  <c r="J29" i="4"/>
  <c r="I40" i="4" s="1"/>
  <c r="J27" i="4"/>
  <c r="I38" i="4" s="1"/>
  <c r="I28" i="4"/>
  <c r="H39" i="4" s="1"/>
  <c r="V8" i="6" l="1"/>
  <c r="P7" i="6"/>
  <c r="K7" i="6"/>
  <c r="J7" i="6"/>
  <c r="O7" i="6"/>
  <c r="H7" i="6"/>
  <c r="N7" i="6"/>
  <c r="M7" i="6"/>
  <c r="R7" i="6"/>
  <c r="I7" i="6"/>
  <c r="L7" i="6"/>
  <c r="S7" i="6"/>
  <c r="Q7" i="6"/>
  <c r="E187" i="4"/>
  <c r="F185" i="4" s="1"/>
  <c r="F187" i="4" s="1"/>
  <c r="R186" i="4"/>
  <c r="J26" i="4"/>
  <c r="I37" i="4" s="1"/>
  <c r="R35" i="5"/>
  <c r="E166" i="4"/>
  <c r="H145" i="4"/>
  <c r="P206" i="4"/>
  <c r="P208" i="4" s="1"/>
  <c r="P80" i="5" s="1"/>
  <c r="O80" i="5"/>
  <c r="N18" i="5"/>
  <c r="G175" i="4"/>
  <c r="G178" i="4" s="1"/>
  <c r="F65" i="5"/>
  <c r="F33" i="5"/>
  <c r="F211" i="4"/>
  <c r="E43" i="5"/>
  <c r="E167" i="4"/>
  <c r="F43" i="5"/>
  <c r="F167" i="4"/>
  <c r="G146" i="4"/>
  <c r="G20" i="5" s="1"/>
  <c r="G41" i="5"/>
  <c r="G47" i="5"/>
  <c r="F47" i="5"/>
  <c r="E47" i="5"/>
  <c r="E152" i="4"/>
  <c r="E49" i="5" s="1"/>
  <c r="F152" i="4"/>
  <c r="F49" i="5" s="1"/>
  <c r="G152" i="4"/>
  <c r="G49" i="5" s="1"/>
  <c r="H152" i="4"/>
  <c r="H49" i="5" s="1"/>
  <c r="E18" i="5"/>
  <c r="E31" i="5"/>
  <c r="E21" i="5"/>
  <c r="L18" i="5"/>
  <c r="L31" i="5"/>
  <c r="G18" i="5"/>
  <c r="G31" i="5"/>
  <c r="F18" i="5"/>
  <c r="F21" i="5"/>
  <c r="F22" i="5" s="1"/>
  <c r="F31" i="5"/>
  <c r="H18" i="5"/>
  <c r="H31" i="5"/>
  <c r="I18" i="5"/>
  <c r="I31" i="5"/>
  <c r="K18" i="5"/>
  <c r="K31" i="5"/>
  <c r="P18" i="5"/>
  <c r="P31" i="5"/>
  <c r="J18" i="5"/>
  <c r="J31" i="5"/>
  <c r="I4" i="4"/>
  <c r="J3" i="4" s="1"/>
  <c r="H140" i="4"/>
  <c r="I145" i="4" s="1"/>
  <c r="K24" i="4"/>
  <c r="G45" i="4"/>
  <c r="J32" i="4"/>
  <c r="I43" i="4" s="1"/>
  <c r="J31" i="4"/>
  <c r="I42" i="4" s="1"/>
  <c r="K25" i="4"/>
  <c r="J36" i="4" s="1"/>
  <c r="K27" i="4"/>
  <c r="J38" i="4" s="1"/>
  <c r="J30" i="4"/>
  <c r="I41" i="4" s="1"/>
  <c r="J33" i="4"/>
  <c r="I44" i="4" s="1"/>
  <c r="K29" i="4"/>
  <c r="J40" i="4" s="1"/>
  <c r="K26" i="4"/>
  <c r="J37" i="4" s="1"/>
  <c r="J28" i="4"/>
  <c r="I39" i="4" s="1"/>
  <c r="E67" i="5" l="1"/>
  <c r="E169" i="4"/>
  <c r="F165" i="4" s="1"/>
  <c r="F169" i="4" s="1"/>
  <c r="L24" i="4"/>
  <c r="K35" i="4" s="1"/>
  <c r="J35" i="4"/>
  <c r="G154" i="4"/>
  <c r="E154" i="4"/>
  <c r="E24" i="5" s="1"/>
  <c r="E37" i="5" s="1"/>
  <c r="I154" i="4"/>
  <c r="F154" i="4"/>
  <c r="H154" i="4"/>
  <c r="E221" i="4"/>
  <c r="F221" i="4"/>
  <c r="G221" i="4"/>
  <c r="G185" i="4"/>
  <c r="G187" i="4" s="1"/>
  <c r="F67" i="5"/>
  <c r="H175" i="4"/>
  <c r="H178" i="4" s="1"/>
  <c r="G65" i="5"/>
  <c r="E22" i="5"/>
  <c r="G33" i="5"/>
  <c r="G211" i="4"/>
  <c r="G43" i="5"/>
  <c r="G167" i="4"/>
  <c r="G21" i="5"/>
  <c r="G22" i="5" s="1"/>
  <c r="G166" i="4"/>
  <c r="I152" i="4"/>
  <c r="I49" i="5" s="1"/>
  <c r="H146" i="4"/>
  <c r="H20" i="5" s="1"/>
  <c r="H47" i="5"/>
  <c r="H41" i="5"/>
  <c r="J4" i="4"/>
  <c r="K3" i="4" s="1"/>
  <c r="I140" i="4"/>
  <c r="J145" i="4" s="1"/>
  <c r="L27" i="4"/>
  <c r="K38" i="4" s="1"/>
  <c r="K32" i="4"/>
  <c r="J43" i="4" s="1"/>
  <c r="H45" i="4"/>
  <c r="K31" i="4"/>
  <c r="J42" i="4" s="1"/>
  <c r="L25" i="4"/>
  <c r="K36" i="4" s="1"/>
  <c r="K30" i="4"/>
  <c r="J41" i="4" s="1"/>
  <c r="L26" i="4"/>
  <c r="K37" i="4" s="1"/>
  <c r="L29" i="4"/>
  <c r="K40" i="4" s="1"/>
  <c r="K33" i="4"/>
  <c r="J44" i="4" s="1"/>
  <c r="K28" i="4"/>
  <c r="J39" i="4" s="1"/>
  <c r="E61" i="5" l="1"/>
  <c r="E63" i="5" s="1"/>
  <c r="H18" i="6" s="1"/>
  <c r="E222" i="4"/>
  <c r="F220" i="4" s="1"/>
  <c r="F222" i="4" s="1"/>
  <c r="G220" i="4" s="1"/>
  <c r="G222" i="4" s="1"/>
  <c r="M24" i="4"/>
  <c r="L35" i="4" s="1"/>
  <c r="J154" i="4"/>
  <c r="E26" i="5"/>
  <c r="H185" i="4"/>
  <c r="H187" i="4" s="1"/>
  <c r="G67" i="5"/>
  <c r="G165" i="4"/>
  <c r="G169" i="4" s="1"/>
  <c r="F61" i="5"/>
  <c r="F63" i="5" s="1"/>
  <c r="I18" i="6" s="1"/>
  <c r="I175" i="4"/>
  <c r="I178" i="4" s="1"/>
  <c r="H65" i="5"/>
  <c r="H221" i="4"/>
  <c r="H33" i="5"/>
  <c r="H211" i="4"/>
  <c r="H21" i="5"/>
  <c r="H166" i="4"/>
  <c r="H43" i="5"/>
  <c r="H167" i="4"/>
  <c r="I41" i="5"/>
  <c r="I47" i="5"/>
  <c r="I146" i="4"/>
  <c r="I20" i="5" s="1"/>
  <c r="J152" i="4"/>
  <c r="K4" i="4"/>
  <c r="L3" i="4" s="1"/>
  <c r="J140" i="4"/>
  <c r="K145" i="4" s="1"/>
  <c r="M25" i="4"/>
  <c r="L36" i="4" s="1"/>
  <c r="M26" i="4"/>
  <c r="M27" i="4"/>
  <c r="L38" i="4" s="1"/>
  <c r="L32" i="4"/>
  <c r="K43" i="4" s="1"/>
  <c r="I45" i="4"/>
  <c r="L30" i="4"/>
  <c r="K41" i="4" s="1"/>
  <c r="L31" i="4"/>
  <c r="K42" i="4" s="1"/>
  <c r="L33" i="4"/>
  <c r="K44" i="4" s="1"/>
  <c r="N24" i="4"/>
  <c r="M35" i="4" s="1"/>
  <c r="M29" i="4"/>
  <c r="L40" i="4" s="1"/>
  <c r="L28" i="4"/>
  <c r="K39" i="4" s="1"/>
  <c r="H22" i="5" l="1"/>
  <c r="E203" i="4"/>
  <c r="E204" i="4" s="1"/>
  <c r="F202" i="4" s="1"/>
  <c r="H8" i="6"/>
  <c r="E83" i="5"/>
  <c r="N26" i="4"/>
  <c r="M37" i="4" s="1"/>
  <c r="L37" i="4"/>
  <c r="E27" i="5"/>
  <c r="K154" i="4"/>
  <c r="F83" i="5"/>
  <c r="J49" i="5"/>
  <c r="J175" i="4"/>
  <c r="J178" i="4" s="1"/>
  <c r="I65" i="5"/>
  <c r="H165" i="4"/>
  <c r="H169" i="4" s="1"/>
  <c r="G61" i="5"/>
  <c r="G63" i="5" s="1"/>
  <c r="J18" i="6" s="1"/>
  <c r="I185" i="4"/>
  <c r="I187" i="4" s="1"/>
  <c r="H67" i="5"/>
  <c r="H220" i="4"/>
  <c r="H222" i="4" s="1"/>
  <c r="G83" i="5"/>
  <c r="I221" i="4"/>
  <c r="I33" i="5"/>
  <c r="I211" i="4"/>
  <c r="I21" i="5"/>
  <c r="I22" i="5" s="1"/>
  <c r="I166" i="4"/>
  <c r="I43" i="5"/>
  <c r="I167" i="4"/>
  <c r="J41" i="5"/>
  <c r="J47" i="5"/>
  <c r="K152" i="4"/>
  <c r="J146" i="4"/>
  <c r="J20" i="5" s="1"/>
  <c r="L4" i="4"/>
  <c r="M3" i="4" s="1"/>
  <c r="K140" i="4"/>
  <c r="N25" i="4"/>
  <c r="M36" i="4" s="1"/>
  <c r="O24" i="4"/>
  <c r="N35" i="4" s="1"/>
  <c r="N27" i="4"/>
  <c r="M38" i="4" s="1"/>
  <c r="M32" i="4"/>
  <c r="L43" i="4" s="1"/>
  <c r="M30" i="4"/>
  <c r="L41" i="4" s="1"/>
  <c r="M31" i="4"/>
  <c r="L42" i="4" s="1"/>
  <c r="J45" i="4"/>
  <c r="N29" i="4"/>
  <c r="M40" i="4" s="1"/>
  <c r="M33" i="4"/>
  <c r="L44" i="4" s="1"/>
  <c r="M28" i="4"/>
  <c r="L39" i="4" s="1"/>
  <c r="E77" i="5" l="1"/>
  <c r="E78" i="5" s="1"/>
  <c r="H21" i="6" s="1"/>
  <c r="O26" i="4"/>
  <c r="N37" i="4" s="1"/>
  <c r="L145" i="4"/>
  <c r="L154" i="4"/>
  <c r="K49" i="5"/>
  <c r="I165" i="4"/>
  <c r="I169" i="4" s="1"/>
  <c r="H61" i="5"/>
  <c r="H63" i="5" s="1"/>
  <c r="K18" i="6" s="1"/>
  <c r="J185" i="4"/>
  <c r="J187" i="4" s="1"/>
  <c r="I67" i="5"/>
  <c r="I220" i="4"/>
  <c r="I222" i="4" s="1"/>
  <c r="H83" i="5"/>
  <c r="K175" i="4"/>
  <c r="K178" i="4" s="1"/>
  <c r="J65" i="5"/>
  <c r="J221" i="4"/>
  <c r="J33" i="5"/>
  <c r="J211" i="4"/>
  <c r="J43" i="5"/>
  <c r="J167" i="4"/>
  <c r="J21" i="5"/>
  <c r="J22" i="5" s="1"/>
  <c r="J166" i="4"/>
  <c r="K41" i="5"/>
  <c r="K47" i="5"/>
  <c r="K146" i="4"/>
  <c r="K20" i="5" s="1"/>
  <c r="L152" i="4"/>
  <c r="L140" i="4"/>
  <c r="M145" i="4" s="1"/>
  <c r="M4" i="4"/>
  <c r="N3" i="4" s="1"/>
  <c r="O25" i="4"/>
  <c r="N36" i="4" s="1"/>
  <c r="P24" i="4"/>
  <c r="O35" i="4" s="1"/>
  <c r="R35" i="4" s="1"/>
  <c r="O27" i="4"/>
  <c r="N38" i="4" s="1"/>
  <c r="N32" i="4"/>
  <c r="M43" i="4" s="1"/>
  <c r="K45" i="4"/>
  <c r="N31" i="4"/>
  <c r="M42" i="4" s="1"/>
  <c r="N30" i="4"/>
  <c r="M41" i="4" s="1"/>
  <c r="O29" i="4"/>
  <c r="N40" i="4" s="1"/>
  <c r="N33" i="4"/>
  <c r="M44" i="4" s="1"/>
  <c r="N28" i="4"/>
  <c r="M39" i="4" s="1"/>
  <c r="P26" i="4" l="1"/>
  <c r="O37" i="4" s="1"/>
  <c r="R37" i="4" s="1"/>
  <c r="M154" i="4"/>
  <c r="L49" i="5"/>
  <c r="L175" i="4"/>
  <c r="L178" i="4" s="1"/>
  <c r="K65" i="5"/>
  <c r="J165" i="4"/>
  <c r="J169" i="4" s="1"/>
  <c r="I61" i="5"/>
  <c r="I63" i="5" s="1"/>
  <c r="L18" i="6" s="1"/>
  <c r="J220" i="4"/>
  <c r="J222" i="4" s="1"/>
  <c r="I83" i="5"/>
  <c r="K185" i="4"/>
  <c r="K187" i="4" s="1"/>
  <c r="J67" i="5"/>
  <c r="K221" i="4"/>
  <c r="K33" i="5"/>
  <c r="K211" i="4"/>
  <c r="M140" i="4"/>
  <c r="K43" i="5"/>
  <c r="K167" i="4"/>
  <c r="K21" i="5"/>
  <c r="K166" i="4"/>
  <c r="L41" i="5"/>
  <c r="L47" i="5"/>
  <c r="M152" i="4"/>
  <c r="L146" i="4"/>
  <c r="L20" i="5" s="1"/>
  <c r="N4" i="4"/>
  <c r="O3" i="4" s="1"/>
  <c r="P25" i="4"/>
  <c r="O36" i="4" s="1"/>
  <c r="R36" i="4" s="1"/>
  <c r="P27" i="4"/>
  <c r="O38" i="4" s="1"/>
  <c r="R38" i="4" s="1"/>
  <c r="G47" i="4"/>
  <c r="G80" i="4" s="1"/>
  <c r="H93" i="4" s="1"/>
  <c r="O32" i="4"/>
  <c r="N43" i="4" s="1"/>
  <c r="O31" i="4"/>
  <c r="N42" i="4" s="1"/>
  <c r="L45" i="4"/>
  <c r="O30" i="4"/>
  <c r="N41" i="4" s="1"/>
  <c r="P29" i="4"/>
  <c r="O40" i="4" s="1"/>
  <c r="R40" i="4" s="1"/>
  <c r="O28" i="4"/>
  <c r="N39" i="4" s="1"/>
  <c r="O33" i="4"/>
  <c r="N44" i="4" s="1"/>
  <c r="K22" i="5" l="1"/>
  <c r="J49" i="4"/>
  <c r="J82" i="4" s="1"/>
  <c r="K95" i="4" s="1"/>
  <c r="G49" i="4"/>
  <c r="G82" i="4" s="1"/>
  <c r="H95" i="4" s="1"/>
  <c r="M41" i="5"/>
  <c r="M43" i="5" s="1"/>
  <c r="N145" i="4"/>
  <c r="N154" i="4"/>
  <c r="K165" i="4"/>
  <c r="K169" i="4" s="1"/>
  <c r="J61" i="5"/>
  <c r="J63" i="5" s="1"/>
  <c r="M18" i="6" s="1"/>
  <c r="L185" i="4"/>
  <c r="L187" i="4" s="1"/>
  <c r="K67" i="5"/>
  <c r="M175" i="4"/>
  <c r="M178" i="4" s="1"/>
  <c r="L65" i="5"/>
  <c r="K220" i="4"/>
  <c r="K222" i="4" s="1"/>
  <c r="J83" i="5"/>
  <c r="L221" i="4"/>
  <c r="L33" i="5"/>
  <c r="L211" i="4"/>
  <c r="M146" i="4"/>
  <c r="M20" i="5" s="1"/>
  <c r="M166" i="4" s="1"/>
  <c r="N152" i="4"/>
  <c r="M47" i="5"/>
  <c r="M49" i="5"/>
  <c r="I49" i="4"/>
  <c r="I82" i="4" s="1"/>
  <c r="J95" i="4" s="1"/>
  <c r="L43" i="5"/>
  <c r="L167" i="4"/>
  <c r="L21" i="5"/>
  <c r="L22" i="5" s="1"/>
  <c r="L166" i="4"/>
  <c r="N140" i="4"/>
  <c r="O145" i="4" s="1"/>
  <c r="O4" i="4"/>
  <c r="P3" i="4" s="1"/>
  <c r="H49" i="4"/>
  <c r="H82" i="4" s="1"/>
  <c r="I95" i="4" s="1"/>
  <c r="K48" i="4"/>
  <c r="K81" i="4" s="1"/>
  <c r="L94" i="4" s="1"/>
  <c r="M48" i="4"/>
  <c r="M81" i="4" s="1"/>
  <c r="N94" i="4" s="1"/>
  <c r="K49" i="4"/>
  <c r="K82" i="4" s="1"/>
  <c r="L95" i="4" s="1"/>
  <c r="F47" i="4"/>
  <c r="F80" i="4" s="1"/>
  <c r="G93" i="4" s="1"/>
  <c r="F49" i="4"/>
  <c r="F82" i="4" s="1"/>
  <c r="G95" i="4" s="1"/>
  <c r="J47" i="4"/>
  <c r="J80" i="4" s="1"/>
  <c r="K93" i="4" s="1"/>
  <c r="M49" i="4"/>
  <c r="M82" i="4" s="1"/>
  <c r="N95" i="4" s="1"/>
  <c r="H47" i="4"/>
  <c r="H80" i="4" s="1"/>
  <c r="I93" i="4" s="1"/>
  <c r="L49" i="4"/>
  <c r="L82" i="4" s="1"/>
  <c r="M95" i="4" s="1"/>
  <c r="O49" i="4"/>
  <c r="O82" i="4" s="1"/>
  <c r="P95" i="4" s="1"/>
  <c r="E49" i="4"/>
  <c r="O48" i="4"/>
  <c r="O81" i="4" s="1"/>
  <c r="P94" i="4" s="1"/>
  <c r="N48" i="4"/>
  <c r="N81" i="4" s="1"/>
  <c r="O94" i="4" s="1"/>
  <c r="I48" i="4"/>
  <c r="I81" i="4" s="1"/>
  <c r="J94" i="4" s="1"/>
  <c r="L48" i="4"/>
  <c r="L81" i="4" s="1"/>
  <c r="M94" i="4" s="1"/>
  <c r="F48" i="4"/>
  <c r="F81" i="4" s="1"/>
  <c r="G94" i="4" s="1"/>
  <c r="H48" i="4"/>
  <c r="H81" i="4" s="1"/>
  <c r="I94" i="4" s="1"/>
  <c r="N49" i="4"/>
  <c r="N82" i="4" s="1"/>
  <c r="O95" i="4" s="1"/>
  <c r="P48" i="4"/>
  <c r="P81" i="4" s="1"/>
  <c r="J48" i="4"/>
  <c r="J81" i="4" s="1"/>
  <c r="K94" i="4" s="1"/>
  <c r="E48" i="4"/>
  <c r="G48" i="4"/>
  <c r="G81" i="4" s="1"/>
  <c r="H94" i="4" s="1"/>
  <c r="P49" i="4"/>
  <c r="P82" i="4" s="1"/>
  <c r="E47" i="4"/>
  <c r="I47" i="4"/>
  <c r="I80" i="4" s="1"/>
  <c r="J93" i="4" s="1"/>
  <c r="K47" i="4"/>
  <c r="K80" i="4" s="1"/>
  <c r="L93" i="4" s="1"/>
  <c r="P47" i="4"/>
  <c r="P80" i="4" s="1"/>
  <c r="L47" i="4"/>
  <c r="L80" i="4" s="1"/>
  <c r="M93" i="4" s="1"/>
  <c r="M47" i="4"/>
  <c r="M80" i="4" s="1"/>
  <c r="N93" i="4" s="1"/>
  <c r="N47" i="4"/>
  <c r="N80" i="4" s="1"/>
  <c r="O93" i="4" s="1"/>
  <c r="O47" i="4"/>
  <c r="O80" i="4" s="1"/>
  <c r="P93" i="4" s="1"/>
  <c r="P28" i="4"/>
  <c r="O39" i="4" s="1"/>
  <c r="R39" i="4" s="1"/>
  <c r="E52" i="4"/>
  <c r="P32" i="4"/>
  <c r="O43" i="4" s="1"/>
  <c r="R43" i="4" s="1"/>
  <c r="P31" i="4"/>
  <c r="O42" i="4" s="1"/>
  <c r="R42" i="4" s="1"/>
  <c r="M45" i="4"/>
  <c r="P33" i="4"/>
  <c r="O44" i="4" s="1"/>
  <c r="R44" i="4" s="1"/>
  <c r="P30" i="4"/>
  <c r="O41" i="4" s="1"/>
  <c r="R41" i="4" s="1"/>
  <c r="R49" i="4" l="1"/>
  <c r="R48" i="4"/>
  <c r="R47" i="4"/>
  <c r="E80" i="4"/>
  <c r="R80" i="4" s="1"/>
  <c r="E82" i="4"/>
  <c r="R82" i="4" s="1"/>
  <c r="E81" i="4"/>
  <c r="R81" i="4" s="1"/>
  <c r="E85" i="4"/>
  <c r="O154" i="4"/>
  <c r="M167" i="4"/>
  <c r="N49" i="5"/>
  <c r="L220" i="4"/>
  <c r="L222" i="4" s="1"/>
  <c r="K83" i="5"/>
  <c r="L165" i="4"/>
  <c r="L169" i="4" s="1"/>
  <c r="K61" i="5"/>
  <c r="K63" i="5" s="1"/>
  <c r="N18" i="6" s="1"/>
  <c r="N175" i="4"/>
  <c r="N178" i="4" s="1"/>
  <c r="M65" i="5"/>
  <c r="M185" i="4"/>
  <c r="M187" i="4" s="1"/>
  <c r="L67" i="5"/>
  <c r="M221" i="4"/>
  <c r="M21" i="5"/>
  <c r="M22" i="5" s="1"/>
  <c r="M33" i="5"/>
  <c r="M211" i="4"/>
  <c r="N41" i="5"/>
  <c r="N47" i="5"/>
  <c r="N146" i="4"/>
  <c r="N20" i="5" s="1"/>
  <c r="O152" i="4"/>
  <c r="O140" i="4"/>
  <c r="P145" i="4" s="1"/>
  <c r="P4" i="4"/>
  <c r="P140" i="4" s="1"/>
  <c r="P52" i="4"/>
  <c r="P85" i="4" s="1"/>
  <c r="O50" i="4"/>
  <c r="O83" i="4" s="1"/>
  <c r="P96" i="4" s="1"/>
  <c r="M50" i="4"/>
  <c r="M83" i="4" s="1"/>
  <c r="N96" i="4" s="1"/>
  <c r="I50" i="4"/>
  <c r="I83" i="4" s="1"/>
  <c r="J96" i="4" s="1"/>
  <c r="P50" i="4"/>
  <c r="P83" i="4" s="1"/>
  <c r="N50" i="4"/>
  <c r="N83" i="4" s="1"/>
  <c r="O96" i="4" s="1"/>
  <c r="G50" i="4"/>
  <c r="G83" i="4" s="1"/>
  <c r="H96" i="4" s="1"/>
  <c r="E50" i="4"/>
  <c r="J50" i="4"/>
  <c r="J83" i="4" s="1"/>
  <c r="K96" i="4" s="1"/>
  <c r="K50" i="4"/>
  <c r="K83" i="4" s="1"/>
  <c r="L96" i="4" s="1"/>
  <c r="L50" i="4"/>
  <c r="L83" i="4" s="1"/>
  <c r="M96" i="4" s="1"/>
  <c r="F50" i="4"/>
  <c r="F83" i="4" s="1"/>
  <c r="G96" i="4" s="1"/>
  <c r="H50" i="4"/>
  <c r="H83" i="4" s="1"/>
  <c r="I96" i="4" s="1"/>
  <c r="J52" i="4"/>
  <c r="J85" i="4" s="1"/>
  <c r="K98" i="4" s="1"/>
  <c r="O52" i="4"/>
  <c r="O85" i="4" s="1"/>
  <c r="P98" i="4" s="1"/>
  <c r="N52" i="4"/>
  <c r="N85" i="4" s="1"/>
  <c r="O98" i="4" s="1"/>
  <c r="L52" i="4"/>
  <c r="L85" i="4" s="1"/>
  <c r="M98" i="4" s="1"/>
  <c r="G52" i="4"/>
  <c r="G85" i="4" s="1"/>
  <c r="H98" i="4" s="1"/>
  <c r="K52" i="4"/>
  <c r="K85" i="4" s="1"/>
  <c r="L98" i="4" s="1"/>
  <c r="I54" i="4"/>
  <c r="I87" i="4" s="1"/>
  <c r="J100" i="4" s="1"/>
  <c r="J56" i="4"/>
  <c r="J89" i="4" s="1"/>
  <c r="K102" i="4" s="1"/>
  <c r="F52" i="4"/>
  <c r="F85" i="4" s="1"/>
  <c r="G98" i="4" s="1"/>
  <c r="I52" i="4"/>
  <c r="I85" i="4" s="1"/>
  <c r="J98" i="4" s="1"/>
  <c r="H52" i="4"/>
  <c r="H85" i="4" s="1"/>
  <c r="I98" i="4" s="1"/>
  <c r="G53" i="4"/>
  <c r="G86" i="4" s="1"/>
  <c r="H99" i="4" s="1"/>
  <c r="M52" i="4"/>
  <c r="M85" i="4" s="1"/>
  <c r="N98" i="4" s="1"/>
  <c r="P51" i="4"/>
  <c r="P84" i="4" s="1"/>
  <c r="N45" i="4"/>
  <c r="R85" i="4" l="1"/>
  <c r="R52" i="4"/>
  <c r="R50" i="4"/>
  <c r="F93" i="4"/>
  <c r="F98" i="4"/>
  <c r="E83" i="4"/>
  <c r="R83" i="4" s="1"/>
  <c r="F94" i="4"/>
  <c r="F95" i="4"/>
  <c r="P154" i="4"/>
  <c r="O49" i="5"/>
  <c r="M220" i="4"/>
  <c r="M222" i="4" s="1"/>
  <c r="L83" i="5"/>
  <c r="N185" i="4"/>
  <c r="N187" i="4" s="1"/>
  <c r="M67" i="5"/>
  <c r="M165" i="4"/>
  <c r="M169" i="4" s="1"/>
  <c r="L61" i="5"/>
  <c r="L63" i="5" s="1"/>
  <c r="O18" i="6" s="1"/>
  <c r="O175" i="4"/>
  <c r="O178" i="4" s="1"/>
  <c r="N65" i="5"/>
  <c r="N221" i="4"/>
  <c r="O56" i="4"/>
  <c r="O89" i="4" s="1"/>
  <c r="P102" i="4" s="1"/>
  <c r="N33" i="5"/>
  <c r="N211" i="4"/>
  <c r="N21" i="5"/>
  <c r="N22" i="5" s="1"/>
  <c r="N166" i="4"/>
  <c r="N43" i="5"/>
  <c r="N167" i="4"/>
  <c r="P41" i="5"/>
  <c r="P47" i="5"/>
  <c r="P146" i="4"/>
  <c r="P20" i="5" s="1"/>
  <c r="O41" i="5"/>
  <c r="O47" i="5"/>
  <c r="P152" i="4"/>
  <c r="P49" i="5" s="1"/>
  <c r="O146" i="4"/>
  <c r="O20" i="5" s="1"/>
  <c r="M53" i="4"/>
  <c r="M86" i="4" s="1"/>
  <c r="N99" i="4" s="1"/>
  <c r="J53" i="4"/>
  <c r="J86" i="4" s="1"/>
  <c r="K99" i="4" s="1"/>
  <c r="N54" i="4"/>
  <c r="N87" i="4" s="1"/>
  <c r="O100" i="4" s="1"/>
  <c r="P54" i="4"/>
  <c r="P87" i="4" s="1"/>
  <c r="M51" i="4"/>
  <c r="M84" i="4" s="1"/>
  <c r="N97" i="4" s="1"/>
  <c r="H53" i="4"/>
  <c r="H86" i="4" s="1"/>
  <c r="I99" i="4" s="1"/>
  <c r="L53" i="4"/>
  <c r="L86" i="4" s="1"/>
  <c r="M99" i="4" s="1"/>
  <c r="E53" i="4"/>
  <c r="O45" i="4"/>
  <c r="M54" i="4"/>
  <c r="M87" i="4" s="1"/>
  <c r="N100" i="4" s="1"/>
  <c r="O53" i="4"/>
  <c r="O86" i="4" s="1"/>
  <c r="P99" i="4" s="1"/>
  <c r="F56" i="4"/>
  <c r="F89" i="4" s="1"/>
  <c r="G102" i="4" s="1"/>
  <c r="P56" i="4"/>
  <c r="P89" i="4" s="1"/>
  <c r="K53" i="4"/>
  <c r="K86" i="4" s="1"/>
  <c r="L99" i="4" s="1"/>
  <c r="K56" i="4"/>
  <c r="K89" i="4" s="1"/>
  <c r="L102" i="4" s="1"/>
  <c r="K51" i="4"/>
  <c r="K84" i="4" s="1"/>
  <c r="L97" i="4" s="1"/>
  <c r="E54" i="4"/>
  <c r="F51" i="4"/>
  <c r="F84" i="4" s="1"/>
  <c r="G97" i="4" s="1"/>
  <c r="F53" i="4"/>
  <c r="F86" i="4" s="1"/>
  <c r="G99" i="4" s="1"/>
  <c r="H54" i="4"/>
  <c r="H87" i="4" s="1"/>
  <c r="I100" i="4" s="1"/>
  <c r="L56" i="4"/>
  <c r="L89" i="4" s="1"/>
  <c r="M102" i="4" s="1"/>
  <c r="H56" i="4"/>
  <c r="H89" i="4" s="1"/>
  <c r="I102" i="4" s="1"/>
  <c r="N53" i="4"/>
  <c r="N86" i="4" s="1"/>
  <c r="O99" i="4" s="1"/>
  <c r="E51" i="4"/>
  <c r="F54" i="4"/>
  <c r="F87" i="4" s="1"/>
  <c r="G100" i="4" s="1"/>
  <c r="G51" i="4"/>
  <c r="G84" i="4" s="1"/>
  <c r="H97" i="4" s="1"/>
  <c r="G56" i="4"/>
  <c r="G89" i="4" s="1"/>
  <c r="H102" i="4" s="1"/>
  <c r="I51" i="4"/>
  <c r="I84" i="4" s="1"/>
  <c r="J97" i="4" s="1"/>
  <c r="M56" i="4"/>
  <c r="M89" i="4" s="1"/>
  <c r="N102" i="4" s="1"/>
  <c r="N51" i="4"/>
  <c r="N84" i="4" s="1"/>
  <c r="O97" i="4" s="1"/>
  <c r="G54" i="4"/>
  <c r="G87" i="4" s="1"/>
  <c r="H100" i="4" s="1"/>
  <c r="E56" i="4"/>
  <c r="O51" i="4"/>
  <c r="O84" i="4" s="1"/>
  <c r="P97" i="4" s="1"/>
  <c r="I56" i="4"/>
  <c r="I89" i="4" s="1"/>
  <c r="J102" i="4" s="1"/>
  <c r="N56" i="4"/>
  <c r="N89" i="4" s="1"/>
  <c r="O102" i="4" s="1"/>
  <c r="I53" i="4"/>
  <c r="I86" i="4" s="1"/>
  <c r="J99" i="4" s="1"/>
  <c r="O54" i="4"/>
  <c r="O87" i="4" s="1"/>
  <c r="P100" i="4" s="1"/>
  <c r="J54" i="4"/>
  <c r="J87" i="4" s="1"/>
  <c r="K100" i="4" s="1"/>
  <c r="N55" i="4"/>
  <c r="N88" i="4" s="1"/>
  <c r="O101" i="4" s="1"/>
  <c r="P55" i="4"/>
  <c r="P88" i="4" s="1"/>
  <c r="G55" i="4"/>
  <c r="G88" i="4" s="1"/>
  <c r="H101" i="4" s="1"/>
  <c r="O55" i="4"/>
  <c r="O88" i="4" s="1"/>
  <c r="P101" i="4" s="1"/>
  <c r="L55" i="4"/>
  <c r="L88" i="4" s="1"/>
  <c r="M101" i="4" s="1"/>
  <c r="K55" i="4"/>
  <c r="K88" i="4" s="1"/>
  <c r="L101" i="4" s="1"/>
  <c r="J55" i="4"/>
  <c r="J88" i="4" s="1"/>
  <c r="K101" i="4" s="1"/>
  <c r="I55" i="4"/>
  <c r="I88" i="4" s="1"/>
  <c r="J101" i="4" s="1"/>
  <c r="F55" i="4"/>
  <c r="F88" i="4" s="1"/>
  <c r="G101" i="4" s="1"/>
  <c r="E55" i="4"/>
  <c r="H55" i="4"/>
  <c r="H88" i="4" s="1"/>
  <c r="I101" i="4" s="1"/>
  <c r="M55" i="4"/>
  <c r="M88" i="4" s="1"/>
  <c r="N101" i="4" s="1"/>
  <c r="P53" i="4"/>
  <c r="J51" i="4"/>
  <c r="K54" i="4"/>
  <c r="L54" i="4"/>
  <c r="L51" i="4"/>
  <c r="L84" i="4" s="1"/>
  <c r="M97" i="4" s="1"/>
  <c r="H51" i="4"/>
  <c r="H84" i="4" s="1"/>
  <c r="I97" i="4" s="1"/>
  <c r="R56" i="4" l="1"/>
  <c r="R55" i="4"/>
  <c r="R54" i="4"/>
  <c r="R53" i="4"/>
  <c r="R51" i="4"/>
  <c r="R49" i="5"/>
  <c r="R47" i="5"/>
  <c r="R41" i="5"/>
  <c r="R20" i="5"/>
  <c r="F96" i="4"/>
  <c r="E87" i="4"/>
  <c r="E88" i="4"/>
  <c r="R88" i="4" s="1"/>
  <c r="E89" i="4"/>
  <c r="R89" i="4" s="1"/>
  <c r="E84" i="4"/>
  <c r="E86" i="4"/>
  <c r="P175" i="4"/>
  <c r="P178" i="4" s="1"/>
  <c r="P65" i="5" s="1"/>
  <c r="O65" i="5"/>
  <c r="N165" i="4"/>
  <c r="N169" i="4" s="1"/>
  <c r="M61" i="5"/>
  <c r="M63" i="5" s="1"/>
  <c r="P18" i="6" s="1"/>
  <c r="O185" i="4"/>
  <c r="O187" i="4" s="1"/>
  <c r="N67" i="5"/>
  <c r="N220" i="4"/>
  <c r="N222" i="4" s="1"/>
  <c r="M83" i="5"/>
  <c r="O221" i="4"/>
  <c r="P221" i="4"/>
  <c r="O33" i="5"/>
  <c r="R33" i="5" s="1"/>
  <c r="O211" i="4"/>
  <c r="R211" i="4" s="1"/>
  <c r="O43" i="5"/>
  <c r="O167" i="4"/>
  <c r="P21" i="5"/>
  <c r="P166" i="4"/>
  <c r="P43" i="5"/>
  <c r="P167" i="4"/>
  <c r="O21" i="5"/>
  <c r="O22" i="5" s="1"/>
  <c r="O166" i="4"/>
  <c r="P103" i="4"/>
  <c r="P182" i="4" s="1"/>
  <c r="N103" i="4"/>
  <c r="N182" i="4" s="1"/>
  <c r="I103" i="4"/>
  <c r="I182" i="4" s="1"/>
  <c r="G103" i="4"/>
  <c r="G182" i="4" s="1"/>
  <c r="O103" i="4"/>
  <c r="O182" i="4" s="1"/>
  <c r="H103" i="4"/>
  <c r="E103" i="4"/>
  <c r="E182" i="4" s="1"/>
  <c r="M90" i="4"/>
  <c r="M181" i="4" s="1"/>
  <c r="O57" i="4"/>
  <c r="E57" i="4"/>
  <c r="N90" i="4"/>
  <c r="N181" i="4" s="1"/>
  <c r="H57" i="4"/>
  <c r="L57" i="4"/>
  <c r="L87" i="4"/>
  <c r="M100" i="4" s="1"/>
  <c r="M103" i="4" s="1"/>
  <c r="N57" i="4"/>
  <c r="J57" i="4"/>
  <c r="J84" i="4"/>
  <c r="K97" i="4" s="1"/>
  <c r="I90" i="4"/>
  <c r="I181" i="4" s="1"/>
  <c r="G90" i="4"/>
  <c r="G181" i="4" s="1"/>
  <c r="F90" i="4"/>
  <c r="F181" i="4" s="1"/>
  <c r="K57" i="4"/>
  <c r="K87" i="4"/>
  <c r="L100" i="4" s="1"/>
  <c r="O90" i="4"/>
  <c r="O181" i="4" s="1"/>
  <c r="M57" i="4"/>
  <c r="G57" i="4"/>
  <c r="H90" i="4"/>
  <c r="H181" i="4" s="1"/>
  <c r="P57" i="4"/>
  <c r="P86" i="4"/>
  <c r="P90" i="4" s="1"/>
  <c r="P181" i="4" s="1"/>
  <c r="F57" i="4"/>
  <c r="I57" i="4"/>
  <c r="P22" i="5" l="1"/>
  <c r="V9" i="6"/>
  <c r="R87" i="4"/>
  <c r="R86" i="4"/>
  <c r="R21" i="4"/>
  <c r="R84" i="4"/>
  <c r="R166" i="4"/>
  <c r="R167" i="4"/>
  <c r="R221" i="4"/>
  <c r="E90" i="4"/>
  <c r="E181" i="4" s="1"/>
  <c r="E183" i="4" s="1"/>
  <c r="F102" i="4"/>
  <c r="F101" i="4"/>
  <c r="F99" i="4"/>
  <c r="F100" i="4"/>
  <c r="F97" i="4"/>
  <c r="M212" i="4"/>
  <c r="M34" i="5"/>
  <c r="J212" i="4"/>
  <c r="J34" i="5"/>
  <c r="G212" i="4"/>
  <c r="G34" i="5"/>
  <c r="L212" i="4"/>
  <c r="L34" i="5"/>
  <c r="F212" i="4"/>
  <c r="F34" i="5"/>
  <c r="H212" i="4"/>
  <c r="H34" i="5"/>
  <c r="O212" i="4"/>
  <c r="O34" i="5"/>
  <c r="I212" i="4"/>
  <c r="I34" i="5"/>
  <c r="N212" i="4"/>
  <c r="N34" i="5"/>
  <c r="K212" i="4"/>
  <c r="K34" i="5"/>
  <c r="P212" i="4"/>
  <c r="P34" i="5"/>
  <c r="E212" i="4"/>
  <c r="E34" i="5"/>
  <c r="O220" i="4"/>
  <c r="O222" i="4" s="1"/>
  <c r="N83" i="5"/>
  <c r="O165" i="4"/>
  <c r="O169" i="4" s="1"/>
  <c r="N61" i="5"/>
  <c r="N63" i="5" s="1"/>
  <c r="Q18" i="6" s="1"/>
  <c r="P185" i="4"/>
  <c r="P187" i="4" s="1"/>
  <c r="P67" i="5" s="1"/>
  <c r="O67" i="5"/>
  <c r="H36" i="5"/>
  <c r="H182" i="4"/>
  <c r="M36" i="5"/>
  <c r="M182" i="4"/>
  <c r="O36" i="5"/>
  <c r="G36" i="5"/>
  <c r="I36" i="5"/>
  <c r="N36" i="5"/>
  <c r="P36" i="5"/>
  <c r="K90" i="4"/>
  <c r="K181" i="4" s="1"/>
  <c r="K103" i="4"/>
  <c r="K182" i="4" s="1"/>
  <c r="L90" i="4"/>
  <c r="L181" i="4" s="1"/>
  <c r="L103" i="4"/>
  <c r="J90" i="4"/>
  <c r="J181" i="4" s="1"/>
  <c r="J103" i="4"/>
  <c r="R77" i="4" l="1"/>
  <c r="E36" i="5"/>
  <c r="E39" i="5" s="1"/>
  <c r="E45" i="5" s="1"/>
  <c r="E213" i="4"/>
  <c r="E81" i="5" s="1"/>
  <c r="R212" i="4"/>
  <c r="R181" i="4"/>
  <c r="F103" i="4"/>
  <c r="F182" i="4" s="1"/>
  <c r="R34" i="5"/>
  <c r="P165" i="4"/>
  <c r="P169" i="4" s="1"/>
  <c r="P61" i="5" s="1"/>
  <c r="P63" i="5" s="1"/>
  <c r="S18" i="6" s="1"/>
  <c r="O61" i="5"/>
  <c r="O63" i="5" s="1"/>
  <c r="R18" i="6" s="1"/>
  <c r="P220" i="4"/>
  <c r="P222" i="4" s="1"/>
  <c r="P83" i="5" s="1"/>
  <c r="O83" i="5"/>
  <c r="F180" i="4"/>
  <c r="E66" i="5"/>
  <c r="J36" i="5"/>
  <c r="J182" i="4"/>
  <c r="L36" i="5"/>
  <c r="L182" i="4"/>
  <c r="K36" i="5"/>
  <c r="H19" i="6" l="1"/>
  <c r="E160" i="4"/>
  <c r="E161" i="4" s="1"/>
  <c r="F210" i="4"/>
  <c r="F213" i="4" s="1"/>
  <c r="G210" i="4" s="1"/>
  <c r="G213" i="4" s="1"/>
  <c r="G81" i="5" s="1"/>
  <c r="R182" i="4"/>
  <c r="R163" i="4" s="1"/>
  <c r="F183" i="4"/>
  <c r="F66" i="5" s="1"/>
  <c r="F36" i="5"/>
  <c r="R36" i="5" s="1"/>
  <c r="E190" i="4"/>
  <c r="H210" i="4" l="1"/>
  <c r="H213" i="4" s="1"/>
  <c r="H81" i="5" s="1"/>
  <c r="F81" i="5"/>
  <c r="I19" i="6" s="1"/>
  <c r="G180" i="4"/>
  <c r="G183" i="4" s="1"/>
  <c r="H180" i="4" s="1"/>
  <c r="H183" i="4" s="1"/>
  <c r="E191" i="4"/>
  <c r="E217" i="4"/>
  <c r="I210" i="4" l="1"/>
  <c r="I213" i="4" s="1"/>
  <c r="I81" i="5" s="1"/>
  <c r="G66" i="5"/>
  <c r="J19" i="6" s="1"/>
  <c r="E192" i="4"/>
  <c r="E193" i="4" s="1"/>
  <c r="F189" i="4" s="1"/>
  <c r="E50" i="5"/>
  <c r="E216" i="4"/>
  <c r="I180" i="4"/>
  <c r="I183" i="4" s="1"/>
  <c r="H66" i="5"/>
  <c r="K19" i="6" s="1"/>
  <c r="J210" i="4" l="1"/>
  <c r="J213" i="4" s="1"/>
  <c r="K210" i="4" s="1"/>
  <c r="K213" i="4" s="1"/>
  <c r="E218" i="4"/>
  <c r="F215" i="4" s="1"/>
  <c r="F158" i="4" s="1"/>
  <c r="F24" i="5" s="1"/>
  <c r="E48" i="5"/>
  <c r="E68" i="5"/>
  <c r="J180" i="4"/>
  <c r="J183" i="4" s="1"/>
  <c r="I66" i="5"/>
  <c r="L19" i="6" s="1"/>
  <c r="E69" i="5" l="1"/>
  <c r="E71" i="5" s="1"/>
  <c r="H12" i="6"/>
  <c r="J81" i="5"/>
  <c r="E53" i="5"/>
  <c r="E55" i="5" s="1"/>
  <c r="E82" i="5"/>
  <c r="H22" i="6" s="1"/>
  <c r="F37" i="5"/>
  <c r="F39" i="5" s="1"/>
  <c r="F45" i="5" s="1"/>
  <c r="F26" i="5"/>
  <c r="L210" i="4"/>
  <c r="L213" i="4" s="1"/>
  <c r="K81" i="5"/>
  <c r="K180" i="4"/>
  <c r="K183" i="4" s="1"/>
  <c r="J66" i="5"/>
  <c r="M19" i="6" s="1"/>
  <c r="F160" i="4" l="1"/>
  <c r="F161" i="4" s="1"/>
  <c r="E84" i="5"/>
  <c r="E86" i="5" s="1"/>
  <c r="E88" i="5" s="1"/>
  <c r="H13" i="6"/>
  <c r="H14" i="6" s="1"/>
  <c r="I8" i="6"/>
  <c r="F27" i="5"/>
  <c r="F190" i="4"/>
  <c r="F217" i="4" s="1"/>
  <c r="F203" i="4"/>
  <c r="M210" i="4"/>
  <c r="M213" i="4" s="1"/>
  <c r="L81" i="5"/>
  <c r="L180" i="4"/>
  <c r="L183" i="4" s="1"/>
  <c r="K66" i="5"/>
  <c r="N19" i="6" s="1"/>
  <c r="F204" i="4" l="1"/>
  <c r="G202" i="4" s="1"/>
  <c r="F192" i="4"/>
  <c r="F50" i="5"/>
  <c r="F191" i="4"/>
  <c r="F216" i="4"/>
  <c r="N210" i="4"/>
  <c r="N213" i="4" s="1"/>
  <c r="M81" i="5"/>
  <c r="M180" i="4"/>
  <c r="M183" i="4" s="1"/>
  <c r="L66" i="5"/>
  <c r="O19" i="6" s="1"/>
  <c r="F77" i="5" l="1"/>
  <c r="F78" i="5" s="1"/>
  <c r="I21" i="6" s="1"/>
  <c r="F218" i="4"/>
  <c r="G215" i="4" s="1"/>
  <c r="G158" i="4" s="1"/>
  <c r="G24" i="5" s="1"/>
  <c r="F48" i="5"/>
  <c r="F193" i="4"/>
  <c r="G189" i="4" s="1"/>
  <c r="O210" i="4"/>
  <c r="O213" i="4" s="1"/>
  <c r="N81" i="5"/>
  <c r="N180" i="4"/>
  <c r="N183" i="4" s="1"/>
  <c r="M66" i="5"/>
  <c r="P19" i="6" s="1"/>
  <c r="F53" i="5" l="1"/>
  <c r="F55" i="5" s="1"/>
  <c r="G26" i="5"/>
  <c r="F82" i="5"/>
  <c r="F68" i="5"/>
  <c r="G37" i="5"/>
  <c r="G39" i="5" s="1"/>
  <c r="G45" i="5" s="1"/>
  <c r="P210" i="4"/>
  <c r="P213" i="4" s="1"/>
  <c r="P81" i="5" s="1"/>
  <c r="O81" i="5"/>
  <c r="O180" i="4"/>
  <c r="O183" i="4" s="1"/>
  <c r="N66" i="5"/>
  <c r="Q19" i="6" s="1"/>
  <c r="I22" i="6" l="1"/>
  <c r="G160" i="4"/>
  <c r="G161" i="4" s="1"/>
  <c r="F84" i="5"/>
  <c r="F86" i="5" s="1"/>
  <c r="I13" i="6"/>
  <c r="I14" i="6" s="1"/>
  <c r="F69" i="5"/>
  <c r="F71" i="5" s="1"/>
  <c r="I12" i="6"/>
  <c r="G27" i="5"/>
  <c r="J8" i="6"/>
  <c r="G203" i="4"/>
  <c r="G190" i="4"/>
  <c r="P180" i="4"/>
  <c r="P183" i="4" s="1"/>
  <c r="P66" i="5" s="1"/>
  <c r="O66" i="5"/>
  <c r="R19" i="6" s="1"/>
  <c r="V15" i="6" l="1"/>
  <c r="S19" i="6"/>
  <c r="F88" i="5"/>
  <c r="G204" i="4"/>
  <c r="H202" i="4" s="1"/>
  <c r="G191" i="4"/>
  <c r="G216" i="4"/>
  <c r="G48" i="5" s="1"/>
  <c r="G217" i="4"/>
  <c r="G50" i="5" s="1"/>
  <c r="G77" i="5" l="1"/>
  <c r="G78" i="5" s="1"/>
  <c r="J21" i="6" s="1"/>
  <c r="G53" i="5"/>
  <c r="G55" i="5" s="1"/>
  <c r="G218" i="4"/>
  <c r="G82" i="5" s="1"/>
  <c r="G192" i="4"/>
  <c r="G193" i="4" s="1"/>
  <c r="G68" i="5" s="1"/>
  <c r="J22" i="6" s="1"/>
  <c r="G84" i="5" l="1"/>
  <c r="G86" i="5" s="1"/>
  <c r="J13" i="6"/>
  <c r="J14" i="6" s="1"/>
  <c r="G69" i="5"/>
  <c r="G71" i="5" s="1"/>
  <c r="J12" i="6"/>
  <c r="H215" i="4"/>
  <c r="H158" i="4" s="1"/>
  <c r="H189" i="4"/>
  <c r="G88" i="5" l="1"/>
  <c r="H24" i="5"/>
  <c r="H37" i="5" l="1"/>
  <c r="H39" i="5" s="1"/>
  <c r="H45" i="5" s="1"/>
  <c r="H26" i="5"/>
  <c r="H160" i="4" l="1"/>
  <c r="H161" i="4" s="1"/>
  <c r="H27" i="5"/>
  <c r="K8" i="6"/>
  <c r="H203" i="4"/>
  <c r="H190" i="4"/>
  <c r="H217" i="4" s="1"/>
  <c r="H204" i="4" l="1"/>
  <c r="I202" i="4" s="1"/>
  <c r="H192" i="4"/>
  <c r="H50" i="5"/>
  <c r="H191" i="4"/>
  <c r="H216" i="4"/>
  <c r="H77" i="5" l="1"/>
  <c r="H78" i="5" s="1"/>
  <c r="K21" i="6" s="1"/>
  <c r="H193" i="4"/>
  <c r="H68" i="5" s="1"/>
  <c r="H218" i="4"/>
  <c r="I215" i="4" s="1"/>
  <c r="I158" i="4" s="1"/>
  <c r="I24" i="5" s="1"/>
  <c r="H48" i="5"/>
  <c r="H69" i="5" l="1"/>
  <c r="H71" i="5" s="1"/>
  <c r="K12" i="6"/>
  <c r="H53" i="5"/>
  <c r="H55" i="5" s="1"/>
  <c r="I189" i="4"/>
  <c r="H82" i="5"/>
  <c r="K22" i="6" s="1"/>
  <c r="I37" i="5"/>
  <c r="I39" i="5" s="1"/>
  <c r="I45" i="5" s="1"/>
  <c r="I26" i="5"/>
  <c r="H84" i="5" l="1"/>
  <c r="H86" i="5" s="1"/>
  <c r="H88" i="5" s="1"/>
  <c r="K13" i="6"/>
  <c r="K14" i="6" s="1"/>
  <c r="L8" i="6"/>
  <c r="I160" i="4"/>
  <c r="I161" i="4" s="1"/>
  <c r="I190" i="4"/>
  <c r="I203" i="4"/>
  <c r="I27" i="5"/>
  <c r="I204" i="4" l="1"/>
  <c r="I77" i="5" s="1"/>
  <c r="I78" i="5" s="1"/>
  <c r="L21" i="6" s="1"/>
  <c r="I216" i="4"/>
  <c r="I48" i="5" s="1"/>
  <c r="I191" i="4"/>
  <c r="I217" i="4"/>
  <c r="J202" i="4" l="1"/>
  <c r="I192" i="4"/>
  <c r="I193" i="4" s="1"/>
  <c r="J189" i="4" s="1"/>
  <c r="I50" i="5"/>
  <c r="I53" i="5" s="1"/>
  <c r="I55" i="5" s="1"/>
  <c r="I218" i="4"/>
  <c r="I68" i="5" l="1"/>
  <c r="J215" i="4"/>
  <c r="J158" i="4" s="1"/>
  <c r="I82" i="5"/>
  <c r="L22" i="6" l="1"/>
  <c r="I84" i="5"/>
  <c r="I86" i="5" s="1"/>
  <c r="L13" i="6"/>
  <c r="L14" i="6" s="1"/>
  <c r="I69" i="5"/>
  <c r="I71" i="5" s="1"/>
  <c r="L12" i="6"/>
  <c r="J24" i="5"/>
  <c r="I88" i="5" l="1"/>
  <c r="J37" i="5"/>
  <c r="J39" i="5" s="1"/>
  <c r="J45" i="5" s="1"/>
  <c r="J160" i="4" s="1"/>
  <c r="J26" i="5"/>
  <c r="M8" i="6" l="1"/>
  <c r="J161" i="4"/>
  <c r="J203" i="4"/>
  <c r="J27" i="5"/>
  <c r="J190" i="4"/>
  <c r="J204" i="4" l="1"/>
  <c r="K202" i="4" s="1"/>
  <c r="J216" i="4"/>
  <c r="J48" i="5" s="1"/>
  <c r="J191" i="4"/>
  <c r="J217" i="4"/>
  <c r="J77" i="5" l="1"/>
  <c r="J78" i="5" s="1"/>
  <c r="M21" i="6" s="1"/>
  <c r="J192" i="4"/>
  <c r="J193" i="4" s="1"/>
  <c r="J50" i="5"/>
  <c r="J53" i="5" s="1"/>
  <c r="J55" i="5" s="1"/>
  <c r="J218" i="4"/>
  <c r="K215" i="4" l="1"/>
  <c r="K158" i="4" s="1"/>
  <c r="J82" i="5"/>
  <c r="K189" i="4"/>
  <c r="J68" i="5"/>
  <c r="M22" i="6" s="1"/>
  <c r="J84" i="5" l="1"/>
  <c r="J86" i="5" s="1"/>
  <c r="M13" i="6"/>
  <c r="M14" i="6" s="1"/>
  <c r="J69" i="5"/>
  <c r="J71" i="5" s="1"/>
  <c r="M12" i="6"/>
  <c r="K24" i="5"/>
  <c r="J88" i="5" l="1"/>
  <c r="K37" i="5"/>
  <c r="K39" i="5" s="1"/>
  <c r="K45" i="5" s="1"/>
  <c r="K160" i="4" s="1"/>
  <c r="K26" i="5"/>
  <c r="N8" i="6" s="1"/>
  <c r="K161" i="4" l="1"/>
  <c r="K27" i="5"/>
  <c r="K203" i="4"/>
  <c r="K204" i="4" s="1"/>
  <c r="K190" i="4"/>
  <c r="K191" i="4" l="1"/>
  <c r="K216" i="4"/>
  <c r="K48" i="5" s="1"/>
  <c r="L202" i="4"/>
  <c r="K77" i="5"/>
  <c r="K78" i="5" s="1"/>
  <c r="N21" i="6" s="1"/>
  <c r="K217" i="4"/>
  <c r="K192" i="4" l="1"/>
  <c r="K193" i="4" s="1"/>
  <c r="K50" i="5"/>
  <c r="K53" i="5" s="1"/>
  <c r="K55" i="5" s="1"/>
  <c r="K218" i="4"/>
  <c r="K82" i="5" s="1"/>
  <c r="K84" i="5" l="1"/>
  <c r="K86" i="5" s="1"/>
  <c r="N13" i="6"/>
  <c r="N14" i="6" s="1"/>
  <c r="L215" i="4"/>
  <c r="L158" i="4" s="1"/>
  <c r="L189" i="4"/>
  <c r="K68" i="5"/>
  <c r="N22" i="6" s="1"/>
  <c r="K69" i="5" l="1"/>
  <c r="K71" i="5" s="1"/>
  <c r="K88" i="5" s="1"/>
  <c r="N12" i="6"/>
  <c r="L24" i="5"/>
  <c r="L37" i="5" s="1"/>
  <c r="L39" i="5" s="1"/>
  <c r="L45" i="5" s="1"/>
  <c r="L160" i="4" s="1"/>
  <c r="L161" i="4" l="1"/>
  <c r="L26" i="5"/>
  <c r="L190" i="4"/>
  <c r="L27" i="5" l="1"/>
  <c r="O8" i="6"/>
  <c r="L191" i="4"/>
  <c r="L216" i="4"/>
  <c r="L48" i="5" s="1"/>
  <c r="L203" i="4"/>
  <c r="L204" i="4" s="1"/>
  <c r="L77" i="5" s="1"/>
  <c r="L78" i="5" s="1"/>
  <c r="O21" i="6" s="1"/>
  <c r="L217" i="4"/>
  <c r="L192" i="4" l="1"/>
  <c r="L193" i="4" s="1"/>
  <c r="M189" i="4" s="1"/>
  <c r="L50" i="5"/>
  <c r="L53" i="5" s="1"/>
  <c r="L55" i="5" s="1"/>
  <c r="M202" i="4"/>
  <c r="L218" i="4"/>
  <c r="L68" i="5" l="1"/>
  <c r="M215" i="4"/>
  <c r="M158" i="4" s="1"/>
  <c r="L82" i="5"/>
  <c r="O22" i="6" l="1"/>
  <c r="L84" i="5"/>
  <c r="L86" i="5" s="1"/>
  <c r="O13" i="6"/>
  <c r="O14" i="6" s="1"/>
  <c r="L69" i="5"/>
  <c r="L71" i="5" s="1"/>
  <c r="O12" i="6"/>
  <c r="M24" i="5"/>
  <c r="L88" i="5" l="1"/>
  <c r="M26" i="5"/>
  <c r="P8" i="6" s="1"/>
  <c r="M37" i="5"/>
  <c r="M39" i="5" s="1"/>
  <c r="M45" i="5" s="1"/>
  <c r="M160" i="4" s="1"/>
  <c r="M161" i="4" l="1"/>
  <c r="M190" i="4"/>
  <c r="M27" i="5"/>
  <c r="M203" i="4"/>
  <c r="M204" i="4" s="1"/>
  <c r="M191" i="4" l="1"/>
  <c r="M216" i="4"/>
  <c r="M48" i="5" s="1"/>
  <c r="M77" i="5"/>
  <c r="M78" i="5" s="1"/>
  <c r="P21" i="6" s="1"/>
  <c r="N202" i="4"/>
  <c r="M217" i="4"/>
  <c r="M192" i="4" l="1"/>
  <c r="M193" i="4" s="1"/>
  <c r="N189" i="4" s="1"/>
  <c r="M50" i="5"/>
  <c r="M53" i="5" s="1"/>
  <c r="M55" i="5" s="1"/>
  <c r="M218" i="4"/>
  <c r="M68" i="5" l="1"/>
  <c r="N215" i="4"/>
  <c r="N158" i="4" s="1"/>
  <c r="M82" i="5"/>
  <c r="P22" i="6" l="1"/>
  <c r="M84" i="5"/>
  <c r="M86" i="5" s="1"/>
  <c r="P13" i="6"/>
  <c r="P14" i="6" s="1"/>
  <c r="M69" i="5"/>
  <c r="M71" i="5" s="1"/>
  <c r="P12" i="6"/>
  <c r="N24" i="5"/>
  <c r="M88" i="5" l="1"/>
  <c r="N37" i="5"/>
  <c r="N39" i="5" s="1"/>
  <c r="N45" i="5" s="1"/>
  <c r="N160" i="4" s="1"/>
  <c r="N26" i="5"/>
  <c r="Q8" i="6" s="1"/>
  <c r="N161" i="4" l="1"/>
  <c r="N203" i="4"/>
  <c r="N204" i="4" s="1"/>
  <c r="N27" i="5"/>
  <c r="N190" i="4"/>
  <c r="N191" i="4" l="1"/>
  <c r="N217" i="4"/>
  <c r="O202" i="4"/>
  <c r="N77" i="5"/>
  <c r="N78" i="5" s="1"/>
  <c r="Q21" i="6" s="1"/>
  <c r="N192" i="4" l="1"/>
  <c r="N193" i="4" s="1"/>
  <c r="N50" i="5"/>
  <c r="N216" i="4"/>
  <c r="N218" i="4" l="1"/>
  <c r="O215" i="4" s="1"/>
  <c r="O158" i="4" s="1"/>
  <c r="O24" i="5" s="1"/>
  <c r="N48" i="5"/>
  <c r="N53" i="5" s="1"/>
  <c r="N55" i="5" s="1"/>
  <c r="O189" i="4"/>
  <c r="N68" i="5"/>
  <c r="N69" i="5" l="1"/>
  <c r="N71" i="5" s="1"/>
  <c r="Q12" i="6"/>
  <c r="N82" i="5"/>
  <c r="Q22" i="6" s="1"/>
  <c r="O37" i="5"/>
  <c r="O39" i="5" s="1"/>
  <c r="O45" i="5" s="1"/>
  <c r="O160" i="4" s="1"/>
  <c r="O26" i="5"/>
  <c r="R8" i="6" s="1"/>
  <c r="N84" i="5" l="1"/>
  <c r="N86" i="5" s="1"/>
  <c r="N88" i="5" s="1"/>
  <c r="Q13" i="6"/>
  <c r="Q14" i="6" s="1"/>
  <c r="O161" i="4"/>
  <c r="O203" i="4"/>
  <c r="O204" i="4" s="1"/>
  <c r="O27" i="5"/>
  <c r="O190" i="4"/>
  <c r="O191" i="4" l="1"/>
  <c r="O216" i="4"/>
  <c r="O48" i="5" s="1"/>
  <c r="O217" i="4"/>
  <c r="O77" i="5"/>
  <c r="O78" i="5" s="1"/>
  <c r="R21" i="6" s="1"/>
  <c r="P202" i="4"/>
  <c r="O192" i="4" l="1"/>
  <c r="O193" i="4" s="1"/>
  <c r="O68" i="5" s="1"/>
  <c r="O50" i="5"/>
  <c r="O53" i="5" s="1"/>
  <c r="O55" i="5" s="1"/>
  <c r="O218" i="4"/>
  <c r="O82" i="5" s="1"/>
  <c r="R22" i="6" l="1"/>
  <c r="O84" i="5"/>
  <c r="O86" i="5" s="1"/>
  <c r="R13" i="6"/>
  <c r="R14" i="6" s="1"/>
  <c r="O69" i="5"/>
  <c r="O71" i="5" s="1"/>
  <c r="R12" i="6"/>
  <c r="P189" i="4"/>
  <c r="P215" i="4"/>
  <c r="P158" i="4" s="1"/>
  <c r="O88" i="5" l="1"/>
  <c r="P24" i="5"/>
  <c r="P26" i="5" l="1"/>
  <c r="R24" i="5"/>
  <c r="R7" i="5" s="1"/>
  <c r="P37" i="5"/>
  <c r="P39" i="5" s="1"/>
  <c r="P45" i="5" s="1"/>
  <c r="P160" i="4" l="1"/>
  <c r="P161" i="4" s="1"/>
  <c r="V12" i="6"/>
  <c r="S8" i="6"/>
  <c r="V10" i="6"/>
  <c r="P203" i="4"/>
  <c r="P27" i="5"/>
  <c r="P190" i="4"/>
  <c r="P204" i="4" l="1"/>
  <c r="P77" i="5" s="1"/>
  <c r="P78" i="5" s="1"/>
  <c r="S21" i="6" s="1"/>
  <c r="R203" i="4"/>
  <c r="R195" i="4" s="1"/>
  <c r="D1" i="4" s="1"/>
  <c r="E5" i="3" s="1"/>
  <c r="P216" i="4"/>
  <c r="P48" i="5" s="1"/>
  <c r="R48" i="5" s="1"/>
  <c r="P191" i="4"/>
  <c r="P217" i="4"/>
  <c r="P192" i="4" l="1"/>
  <c r="P193" i="4" s="1"/>
  <c r="P68" i="5" s="1"/>
  <c r="P50" i="5"/>
  <c r="R50" i="5" s="1"/>
  <c r="R29" i="5" s="1"/>
  <c r="P218" i="4"/>
  <c r="P82" i="5" s="1"/>
  <c r="S22" i="6" l="1"/>
  <c r="V14" i="6"/>
  <c r="P84" i="5"/>
  <c r="P86" i="5" s="1"/>
  <c r="S13" i="6"/>
  <c r="S14" i="6" s="1"/>
  <c r="P69" i="5"/>
  <c r="P71" i="5" s="1"/>
  <c r="S12" i="6"/>
  <c r="P53" i="5"/>
  <c r="P55" i="5" s="1"/>
  <c r="P88" i="5" l="1"/>
  <c r="R88" i="5" s="1"/>
  <c r="D1" i="5" s="1"/>
  <c r="E6" i="3" s="1"/>
  <c r="E3" i="3" s="1"/>
</calcChain>
</file>

<file path=xl/sharedStrings.xml><?xml version="1.0" encoding="utf-8"?>
<sst xmlns="http://schemas.openxmlformats.org/spreadsheetml/2006/main" count="663" uniqueCount="242">
  <si>
    <t>A. General</t>
  </si>
  <si>
    <t>Case name:</t>
  </si>
  <si>
    <t>Power up builders</t>
  </si>
  <si>
    <t>Model start date</t>
  </si>
  <si>
    <t>Model end date</t>
  </si>
  <si>
    <t>B. Payment terms</t>
  </si>
  <si>
    <t>[%]</t>
  </si>
  <si>
    <t>Advance payment</t>
  </si>
  <si>
    <t>Holdbacks</t>
  </si>
  <si>
    <t>[month]</t>
  </si>
  <si>
    <t>[% of contract]</t>
  </si>
  <si>
    <t>[%of contract]</t>
  </si>
  <si>
    <t>Overhead expenses</t>
  </si>
  <si>
    <t>[USD]</t>
  </si>
  <si>
    <t>[USD/month]</t>
  </si>
  <si>
    <t>Tax rate</t>
  </si>
  <si>
    <t>Dividend</t>
  </si>
  <si>
    <t>jan.</t>
  </si>
  <si>
    <t>feb.</t>
  </si>
  <si>
    <t>mar.</t>
  </si>
  <si>
    <t>may</t>
  </si>
  <si>
    <t>jun.</t>
  </si>
  <si>
    <t>jul.</t>
  </si>
  <si>
    <t>aug.</t>
  </si>
  <si>
    <t>oct.</t>
  </si>
  <si>
    <t>sep.</t>
  </si>
  <si>
    <t>nov.</t>
  </si>
  <si>
    <t>dec.</t>
  </si>
  <si>
    <t>D. CAPEX &amp; Depreciation</t>
  </si>
  <si>
    <t>CAPEX Scenario index</t>
  </si>
  <si>
    <t>Contracts volume</t>
  </si>
  <si>
    <t>CAPEX</t>
  </si>
  <si>
    <t>CAPEX date</t>
  </si>
  <si>
    <t>[date]</t>
  </si>
  <si>
    <t>Depreciation</t>
  </si>
  <si>
    <t>Existing PPE</t>
  </si>
  <si>
    <t>Nex PPE</t>
  </si>
  <si>
    <t>[Year]</t>
  </si>
  <si>
    <t>C. Expenses inputs</t>
  </si>
  <si>
    <t>D. Other inputs</t>
  </si>
  <si>
    <t>E. Depreciation</t>
  </si>
  <si>
    <t>Method used:</t>
  </si>
  <si>
    <t>Straight-line</t>
  </si>
  <si>
    <t>Project name</t>
  </si>
  <si>
    <t>Materials</t>
  </si>
  <si>
    <t>Labor</t>
  </si>
  <si>
    <t>Margin</t>
  </si>
  <si>
    <t>Total</t>
  </si>
  <si>
    <t>Moonshine Night Club</t>
  </si>
  <si>
    <t>Titan Office Building</t>
  </si>
  <si>
    <t>Evergreen City Office Building</t>
  </si>
  <si>
    <t>Sky Is The Limit Office Building</t>
  </si>
  <si>
    <t>One Foot Taller Office Building</t>
  </si>
  <si>
    <t>Sputnik Catcher Office Building</t>
  </si>
  <si>
    <t>Evergreen Stock Exchange</t>
  </si>
  <si>
    <t>Olympic Ice Arena</t>
  </si>
  <si>
    <t>Wildlife Zoo</t>
  </si>
  <si>
    <t>Planetarium Science Museum</t>
  </si>
  <si>
    <t>Able/Unable</t>
  </si>
  <si>
    <t>F. Project Portfolio financial estimates</t>
  </si>
  <si>
    <t>G. Project Portfolio completion estimates</t>
  </si>
  <si>
    <t>FY</t>
  </si>
  <si>
    <t>H. Initial Balance sheet Assets</t>
  </si>
  <si>
    <t>Cash</t>
  </si>
  <si>
    <t>PP&amp;E</t>
  </si>
  <si>
    <t>Intangible assets</t>
  </si>
  <si>
    <t>Inventory</t>
  </si>
  <si>
    <t>Accounts receivables</t>
  </si>
  <si>
    <t>Fixed Assets</t>
  </si>
  <si>
    <t>I. Initial Balance sheet Equity &amp; Liabilities</t>
  </si>
  <si>
    <t>Equity</t>
  </si>
  <si>
    <t>Share Capital</t>
  </si>
  <si>
    <t>Retained Earnings</t>
  </si>
  <si>
    <t>Liabilities</t>
  </si>
  <si>
    <t>Accounts Payable</t>
  </si>
  <si>
    <t>Advances Received</t>
  </si>
  <si>
    <t>Revolving Line of Credit</t>
  </si>
  <si>
    <t>Leasing</t>
  </si>
  <si>
    <t>Input check</t>
  </si>
  <si>
    <t>MT</t>
  </si>
  <si>
    <t>Sheet status</t>
  </si>
  <si>
    <t>Outstanding holdback release</t>
  </si>
  <si>
    <t>File status</t>
  </si>
  <si>
    <t>D_Assumptions</t>
  </si>
  <si>
    <t>Period #</t>
  </si>
  <si>
    <t>End</t>
  </si>
  <si>
    <t>Begin</t>
  </si>
  <si>
    <t>Revenues</t>
  </si>
  <si>
    <t>apr.</t>
  </si>
  <si>
    <t>Total revenues</t>
  </si>
  <si>
    <t>a. Material</t>
  </si>
  <si>
    <t>b. Labor</t>
  </si>
  <si>
    <t>Total Material expenses</t>
  </si>
  <si>
    <t>Total Labor expenses</t>
  </si>
  <si>
    <t>Gross Margin</t>
  </si>
  <si>
    <t>EBITDA</t>
  </si>
  <si>
    <t>Overhead</t>
  </si>
  <si>
    <t>Interests</t>
  </si>
  <si>
    <t>Taxes</t>
  </si>
  <si>
    <t>Net Profit</t>
  </si>
  <si>
    <t>Advances payments calculation</t>
  </si>
  <si>
    <t>COGs calculation</t>
  </si>
  <si>
    <t>Total advances payments</t>
  </si>
  <si>
    <t>Project start flag</t>
  </si>
  <si>
    <t>Total advance liability variation</t>
  </si>
  <si>
    <t>Holdback asset variation calculation</t>
  </si>
  <si>
    <t>Holdbacks added</t>
  </si>
  <si>
    <t>Holdback releases</t>
  </si>
  <si>
    <t>Total holdbacks added</t>
  </si>
  <si>
    <t>Outstanding holdbacks</t>
  </si>
  <si>
    <t>Account receivables variation calculation</t>
  </si>
  <si>
    <t>Invoice payment delay</t>
  </si>
  <si>
    <t>Account receivables increases</t>
  </si>
  <si>
    <t>Account receivables decreases</t>
  </si>
  <si>
    <t>Total AR decrease</t>
  </si>
  <si>
    <t>Total AR increase</t>
  </si>
  <si>
    <t>J. Revolving line of credit</t>
  </si>
  <si>
    <t>Limit</t>
  </si>
  <si>
    <t>K. Leasing</t>
  </si>
  <si>
    <t>Financing amount</t>
  </si>
  <si>
    <t>Interest rate</t>
  </si>
  <si>
    <t>Repayment term</t>
  </si>
  <si>
    <t>[months]</t>
  </si>
  <si>
    <t>PnL</t>
  </si>
  <si>
    <t>Net revenues</t>
  </si>
  <si>
    <t>Material expenses</t>
  </si>
  <si>
    <t>Labor expenses</t>
  </si>
  <si>
    <t>% Revenues</t>
  </si>
  <si>
    <t>EBIT</t>
  </si>
  <si>
    <t>Depreciation calculation</t>
  </si>
  <si>
    <t>CAPEX calculation</t>
  </si>
  <si>
    <t>Contract volume in USD</t>
  </si>
  <si>
    <t>CAPEX amount</t>
  </si>
  <si>
    <t>CAPEX timing</t>
  </si>
  <si>
    <t>Depreciation of new PP&amp;E</t>
  </si>
  <si>
    <t>Depreciation of existing PP&amp;E</t>
  </si>
  <si>
    <t>L. Constants</t>
  </si>
  <si>
    <t>Month/year</t>
  </si>
  <si>
    <t>Total depreciation</t>
  </si>
  <si>
    <t>Cashflow statement</t>
  </si>
  <si>
    <t>Advance payments</t>
  </si>
  <si>
    <t>Variation of Accounts receivables</t>
  </si>
  <si>
    <t>Variation of holdback asset</t>
  </si>
  <si>
    <t>Operating cash flow</t>
  </si>
  <si>
    <t>Asset sale</t>
  </si>
  <si>
    <t>Investing cash flow</t>
  </si>
  <si>
    <t>Free Cash flow</t>
  </si>
  <si>
    <t>Decrease in financial debt</t>
  </si>
  <si>
    <t>Increase in equity</t>
  </si>
  <si>
    <t>Dividend distribution</t>
  </si>
  <si>
    <t>Financing cash flow</t>
  </si>
  <si>
    <t>Reimbursement</t>
  </si>
  <si>
    <t>Lease related calculation</t>
  </si>
  <si>
    <t>Lease amount</t>
  </si>
  <si>
    <t>Revolving Line of Credit related calculation</t>
  </si>
  <si>
    <t>Increase in Lease debt</t>
  </si>
  <si>
    <t>Increase in Revolving credit</t>
  </si>
  <si>
    <t>Cash flow variation</t>
  </si>
  <si>
    <t>Balance sheet</t>
  </si>
  <si>
    <t>Assets</t>
  </si>
  <si>
    <t>Intangible Assets</t>
  </si>
  <si>
    <t>PP&amp;E start of period</t>
  </si>
  <si>
    <t>PP&amp;E end of period</t>
  </si>
  <si>
    <t>Intangible assets start of period</t>
  </si>
  <si>
    <t>Amortization</t>
  </si>
  <si>
    <t>Intangible assets end of period</t>
  </si>
  <si>
    <t>Inventory start of period</t>
  </si>
  <si>
    <t>Inventory end of period</t>
  </si>
  <si>
    <t>Increase in inventory</t>
  </si>
  <si>
    <t>Decrease in inventory</t>
  </si>
  <si>
    <t>Accounts receivables start of period</t>
  </si>
  <si>
    <t>Increase in Accounts receivables</t>
  </si>
  <si>
    <t>Decrease in Accounts receivables</t>
  </si>
  <si>
    <t>Accounts receivables end of period</t>
  </si>
  <si>
    <t>Holdbacks start of period</t>
  </si>
  <si>
    <t>Holdbacks variation</t>
  </si>
  <si>
    <t>Holdbacks end of period</t>
  </si>
  <si>
    <t>Cash start of period</t>
  </si>
  <si>
    <t>Cash variation before RLC</t>
  </si>
  <si>
    <t>Cash end of period</t>
  </si>
  <si>
    <t>Decrease in Revolving credit</t>
  </si>
  <si>
    <t xml:space="preserve"> </t>
  </si>
  <si>
    <t>Share capital start of period</t>
  </si>
  <si>
    <t>Share capital end of period</t>
  </si>
  <si>
    <t>Decrease in share capital</t>
  </si>
  <si>
    <t>Increase in share capital</t>
  </si>
  <si>
    <t>Other Balance sheet items calculation - Equity &amp; liabilities</t>
  </si>
  <si>
    <t>Other Balance sheet items calculation - Assets</t>
  </si>
  <si>
    <t>Retained Earnings start of period</t>
  </si>
  <si>
    <t>Increase of retained earnings</t>
  </si>
  <si>
    <t>Retained Earnings end of period</t>
  </si>
  <si>
    <t>Accounts Payable start of period</t>
  </si>
  <si>
    <t>Accounts payable variation</t>
  </si>
  <si>
    <t>Accounts Payable end of period</t>
  </si>
  <si>
    <t>Advances received start of period</t>
  </si>
  <si>
    <t>Increase in advances received</t>
  </si>
  <si>
    <t>Decrease in advances received</t>
  </si>
  <si>
    <t>Advances received end of period</t>
  </si>
  <si>
    <t>Increase in revolving line of credit</t>
  </si>
  <si>
    <t>Decrease in revolving line of credit</t>
  </si>
  <si>
    <t>Revolving Line of credit end of period</t>
  </si>
  <si>
    <t>Revolving Line of credit start of period</t>
  </si>
  <si>
    <t>Cash increase RLC</t>
  </si>
  <si>
    <t>Cash decrease RLC</t>
  </si>
  <si>
    <t>Leasing start of period</t>
  </si>
  <si>
    <t>Variation of leasing</t>
  </si>
  <si>
    <t>Leasing end of period</t>
  </si>
  <si>
    <t>Current Assets</t>
  </si>
  <si>
    <t>Total Assets</t>
  </si>
  <si>
    <t>Equity and liabilities</t>
  </si>
  <si>
    <t>Accounts payables</t>
  </si>
  <si>
    <t>Advances received</t>
  </si>
  <si>
    <t>Total Equity &amp; Liabilities</t>
  </si>
  <si>
    <t>Check</t>
  </si>
  <si>
    <t>Days/year</t>
  </si>
  <si>
    <t>Decrease of advances liability</t>
  </si>
  <si>
    <t>Cash needed</t>
  </si>
  <si>
    <t>Revolving credit contracted</t>
  </si>
  <si>
    <t>Controls</t>
  </si>
  <si>
    <t>R_Financial statements</t>
  </si>
  <si>
    <t>C_Support_Calculations</t>
  </si>
  <si>
    <t>Sheet Status</t>
  </si>
  <si>
    <t>Contracts</t>
  </si>
  <si>
    <t>Cumulative data</t>
  </si>
  <si>
    <t>Revenue</t>
  </si>
  <si>
    <t>Net Income</t>
  </si>
  <si>
    <t>Treasury management  &amp; RLC data</t>
  </si>
  <si>
    <t>Treasury level</t>
  </si>
  <si>
    <t>RLC saturation</t>
  </si>
  <si>
    <t>Distance to max RLC</t>
  </si>
  <si>
    <t>KPIs</t>
  </si>
  <si>
    <t>FY Revenues</t>
  </si>
  <si>
    <t>FY EBITDA</t>
  </si>
  <si>
    <t>FY Net Income</t>
  </si>
  <si>
    <t>FY EBIT</t>
  </si>
  <si>
    <t>Free Cash Flow</t>
  </si>
  <si>
    <t>End of year gearing</t>
  </si>
  <si>
    <t>End of year working capital</t>
  </si>
  <si>
    <t>Economic balance sheet data</t>
  </si>
  <si>
    <t>Net assets</t>
  </si>
  <si>
    <t>Working Capital</t>
  </si>
  <si>
    <t>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</si>
</sst>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14" fontId="0" fillId="0" borderId="0" xfId="0" applyNumberFormat="1"/>
    <xf numFmtId="9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9" fontId="2" fillId="0" borderId="2" xfId="0" applyNumberFormat="1" applyFont="1" applyBorder="1"/>
    <xf numFmtId="0" fontId="0" fillId="2" borderId="3" xfId="0" applyFill="1" applyBorder="1"/>
    <xf numFmtId="14" fontId="0" fillId="2" borderId="3" xfId="0" applyNumberFormat="1" applyFill="1" applyBorder="1"/>
    <xf numFmtId="9" fontId="0" fillId="2" borderId="3" xfId="0" applyNumberFormat="1" applyFill="1" applyBorder="1"/>
    <xf numFmtId="4" fontId="0" fillId="2" borderId="3" xfId="0" applyNumberFormat="1" applyFill="1" applyBorder="1"/>
    <xf numFmtId="0" fontId="0" fillId="2" borderId="4" xfId="0" applyFill="1" applyBorder="1"/>
    <xf numFmtId="0" fontId="2" fillId="0" borderId="1" xfId="0" applyFont="1" applyBorder="1"/>
    <xf numFmtId="9" fontId="0" fillId="2" borderId="4" xfId="0" applyNumberFormat="1" applyFill="1" applyBorder="1"/>
    <xf numFmtId="9" fontId="0" fillId="0" borderId="0" xfId="0" applyNumberFormat="1" applyFill="1" applyBorder="1"/>
    <xf numFmtId="14" fontId="0" fillId="2" borderId="4" xfId="0" applyNumberFormat="1" applyFill="1" applyBorder="1"/>
    <xf numFmtId="0" fontId="3" fillId="2" borderId="3" xfId="0" applyFont="1" applyFill="1" applyBorder="1"/>
    <xf numFmtId="4" fontId="2" fillId="0" borderId="0" xfId="0" applyNumberFormat="1" applyFont="1"/>
    <xf numFmtId="4" fontId="2" fillId="0" borderId="1" xfId="0" applyNumberFormat="1" applyFont="1" applyBorder="1"/>
    <xf numFmtId="3" fontId="0" fillId="2" borderId="3" xfId="0" applyNumberFormat="1" applyFill="1" applyBorder="1"/>
    <xf numFmtId="3" fontId="2" fillId="0" borderId="0" xfId="0" applyNumberFormat="1" applyFont="1"/>
    <xf numFmtId="3" fontId="2" fillId="0" borderId="1" xfId="0" applyNumberFormat="1" applyFont="1" applyBorder="1"/>
    <xf numFmtId="0" fontId="2" fillId="0" borderId="0" xfId="0" applyFont="1" applyFill="1" applyBorder="1"/>
    <xf numFmtId="0" fontId="2" fillId="0" borderId="2" xfId="0" applyFont="1" applyFill="1" applyBorder="1"/>
    <xf numFmtId="9" fontId="2" fillId="0" borderId="0" xfId="0" applyNumberFormat="1" applyFont="1"/>
    <xf numFmtId="9" fontId="2" fillId="0" borderId="5" xfId="0" applyNumberFormat="1" applyFont="1" applyBorder="1"/>
    <xf numFmtId="0" fontId="0" fillId="0" borderId="0" xfId="0" applyFill="1" applyBorder="1"/>
    <xf numFmtId="0" fontId="0" fillId="0" borderId="0" xfId="0" applyFont="1"/>
    <xf numFmtId="0" fontId="2" fillId="0" borderId="1" xfId="0" applyFont="1" applyFill="1" applyBorder="1"/>
    <xf numFmtId="4" fontId="0" fillId="0" borderId="0" xfId="0" applyNumberFormat="1" applyFont="1"/>
    <xf numFmtId="4" fontId="0" fillId="2" borderId="4" xfId="0" applyNumberFormat="1" applyFill="1" applyBorder="1"/>
    <xf numFmtId="4" fontId="2" fillId="0" borderId="2" xfId="0" applyNumberFormat="1" applyFont="1" applyBorder="1"/>
    <xf numFmtId="0" fontId="0" fillId="3" borderId="2" xfId="0" applyFill="1" applyBorder="1"/>
    <xf numFmtId="0" fontId="0" fillId="3" borderId="7" xfId="0" applyFill="1" applyBorder="1"/>
    <xf numFmtId="4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2" fillId="0" borderId="0" xfId="0" applyNumberFormat="1" applyFont="1"/>
    <xf numFmtId="0" fontId="1" fillId="3" borderId="6" xfId="0" applyFont="1" applyFill="1" applyBorder="1" applyAlignment="1">
      <alignment horizontal="left" indent="1"/>
    </xf>
    <xf numFmtId="3" fontId="0" fillId="0" borderId="0" xfId="0" applyNumberFormat="1"/>
    <xf numFmtId="3" fontId="0" fillId="0" borderId="1" xfId="0" applyNumberForma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Border="1"/>
    <xf numFmtId="10" fontId="0" fillId="2" borderId="3" xfId="0" applyNumberFormat="1" applyFill="1" applyBorder="1"/>
    <xf numFmtId="0" fontId="0" fillId="0" borderId="8" xfId="0" applyBorder="1"/>
    <xf numFmtId="4" fontId="0" fillId="0" borderId="8" xfId="0" applyNumberFormat="1" applyBorder="1"/>
    <xf numFmtId="9" fontId="0" fillId="0" borderId="0" xfId="0" applyNumberFormat="1" applyAlignment="1">
      <alignment horizontal="right"/>
    </xf>
    <xf numFmtId="4" fontId="0" fillId="0" borderId="8" xfId="0" applyNumberFormat="1" applyFont="1" applyBorder="1"/>
    <xf numFmtId="0" fontId="0" fillId="0" borderId="8" xfId="0" applyFill="1" applyBorder="1"/>
    <xf numFmtId="4" fontId="0" fillId="0" borderId="0" xfId="0" applyNumberFormat="1" applyBorder="1"/>
    <xf numFmtId="4" fontId="2" fillId="0" borderId="0" xfId="0" applyNumberFormat="1" applyFont="1" applyBorder="1"/>
    <xf numFmtId="0" fontId="2" fillId="0" borderId="9" xfId="0" applyFont="1" applyBorder="1"/>
    <xf numFmtId="4" fontId="2" fillId="0" borderId="9" xfId="0" applyNumberFormat="1" applyFont="1" applyBorder="1"/>
    <xf numFmtId="0" fontId="0" fillId="0" borderId="0" xfId="0" applyFont="1" applyBorder="1"/>
    <xf numFmtId="0" fontId="0" fillId="0" borderId="8" xfId="0" applyFont="1" applyFill="1" applyBorder="1"/>
    <xf numFmtId="4" fontId="0" fillId="0" borderId="0" xfId="0" applyNumberFormat="1" applyFont="1" applyBorder="1"/>
  </cellXfs>
  <cellStyles count="1">
    <cellStyle name="Normal" xfId="0" builtinId="0"/>
  </cellStyles>
  <dxfs count="64"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CUMULATIVE REVENUES AND NET INCOME EVOLUTION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R_TdB!$F$7</c:f>
              <c:strCache>
                <c:ptCount val="1"/>
                <c:pt idx="0">
                  <c:v>EBITDA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1"/>
            <c:marker>
              <c:symbol val="circle"/>
              <c:size val="5"/>
              <c:spPr>
                <a:solidFill>
                  <a:schemeClr val="accent2"/>
                </a:solidFill>
                <a:ln w="571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36A-4E8A-8CB8-461FEFED6757}"/>
              </c:ext>
            </c:extLst>
          </c:dPt>
          <c:dLbls>
            <c:dLbl>
              <c:idx val="11"/>
              <c:layout>
                <c:manualLayout>
                  <c:x val="-1.0859738944730747E-2"/>
                  <c:y val="-4.94665658319729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436A-4E8A-8CB8-461FEFED67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R_TdB!$H$5:$S$5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R_TdB!$H$7:$S$7</c:f>
              <c:numCache>
                <c:formatCode>#,##0.00</c:formatCode>
                <c:ptCount val="12"/>
                <c:pt idx="0">
                  <c:v>-500000</c:v>
                </c:pt>
                <c:pt idx="1">
                  <c:v>-300649.85000000009</c:v>
                </c:pt>
                <c:pt idx="2">
                  <c:v>681666.44999999925</c:v>
                </c:pt>
                <c:pt idx="3">
                  <c:v>2598289.9499999974</c:v>
                </c:pt>
                <c:pt idx="4">
                  <c:v>5972025.2499999981</c:v>
                </c:pt>
                <c:pt idx="5">
                  <c:v>10176113.450000001</c:v>
                </c:pt>
                <c:pt idx="6">
                  <c:v>15086179.6</c:v>
                </c:pt>
                <c:pt idx="7">
                  <c:v>20333749.700000003</c:v>
                </c:pt>
                <c:pt idx="8">
                  <c:v>24918037.700000003</c:v>
                </c:pt>
                <c:pt idx="9">
                  <c:v>27465546.500000004</c:v>
                </c:pt>
                <c:pt idx="10">
                  <c:v>28360717.000000004</c:v>
                </c:pt>
                <c:pt idx="11">
                  <c:v>27860717.000000004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A-4E8A-8CB8-461FEFED6757}"/>
            </c:ext>
          </c:extLst>
        </c:ser>
        <c:ser>
          <c:idx val="2"/>
          <c:order val="2"/>
          <c:tx>
            <c:strRef>
              <c:f>R_TdB!$F$8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Pt>
            <c:idx val="11"/>
            <c:marker>
              <c:symbol val="circle"/>
              <c:size val="5"/>
              <c:spPr>
                <a:solidFill>
                  <a:schemeClr val="accent3"/>
                </a:solidFill>
                <a:ln w="57150"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36A-4E8A-8CB8-461FEFED6757}"/>
              </c:ext>
            </c:extLst>
          </c:dPt>
          <c:dLbls>
            <c:dLbl>
              <c:idx val="11"/>
              <c:layout>
                <c:manualLayout>
                  <c:x val="-4.9149099685912943E-3"/>
                  <c:y val="-5.406959646422698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436A-4E8A-8CB8-461FEFED67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R_TdB!$H$5:$S$5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R_TdB!$H$8:$S$8</c:f>
              <c:numCache>
                <c:formatCode>#,##0.00</c:formatCode>
                <c:ptCount val="12"/>
                <c:pt idx="0">
                  <c:v>-606369.8630136986</c:v>
                </c:pt>
                <c:pt idx="1">
                  <c:v>-507019.7130136987</c:v>
                </c:pt>
                <c:pt idx="2">
                  <c:v>5780.877243096882</c:v>
                </c:pt>
                <c:pt idx="3">
                  <c:v>1451611.1906563886</c:v>
                </c:pt>
                <c:pt idx="4">
                  <c:v>4350729.9281329289</c:v>
                </c:pt>
                <c:pt idx="5">
                  <c:v>8061797.5656026658</c:v>
                </c:pt>
                <c:pt idx="6">
                  <c:v>12474973.304643761</c:v>
                </c:pt>
                <c:pt idx="7">
                  <c:v>17226219.203730524</c:v>
                </c:pt>
                <c:pt idx="8">
                  <c:v>21316762.911493082</c:v>
                </c:pt>
                <c:pt idx="9">
                  <c:v>23369079.930671163</c:v>
                </c:pt>
                <c:pt idx="10">
                  <c:v>23774398.840971813</c:v>
                </c:pt>
                <c:pt idx="11">
                  <c:v>22800149.253086437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A-4E8A-8CB8-461FEFED6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028208"/>
        <c:axId val="398019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R_TdB!$F$6</c15:sqref>
                        </c15:formulaRef>
                      </c:ext>
                    </c:extLst>
                    <c:strCache>
                      <c:ptCount val="1"/>
                      <c:pt idx="0">
                        <c:v>Revenue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dPt>
                  <c:idx val="11"/>
                  <c:marker>
                    <c:symbol val="circle"/>
                    <c:size val="5"/>
                    <c:spPr>
                      <a:solidFill>
                        <a:schemeClr val="accent1"/>
                      </a:solidFill>
                      <a:ln w="57150">
                        <a:solidFill>
                          <a:srgbClr val="0070C0"/>
                        </a:solidFill>
                      </a:ln>
                      <a:effectLst/>
                    </c:spPr>
                  </c:marker>
                  <c:bubble3D val="0"/>
                  <c:extLst>
                    <c:ext xmlns:c16="http://schemas.microsoft.com/office/drawing/2014/chart" uri="{C3380CC4-5D6E-409C-BE32-E72D297353CC}">
                      <c16:uniqueId val="{00000003-436A-4E8A-8CB8-461FEFED6757}"/>
                    </c:ext>
                  </c:extLst>
                </c:dPt>
                <c:dLbls>
                  <c:dLbl>
                    <c:idx val="11"/>
                    <c:layout>
                      <c:manualLayout>
                        <c:x val="0"/>
                        <c:y val="-5.0307646252929154E-2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1" i="0" u="none" strike="noStrike" kern="1200" baseline="0">
                            <a:solidFill>
                              <a:srgbClr val="0070C0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fr-FR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layout/>
                      </c:ext>
                      <c:ext xmlns:c16="http://schemas.microsoft.com/office/drawing/2014/chart" uri="{C3380CC4-5D6E-409C-BE32-E72D297353CC}">
                        <c16:uniqueId val="{00000003-436A-4E8A-8CB8-461FEFED6757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R_TdB!$H$5:$S$5</c15:sqref>
                        </c15:formulaRef>
                      </c:ext>
                    </c:extLst>
                    <c:strCache>
                      <c:ptCount val="12"/>
                      <c:pt idx="0">
                        <c:v>jan.</c:v>
                      </c:pt>
                      <c:pt idx="1">
                        <c:v>feb.</c:v>
                      </c:pt>
                      <c:pt idx="2">
                        <c:v>mar.</c:v>
                      </c:pt>
                      <c:pt idx="3">
                        <c:v>apr.</c:v>
                      </c:pt>
                      <c:pt idx="4">
                        <c:v>may</c:v>
                      </c:pt>
                      <c:pt idx="5">
                        <c:v>jun.</c:v>
                      </c:pt>
                      <c:pt idx="6">
                        <c:v>jul.</c:v>
                      </c:pt>
                      <c:pt idx="7">
                        <c:v>aug.</c:v>
                      </c:pt>
                      <c:pt idx="8">
                        <c:v>sep.</c:v>
                      </c:pt>
                      <c:pt idx="9">
                        <c:v>oct.</c:v>
                      </c:pt>
                      <c:pt idx="10">
                        <c:v>nov.</c:v>
                      </c:pt>
                      <c:pt idx="11">
                        <c:v>dec.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R_TdB!$H$6:$S$6</c15:sqref>
                        </c15:formulaRef>
                      </c:ext>
                    </c:extLst>
                    <c:numCache>
                      <c:formatCode>#,##0.00</c:formatCode>
                      <c:ptCount val="12"/>
                      <c:pt idx="0">
                        <c:v>0</c:v>
                      </c:pt>
                      <c:pt idx="1">
                        <c:v>4069711.95</c:v>
                      </c:pt>
                      <c:pt idx="2">
                        <c:v>12695720.390000001</c:v>
                      </c:pt>
                      <c:pt idx="3">
                        <c:v>26758721.039999999</c:v>
                      </c:pt>
                      <c:pt idx="4">
                        <c:v>49301058.890000001</c:v>
                      </c:pt>
                      <c:pt idx="5">
                        <c:v>76675450.49000001</c:v>
                      </c:pt>
                      <c:pt idx="6">
                        <c:v>108158123.74000001</c:v>
                      </c:pt>
                      <c:pt idx="7">
                        <c:v>141604826.09</c:v>
                      </c:pt>
                      <c:pt idx="8">
                        <c:v>171191706.54000002</c:v>
                      </c:pt>
                      <c:pt idx="9">
                        <c:v>188926004.60000002</c:v>
                      </c:pt>
                      <c:pt idx="10">
                        <c:v>197044888.00000003</c:v>
                      </c:pt>
                      <c:pt idx="11">
                        <c:v>197044888.00000003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36A-4E8A-8CB8-461FEFED6757}"/>
                  </c:ext>
                </c:extLst>
              </c15:ser>
            </c15:filteredLineSeries>
          </c:ext>
        </c:extLst>
      </c:lineChart>
      <c:catAx>
        <c:axId val="39802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8019472"/>
        <c:crosses val="autoZero"/>
        <c:auto val="1"/>
        <c:lblAlgn val="ctr"/>
        <c:lblOffset val="100"/>
        <c:noMultiLvlLbl val="0"/>
      </c:catAx>
      <c:valAx>
        <c:axId val="39801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802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094322192973224"/>
          <c:y val="0.92830572160062563"/>
          <c:w val="0.23981634896528459"/>
          <c:h val="5.8198934824220491E-2"/>
        </c:manualLayout>
      </c:layout>
      <c:overlay val="0"/>
      <c:spPr>
        <a:noFill/>
        <a:ln w="12700">
          <a:solidFill>
            <a:schemeClr val="accent6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REVOLVING LINE OF CREDIT SATURATION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strRef>
              <c:f>R_TdB!$H$5:$S$5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R_TdB!$H$13:$S$13</c:f>
              <c:numCache>
                <c:formatCode>#,##0.00</c:formatCode>
                <c:ptCount val="12"/>
                <c:pt idx="0">
                  <c:v>0</c:v>
                </c:pt>
                <c:pt idx="1">
                  <c:v>867276.76301369909</c:v>
                </c:pt>
                <c:pt idx="2">
                  <c:v>2080940.4860902375</c:v>
                </c:pt>
                <c:pt idx="3">
                  <c:v>3313668.8040102785</c:v>
                </c:pt>
                <c:pt idx="4">
                  <c:v>11539820.729867075</c:v>
                </c:pt>
                <c:pt idx="5">
                  <c:v>12500000</c:v>
                </c:pt>
                <c:pt idx="6">
                  <c:v>12500000</c:v>
                </c:pt>
                <c:pt idx="7">
                  <c:v>12500000</c:v>
                </c:pt>
                <c:pt idx="8">
                  <c:v>12500000</c:v>
                </c:pt>
                <c:pt idx="9">
                  <c:v>11365737.303995512</c:v>
                </c:pt>
                <c:pt idx="10">
                  <c:v>4725196.6790281935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A-4700-8454-22E341A5510A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R_TdB!$H$5:$S$5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R_TdB!$H$14:$S$14</c:f>
              <c:numCache>
                <c:formatCode>#,##0.00</c:formatCode>
                <c:ptCount val="12"/>
                <c:pt idx="0">
                  <c:v>12500000</c:v>
                </c:pt>
                <c:pt idx="1">
                  <c:v>11632723.236986302</c:v>
                </c:pt>
                <c:pt idx="2">
                  <c:v>10419059.513909763</c:v>
                </c:pt>
                <c:pt idx="3">
                  <c:v>9186331.1959897205</c:v>
                </c:pt>
                <c:pt idx="4">
                  <c:v>960179.27013292536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1134262.6960044876</c:v>
                </c:pt>
                <c:pt idx="10">
                  <c:v>7774803.3209718065</c:v>
                </c:pt>
                <c:pt idx="11">
                  <c:v>12500000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A-4700-8454-22E341A55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421040"/>
        <c:axId val="406436848"/>
      </c:barChart>
      <c:catAx>
        <c:axId val="4064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6436848"/>
        <c:crosses val="autoZero"/>
        <c:auto val="1"/>
        <c:lblAlgn val="ctr"/>
        <c:lblOffset val="100"/>
        <c:noMultiLvlLbl val="0"/>
      </c:catAx>
      <c:valAx>
        <c:axId val="406436848"/>
        <c:scaling>
          <c:orientation val="minMax"/>
          <c:max val="12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642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TREASURY LEVEL EVOLUTION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R_TdB!$H$5:$S$5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R_TdB!$H$12:$S$12</c:f>
              <c:numCache>
                <c:formatCode>#,##0.00</c:formatCode>
                <c:ptCount val="12"/>
                <c:pt idx="0">
                  <c:v>4288197.0369863017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-101650.34573067026</c:v>
                </c:pt>
                <c:pt idx="6">
                  <c:v>-5104967.9100229107</c:v>
                </c:pt>
                <c:pt idx="7">
                  <c:v>-8447619.094269488</c:v>
                </c:pt>
                <c:pt idx="8">
                  <c:v>-7019927.2898402624</c:v>
                </c:pt>
                <c:pt idx="9">
                  <c:v>0</c:v>
                </c:pt>
                <c:pt idx="10">
                  <c:v>0</c:v>
                </c:pt>
                <c:pt idx="11">
                  <c:v>962327.11975309625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6-4432-83FB-BA41E43AC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423536"/>
        <c:axId val="406419376"/>
      </c:barChart>
      <c:catAx>
        <c:axId val="40642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6419376"/>
        <c:crosses val="autoZero"/>
        <c:auto val="1"/>
        <c:lblAlgn val="ctr"/>
        <c:lblOffset val="100"/>
        <c:noMultiLvlLbl val="0"/>
      </c:catAx>
      <c:valAx>
        <c:axId val="4064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642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ESTIMATED</a:t>
            </a:r>
            <a:r>
              <a:rPr lang="fr-FR" b="1" baseline="0"/>
              <a:t> </a:t>
            </a:r>
            <a:r>
              <a:rPr lang="fr-FR" b="1"/>
              <a:t>WORKING</a:t>
            </a:r>
            <a:r>
              <a:rPr lang="fr-FR" b="1" baseline="0"/>
              <a:t> CAPITAL LEVELS</a:t>
            </a:r>
            <a:endParaRPr lang="fr-FR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R_TdB!$H$5:$S$5</c:f>
              <c:strCache>
                <c:ptCount val="12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</c:strCache>
            </c:strRef>
          </c:cat>
          <c:val>
            <c:numRef>
              <c:f>R_TdB!$H$19:$S$19</c:f>
              <c:numCache>
                <c:formatCode>#,##0.00</c:formatCode>
                <c:ptCount val="12"/>
                <c:pt idx="0">
                  <c:v>-2294566.9000000004</c:v>
                </c:pt>
                <c:pt idx="1">
                  <c:v>-939742.94999999925</c:v>
                </c:pt>
                <c:pt idx="2">
                  <c:v>953388.03000000119</c:v>
                </c:pt>
                <c:pt idx="3">
                  <c:v>3798613.327999996</c:v>
                </c:pt>
                <c:pt idx="4">
                  <c:v>15090550.657999998</c:v>
                </c:pt>
                <c:pt idx="5">
                  <c:v>20030114.578000002</c:v>
                </c:pt>
                <c:pt idx="6">
                  <c:v>29613274.548000004</c:v>
                </c:pt>
                <c:pt idx="7">
                  <c:v>37873838.298000008</c:v>
                </c:pt>
                <c:pt idx="8">
                  <c:v>40703356.868000001</c:v>
                </c:pt>
                <c:pt idx="9">
                  <c:v>34768150.568000004</c:v>
                </c:pt>
                <c:pt idx="10">
                  <c:v>28699595.520000007</c:v>
                </c:pt>
                <c:pt idx="11">
                  <c:v>22204488.800000004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6-4022-B93E-DB38039FD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027808"/>
        <c:axId val="400028640"/>
      </c:barChart>
      <c:catAx>
        <c:axId val="4000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0028640"/>
        <c:crosses val="autoZero"/>
        <c:auto val="1"/>
        <c:lblAlgn val="ctr"/>
        <c:lblOffset val="100"/>
        <c:noMultiLvlLbl val="0"/>
      </c:catAx>
      <c:valAx>
        <c:axId val="4000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002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D_Assumptions!$I$41" lockText="1" noThreeD="1"/>
</file>

<file path=xl/ctrlProps/ctrlProp2.xml><?xml version="1.0" encoding="utf-8"?>
<formControlPr xmlns="http://schemas.microsoft.com/office/spreadsheetml/2009/9/main" objectType="CheckBox" checked="Checked" fmlaLink="D_Assumptions!$I$42" lockText="1" noThreeD="1"/>
</file>

<file path=xl/ctrlProps/ctrlProp3.xml><?xml version="1.0" encoding="utf-8"?>
<formControlPr xmlns="http://schemas.microsoft.com/office/spreadsheetml/2009/9/main" objectType="CheckBox" checked="Checked" fmlaLink="D_Assumptions!$I$43" lockText="1" noThreeD="1"/>
</file>

<file path=xl/ctrlProps/ctrlProp4.xml><?xml version="1.0" encoding="utf-8"?>
<formControlPr xmlns="http://schemas.microsoft.com/office/spreadsheetml/2009/9/main" objectType="CheckBox" checked="Checked" fmlaLink="D_Assumptions!$I$44" lockText="1" noThreeD="1"/>
</file>

<file path=xl/ctrlProps/ctrlProp5.xml><?xml version="1.0" encoding="utf-8"?>
<formControlPr xmlns="http://schemas.microsoft.com/office/spreadsheetml/2009/9/main" objectType="CheckBox" checked="Checked" fmlaLink="D_Assumptions!$I$45" lockText="1" noThreeD="1"/>
</file>

<file path=xl/ctrlProps/ctrlProp6.xml><?xml version="1.0" encoding="utf-8"?>
<formControlPr xmlns="http://schemas.microsoft.com/office/spreadsheetml/2009/9/main" objectType="CheckBox" checked="Checked" fmlaLink="D_Assumptions!$I$46" lockText="1" noThreeD="1"/>
</file>

<file path=xl/ctrlProps/ctrlProp7.xml><?xml version="1.0" encoding="utf-8"?>
<formControlPr xmlns="http://schemas.microsoft.com/office/spreadsheetml/2009/9/main" objectType="CheckBox" checked="Checked" fmlaLink="D_Assumptions!$I$47" lockText="1" noThreeD="1"/>
</file>

<file path=xl/ctrlProps/ctrlProp8.xml><?xml version="1.0" encoding="utf-8"?>
<formControlPr xmlns="http://schemas.microsoft.com/office/spreadsheetml/2009/9/main" objectType="CheckBox" checked="Checked" fmlaLink="D_Assumptions!$I$48" lockText="1" noThreeD="1"/>
</file>

<file path=xl/ctrlProps/ctrlProp9.xml><?xml version="1.0" encoding="utf-8"?>
<formControlPr xmlns="http://schemas.microsoft.com/office/spreadsheetml/2009/9/main" objectType="CheckBox" checked="Checked" fmlaLink="D_Assumptions!$I$50" lockText="1" noThreeD="1"/>
</file>

<file path=xl/ctrlProps/ctrlProp10.xml><?xml version="1.0" encoding="utf-8"?>
<formControlPr xmlns="http://schemas.microsoft.com/office/spreadsheetml/2009/9/main" objectType="CheckBox" checked="Checked" fmlaLink="D_Assumptions!$I$49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</xdr:row>
          <xdr:rowOff>171450</xdr:rowOff>
        </xdr:from>
        <xdr:to>
          <xdr:col>5</xdr:col>
          <xdr:colOff>247650</xdr:colOff>
          <xdr:row>6</xdr:row>
          <xdr:rowOff>13883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5</xdr:row>
          <xdr:rowOff>181769</xdr:rowOff>
        </xdr:from>
        <xdr:to>
          <xdr:col>5</xdr:col>
          <xdr:colOff>254000</xdr:colOff>
          <xdr:row>7</xdr:row>
          <xdr:rowOff>29369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7</xdr:row>
          <xdr:rowOff>1588</xdr:rowOff>
        </xdr:from>
        <xdr:to>
          <xdr:col>5</xdr:col>
          <xdr:colOff>254000</xdr:colOff>
          <xdr:row>8</xdr:row>
          <xdr:rowOff>39688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8</xdr:row>
          <xdr:rowOff>18257</xdr:rowOff>
        </xdr:from>
        <xdr:to>
          <xdr:col>5</xdr:col>
          <xdr:colOff>254000</xdr:colOff>
          <xdr:row>9</xdr:row>
          <xdr:rowOff>43657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8</xdr:row>
          <xdr:rowOff>180976</xdr:rowOff>
        </xdr:from>
        <xdr:to>
          <xdr:col>5</xdr:col>
          <xdr:colOff>254000</xdr:colOff>
          <xdr:row>10</xdr:row>
          <xdr:rowOff>28576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9</xdr:row>
          <xdr:rowOff>178595</xdr:rowOff>
        </xdr:from>
        <xdr:to>
          <xdr:col>5</xdr:col>
          <xdr:colOff>254000</xdr:colOff>
          <xdr:row>11</xdr:row>
          <xdr:rowOff>26195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10</xdr:row>
          <xdr:rowOff>169864</xdr:rowOff>
        </xdr:from>
        <xdr:to>
          <xdr:col>5</xdr:col>
          <xdr:colOff>254000</xdr:colOff>
          <xdr:row>12</xdr:row>
          <xdr:rowOff>17464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11</xdr:row>
          <xdr:rowOff>167483</xdr:rowOff>
        </xdr:from>
        <xdr:to>
          <xdr:col>5</xdr:col>
          <xdr:colOff>254000</xdr:colOff>
          <xdr:row>13</xdr:row>
          <xdr:rowOff>8733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14</xdr:row>
          <xdr:rowOff>0</xdr:rowOff>
        </xdr:from>
        <xdr:to>
          <xdr:col>5</xdr:col>
          <xdr:colOff>254000</xdr:colOff>
          <xdr:row>15</xdr:row>
          <xdr:rowOff>38100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13</xdr:row>
          <xdr:rowOff>0</xdr:rowOff>
        </xdr:from>
        <xdr:to>
          <xdr:col>5</xdr:col>
          <xdr:colOff>254000</xdr:colOff>
          <xdr:row>14</xdr:row>
          <xdr:rowOff>38100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12702</xdr:colOff>
      <xdr:row>25</xdr:row>
      <xdr:rowOff>19053</xdr:rowOff>
    </xdr:from>
    <xdr:to>
      <xdr:col>18</xdr:col>
      <xdr:colOff>921372</xdr:colOff>
      <xdr:row>39</xdr:row>
      <xdr:rowOff>177800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51153</xdr:colOff>
      <xdr:row>25</xdr:row>
      <xdr:rowOff>7231</xdr:rowOff>
    </xdr:from>
    <xdr:to>
      <xdr:col>9</xdr:col>
      <xdr:colOff>839611</xdr:colOff>
      <xdr:row>39</xdr:row>
      <xdr:rowOff>156456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60271</xdr:colOff>
      <xdr:row>40</xdr:row>
      <xdr:rowOff>45634</xdr:rowOff>
    </xdr:from>
    <xdr:to>
      <xdr:col>9</xdr:col>
      <xdr:colOff>843797</xdr:colOff>
      <xdr:row>55</xdr:row>
      <xdr:rowOff>44342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40</xdr:row>
      <xdr:rowOff>44450</xdr:rowOff>
    </xdr:from>
    <xdr:to>
      <xdr:col>18</xdr:col>
      <xdr:colOff>901700</xdr:colOff>
      <xdr:row>55</xdr:row>
      <xdr:rowOff>38100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tabColor rgb="FF7030A0"/>
  </sheetPr>
  <dimension ref="C5:V22"/>
  <sheetViews>
    <sheetView tabSelected="1" topLeftCell="B1" zoomScale="50" workbookViewId="0">
      <selection activeCell="C29" sqref="C29"/>
    </sheetView>
  </sheetViews>
  <sheetFormatPr baseColWidth="10" defaultRowHeight="14.5" x14ac:dyDescent="0.35"/>
  <cols>
    <col min="3" max="3" width="32.26953125" bestFit="1" customWidth="1"/>
    <col min="4" max="4" width="5.81640625" customWidth="1"/>
    <col min="5" max="5" width="4.1796875" customWidth="1"/>
    <col min="6" max="6" width="18.81640625" customWidth="1"/>
    <col min="7" max="7" width="6.453125" customWidth="1"/>
    <col min="8" max="8" width="13.36328125" bestFit="1" customWidth="1"/>
    <col min="9" max="11" width="13.7265625" bestFit="1" customWidth="1"/>
    <col min="12" max="12" width="13.36328125" bestFit="1" customWidth="1"/>
    <col min="13" max="14" width="13.7265625" bestFit="1" customWidth="1"/>
    <col min="15" max="15" width="14.08984375" bestFit="1" customWidth="1"/>
    <col min="16" max="16" width="13.7265625" bestFit="1" customWidth="1"/>
    <col min="17" max="19" width="14.453125" bestFit="1" customWidth="1"/>
    <col min="20" max="20" width="5.08984375" customWidth="1"/>
    <col min="21" max="21" width="27.1796875" bestFit="1" customWidth="1"/>
    <col min="22" max="22" width="14.453125" bestFit="1" customWidth="1"/>
  </cols>
  <sheetData>
    <row r="5" spans="3:22" x14ac:dyDescent="0.35">
      <c r="C5" s="1" t="s">
        <v>222</v>
      </c>
      <c r="F5" s="7" t="s">
        <v>223</v>
      </c>
      <c r="G5" s="7"/>
      <c r="H5" s="7" t="s">
        <v>17</v>
      </c>
      <c r="I5" s="7" t="s">
        <v>18</v>
      </c>
      <c r="J5" s="7" t="s">
        <v>19</v>
      </c>
      <c r="K5" s="7" t="s">
        <v>88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25</v>
      </c>
      <c r="Q5" s="7" t="s">
        <v>24</v>
      </c>
      <c r="R5" s="7" t="s">
        <v>26</v>
      </c>
      <c r="S5" s="7" t="s">
        <v>27</v>
      </c>
      <c r="U5" s="24" t="s">
        <v>230</v>
      </c>
    </row>
    <row r="6" spans="3:22" x14ac:dyDescent="0.35">
      <c r="C6" t="s">
        <v>48</v>
      </c>
      <c r="F6" t="s">
        <v>224</v>
      </c>
      <c r="G6" t="s">
        <v>13</v>
      </c>
      <c r="H6" s="4">
        <f>SUM(R_Financial_Statements!$E9:E9)</f>
        <v>0</v>
      </c>
      <c r="I6" s="4">
        <f>SUM(R_Financial_Statements!$E9:F9)</f>
        <v>4069711.95</v>
      </c>
      <c r="J6" s="4">
        <f>SUM(R_Financial_Statements!$E9:G9)</f>
        <v>12695720.390000001</v>
      </c>
      <c r="K6" s="4">
        <f>SUM(R_Financial_Statements!$E9:H9)</f>
        <v>26758721.039999999</v>
      </c>
      <c r="L6" s="4">
        <f>SUM(R_Financial_Statements!$E9:I9)</f>
        <v>49301058.890000001</v>
      </c>
      <c r="M6" s="4">
        <f>SUM(R_Financial_Statements!$E9:J9)</f>
        <v>76675450.49000001</v>
      </c>
      <c r="N6" s="4">
        <f>SUM(R_Financial_Statements!$E9:K9)</f>
        <v>108158123.74000001</v>
      </c>
      <c r="O6" s="4">
        <f>SUM(R_Financial_Statements!$E9:L9)</f>
        <v>141604826.09</v>
      </c>
      <c r="P6" s="4">
        <f>SUM(R_Financial_Statements!$E9:M9)</f>
        <v>171191706.54000002</v>
      </c>
      <c r="Q6" s="4">
        <f>SUM(R_Financial_Statements!$E9:N9)</f>
        <v>188926004.60000002</v>
      </c>
      <c r="R6" s="4">
        <f>SUM(R_Financial_Statements!$E9:O9)</f>
        <v>197044888.00000003</v>
      </c>
      <c r="S6" s="4">
        <f>SUM(R_Financial_Statements!$E9:P9)</f>
        <v>197044888.00000003</v>
      </c>
    </row>
    <row r="7" spans="3:22" x14ac:dyDescent="0.35">
      <c r="C7" t="s">
        <v>49</v>
      </c>
      <c r="F7" t="s">
        <v>95</v>
      </c>
      <c r="G7" t="s">
        <v>13</v>
      </c>
      <c r="H7" s="4">
        <f>SUM(R_Financial_Statements!$E17:E17)</f>
        <v>-500000</v>
      </c>
      <c r="I7" s="4">
        <f>SUM(R_Financial_Statements!$E17:F17)</f>
        <v>-300649.85000000009</v>
      </c>
      <c r="J7" s="4">
        <f>SUM(R_Financial_Statements!$E17:G17)</f>
        <v>681666.44999999925</v>
      </c>
      <c r="K7" s="4">
        <f>SUM(R_Financial_Statements!$E17:H17)</f>
        <v>2598289.9499999974</v>
      </c>
      <c r="L7" s="4">
        <f>SUM(R_Financial_Statements!$E17:I17)</f>
        <v>5972025.2499999981</v>
      </c>
      <c r="M7" s="4">
        <f>SUM(R_Financial_Statements!$E17:J17)</f>
        <v>10176113.450000001</v>
      </c>
      <c r="N7" s="4">
        <f>SUM(R_Financial_Statements!$E17:K17)</f>
        <v>15086179.6</v>
      </c>
      <c r="O7" s="4">
        <f>SUM(R_Financial_Statements!$E17:L17)</f>
        <v>20333749.700000003</v>
      </c>
      <c r="P7" s="4">
        <f>SUM(R_Financial_Statements!$E17:M17)</f>
        <v>24918037.700000003</v>
      </c>
      <c r="Q7" s="4">
        <f>SUM(R_Financial_Statements!$E17:N17)</f>
        <v>27465546.500000004</v>
      </c>
      <c r="R7" s="4">
        <f>SUM(R_Financial_Statements!$E17:O17)</f>
        <v>28360717.000000004</v>
      </c>
      <c r="S7" s="4">
        <f>SUM(R_Financial_Statements!$E17:P17)</f>
        <v>27860717.000000004</v>
      </c>
      <c r="U7" t="s">
        <v>231</v>
      </c>
      <c r="V7" s="4">
        <f>SUM(R_Financial_Statements!E9:P9)</f>
        <v>197044888.00000003</v>
      </c>
    </row>
    <row r="8" spans="3:22" x14ac:dyDescent="0.35">
      <c r="C8" t="s">
        <v>50</v>
      </c>
      <c r="F8" t="s">
        <v>225</v>
      </c>
      <c r="G8" t="s">
        <v>13</v>
      </c>
      <c r="H8" s="4">
        <f>SUM(R_Financial_Statements!$E26:E26)</f>
        <v>-606369.8630136986</v>
      </c>
      <c r="I8" s="4">
        <f ca="1">SUM(R_Financial_Statements!$E26:F26)</f>
        <v>-507019.7130136987</v>
      </c>
      <c r="J8" s="4">
        <f ca="1">SUM(R_Financial_Statements!$E26:G26)</f>
        <v>5780.877243096882</v>
      </c>
      <c r="K8" s="4">
        <f ca="1">SUM(R_Financial_Statements!$E26:H26)</f>
        <v>1451611.1906563886</v>
      </c>
      <c r="L8" s="4">
        <f ca="1">SUM(R_Financial_Statements!$E26:I26)</f>
        <v>4350729.9281329289</v>
      </c>
      <c r="M8" s="4">
        <f ca="1">SUM(R_Financial_Statements!$E26:J26)</f>
        <v>8061797.5656026658</v>
      </c>
      <c r="N8" s="4">
        <f ca="1">SUM(R_Financial_Statements!$E26:K26)</f>
        <v>12474973.304643761</v>
      </c>
      <c r="O8" s="4">
        <f ca="1">SUM(R_Financial_Statements!$E26:L26)</f>
        <v>17226219.203730524</v>
      </c>
      <c r="P8" s="4">
        <f ca="1">SUM(R_Financial_Statements!$E26:M26)</f>
        <v>21316762.911493082</v>
      </c>
      <c r="Q8" s="4">
        <f ca="1">SUM(R_Financial_Statements!$E26:N26)</f>
        <v>23369079.930671163</v>
      </c>
      <c r="R8" s="4">
        <f ca="1">SUM(R_Financial_Statements!$E26:O26)</f>
        <v>23774398.840971813</v>
      </c>
      <c r="S8" s="4">
        <f ca="1">SUM(R_Financial_Statements!$E26:P26)</f>
        <v>22800149.253086437</v>
      </c>
      <c r="U8" t="s">
        <v>232</v>
      </c>
      <c r="V8" s="4">
        <f>SUM(R_Financial_Statements!E17:P17)</f>
        <v>27860717.000000004</v>
      </c>
    </row>
    <row r="9" spans="3:22" x14ac:dyDescent="0.35">
      <c r="C9" t="s">
        <v>51</v>
      </c>
      <c r="U9" t="s">
        <v>234</v>
      </c>
      <c r="V9" s="4">
        <f>SUM(R_Financial_Statements!E21:P21)</f>
        <v>23327383.666666675</v>
      </c>
    </row>
    <row r="10" spans="3:22" x14ac:dyDescent="0.35">
      <c r="C10" t="s">
        <v>52</v>
      </c>
      <c r="F10" s="7" t="s">
        <v>226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t="s">
        <v>233</v>
      </c>
      <c r="V10" s="4">
        <f ca="1">SUM(R_Financial_Statements!E26:P26)</f>
        <v>22800149.253086437</v>
      </c>
    </row>
    <row r="11" spans="3:22" x14ac:dyDescent="0.35">
      <c r="C11" t="s">
        <v>53</v>
      </c>
    </row>
    <row r="12" spans="3:22" x14ac:dyDescent="0.35">
      <c r="C12" t="s">
        <v>54</v>
      </c>
      <c r="F12" t="s">
        <v>227</v>
      </c>
      <c r="G12" t="s">
        <v>13</v>
      </c>
      <c r="H12" s="4">
        <f ca="1">R_Financial_Statements!E68</f>
        <v>4288197.0369863017</v>
      </c>
      <c r="I12" s="4">
        <f ca="1">R_Financial_Statements!F68</f>
        <v>0</v>
      </c>
      <c r="J12" s="4">
        <f ca="1">R_Financial_Statements!G68</f>
        <v>0</v>
      </c>
      <c r="K12" s="4">
        <f ca="1">R_Financial_Statements!H68</f>
        <v>0</v>
      </c>
      <c r="L12" s="4">
        <f ca="1">R_Financial_Statements!I68</f>
        <v>0</v>
      </c>
      <c r="M12" s="4">
        <f ca="1">R_Financial_Statements!J68</f>
        <v>-101650.34573067026</v>
      </c>
      <c r="N12" s="4">
        <f ca="1">R_Financial_Statements!K68</f>
        <v>-5104967.9100229107</v>
      </c>
      <c r="O12" s="4">
        <f ca="1">R_Financial_Statements!L68</f>
        <v>-8447619.094269488</v>
      </c>
      <c r="P12" s="4">
        <f ca="1">R_Financial_Statements!M68</f>
        <v>-7019927.2898402624</v>
      </c>
      <c r="Q12" s="4">
        <f ca="1">R_Financial_Statements!N68</f>
        <v>0</v>
      </c>
      <c r="R12" s="4">
        <f ca="1">R_Financial_Statements!O68</f>
        <v>0</v>
      </c>
      <c r="S12" s="4">
        <f ca="1">R_Financial_Statements!P68</f>
        <v>962327.11975309625</v>
      </c>
      <c r="U12" t="s">
        <v>235</v>
      </c>
      <c r="V12" s="4">
        <f ca="1">SUM(R_Financial_Statements!E45:P45)</f>
        <v>-9871006.2135802303</v>
      </c>
    </row>
    <row r="13" spans="3:22" x14ac:dyDescent="0.35">
      <c r="C13" t="s">
        <v>55</v>
      </c>
      <c r="F13" t="s">
        <v>228</v>
      </c>
      <c r="G13" t="s">
        <v>13</v>
      </c>
      <c r="H13" s="4">
        <f ca="1">R_Financial_Statements!E82</f>
        <v>0</v>
      </c>
      <c r="I13" s="4">
        <f ca="1">R_Financial_Statements!F82</f>
        <v>867276.76301369909</v>
      </c>
      <c r="J13" s="4">
        <f ca="1">R_Financial_Statements!G82</f>
        <v>2080940.4860902375</v>
      </c>
      <c r="K13" s="4">
        <f ca="1">R_Financial_Statements!H82</f>
        <v>3313668.8040102785</v>
      </c>
      <c r="L13" s="4">
        <f ca="1">R_Financial_Statements!I82</f>
        <v>11539820.729867075</v>
      </c>
      <c r="M13" s="4">
        <f ca="1">R_Financial_Statements!J82</f>
        <v>12500000</v>
      </c>
      <c r="N13" s="4">
        <f ca="1">R_Financial_Statements!K82</f>
        <v>12500000</v>
      </c>
      <c r="O13" s="4">
        <f ca="1">R_Financial_Statements!L82</f>
        <v>12500000</v>
      </c>
      <c r="P13" s="4">
        <f ca="1">R_Financial_Statements!M82</f>
        <v>12500000</v>
      </c>
      <c r="Q13" s="4">
        <f ca="1">R_Financial_Statements!N82</f>
        <v>11365737.303995512</v>
      </c>
      <c r="R13" s="4">
        <f ca="1">R_Financial_Statements!O82</f>
        <v>4725196.6790281935</v>
      </c>
      <c r="S13" s="4">
        <f ca="1">R_Financial_Statements!P82</f>
        <v>0</v>
      </c>
    </row>
    <row r="14" spans="3:22" x14ac:dyDescent="0.35">
      <c r="C14" t="s">
        <v>56</v>
      </c>
      <c r="F14" t="s">
        <v>229</v>
      </c>
      <c r="G14" t="s">
        <v>13</v>
      </c>
      <c r="H14" s="4">
        <f ca="1">D_Assumptions!$D92-R_TdB!H13</f>
        <v>12500000</v>
      </c>
      <c r="I14" s="4">
        <f ca="1">D_Assumptions!$D92-R_TdB!I13</f>
        <v>11632723.236986302</v>
      </c>
      <c r="J14" s="4">
        <f ca="1">D_Assumptions!$D92-R_TdB!J13</f>
        <v>10419059.513909763</v>
      </c>
      <c r="K14" s="4">
        <f ca="1">D_Assumptions!$D92-R_TdB!K13</f>
        <v>9186331.1959897205</v>
      </c>
      <c r="L14" s="4">
        <f ca="1">D_Assumptions!$D92-R_TdB!L13</f>
        <v>960179.27013292536</v>
      </c>
      <c r="M14" s="4">
        <f ca="1">D_Assumptions!$D92-R_TdB!M13</f>
        <v>0</v>
      </c>
      <c r="N14" s="4">
        <f ca="1">D_Assumptions!$D92-R_TdB!N13</f>
        <v>0</v>
      </c>
      <c r="O14" s="4">
        <f ca="1">D_Assumptions!$D92-R_TdB!O13</f>
        <v>0</v>
      </c>
      <c r="P14" s="4">
        <f ca="1">D_Assumptions!$D92-R_TdB!P13</f>
        <v>0</v>
      </c>
      <c r="Q14" s="4">
        <f ca="1">D_Assumptions!$D92-R_TdB!Q13</f>
        <v>1134262.6960044876</v>
      </c>
      <c r="R14" s="4">
        <f ca="1">D_Assumptions!$D92-R_TdB!R13</f>
        <v>7774803.3209718065</v>
      </c>
      <c r="S14" s="4">
        <f ca="1">D_Assumptions!$D92-R_TdB!S13</f>
        <v>12500000</v>
      </c>
      <c r="U14" t="s">
        <v>236</v>
      </c>
      <c r="V14" s="4">
        <f ca="1">(SUM(R_Financial_Statements!P82:P83)-R_Financial_Statements!P68)/R_Financial_Statements!P78</f>
        <v>0.42806028803671531</v>
      </c>
    </row>
    <row r="15" spans="3:22" x14ac:dyDescent="0.35">
      <c r="C15" t="s">
        <v>57</v>
      </c>
      <c r="U15" t="s">
        <v>237</v>
      </c>
      <c r="V15" s="4">
        <f ca="1">SUM(R_Financial_Statements!P65:P67)-SUM(R_Financial_Statements!P80:P81)</f>
        <v>22204488.800000004</v>
      </c>
    </row>
    <row r="16" spans="3:22" x14ac:dyDescent="0.35">
      <c r="F16" s="7" t="s">
        <v>238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8" spans="6:19" x14ac:dyDescent="0.35">
      <c r="F18" t="s">
        <v>239</v>
      </c>
      <c r="G18" t="s">
        <v>13</v>
      </c>
      <c r="H18" s="4">
        <f>R_Financial_Statements!E63</f>
        <v>3500000</v>
      </c>
      <c r="I18" s="4">
        <f>R_Financial_Statements!F63</f>
        <v>23400000</v>
      </c>
      <c r="J18" s="4">
        <f>R_Financial_Statements!G63</f>
        <v>22966666.666666668</v>
      </c>
      <c r="K18" s="4">
        <f>R_Financial_Statements!H63</f>
        <v>22533333.333333336</v>
      </c>
      <c r="L18" s="4">
        <f>R_Financial_Statements!I63</f>
        <v>22100000.000000004</v>
      </c>
      <c r="M18" s="4">
        <f>R_Financial_Statements!J63</f>
        <v>21666666.666666672</v>
      </c>
      <c r="N18" s="4">
        <f>R_Financial_Statements!K63</f>
        <v>21233333.33333334</v>
      </c>
      <c r="O18" s="4">
        <f>R_Financial_Statements!L63</f>
        <v>20800000.000000007</v>
      </c>
      <c r="P18" s="4">
        <f>R_Financial_Statements!M63</f>
        <v>20366666.666666675</v>
      </c>
      <c r="Q18" s="4">
        <f>R_Financial_Statements!N63</f>
        <v>19933333.333333343</v>
      </c>
      <c r="R18" s="4">
        <f>R_Financial_Statements!O63</f>
        <v>19500000.000000011</v>
      </c>
      <c r="S18" s="4">
        <f>R_Financial_Statements!P63</f>
        <v>19066666.666666679</v>
      </c>
    </row>
    <row r="19" spans="6:19" x14ac:dyDescent="0.35">
      <c r="F19" t="s">
        <v>240</v>
      </c>
      <c r="G19" t="s">
        <v>13</v>
      </c>
      <c r="H19" s="4">
        <f ca="1">SUM(R_Financial_Statements!E65:E67)-SUM(R_Financial_Statements!E80:E81)</f>
        <v>-2294566.9000000004</v>
      </c>
      <c r="I19" s="4">
        <f ca="1">SUM(R_Financial_Statements!F65:F67)-SUM(R_Financial_Statements!F80:F81)</f>
        <v>-939742.94999999925</v>
      </c>
      <c r="J19" s="4">
        <f ca="1">SUM(R_Financial_Statements!G65:G67)-SUM(R_Financial_Statements!G80:G81)</f>
        <v>953388.03000000119</v>
      </c>
      <c r="K19" s="4">
        <f ca="1">SUM(R_Financial_Statements!H65:H67)-SUM(R_Financial_Statements!H80:H81)</f>
        <v>3798613.327999996</v>
      </c>
      <c r="L19" s="4">
        <f ca="1">SUM(R_Financial_Statements!I65:I67)-SUM(R_Financial_Statements!I80:I81)</f>
        <v>15090550.657999998</v>
      </c>
      <c r="M19" s="4">
        <f ca="1">SUM(R_Financial_Statements!J65:J67)-SUM(R_Financial_Statements!J80:J81)</f>
        <v>20030114.578000002</v>
      </c>
      <c r="N19" s="4">
        <f ca="1">SUM(R_Financial_Statements!K65:K67)-SUM(R_Financial_Statements!K80:K81)</f>
        <v>29613274.548000004</v>
      </c>
      <c r="O19" s="4">
        <f ca="1">SUM(R_Financial_Statements!L65:L67)-SUM(R_Financial_Statements!L80:L81)</f>
        <v>37873838.298000008</v>
      </c>
      <c r="P19" s="4">
        <f ca="1">SUM(R_Financial_Statements!M65:M67)-SUM(R_Financial_Statements!M80:M81)</f>
        <v>40703356.868000001</v>
      </c>
      <c r="Q19" s="4">
        <f ca="1">SUM(R_Financial_Statements!N65:N67)-SUM(R_Financial_Statements!N80:N81)</f>
        <v>34768150.568000004</v>
      </c>
      <c r="R19" s="4">
        <f ca="1">SUM(R_Financial_Statements!O65:O67)-SUM(R_Financial_Statements!O80:O81)</f>
        <v>28699595.520000007</v>
      </c>
      <c r="S19" s="4">
        <f ca="1">SUM(R_Financial_Statements!P65:P67)-SUM(R_Financial_Statements!P80:P81)</f>
        <v>22204488.800000004</v>
      </c>
    </row>
    <row r="21" spans="6:19" x14ac:dyDescent="0.35">
      <c r="F21" t="s">
        <v>70</v>
      </c>
      <c r="G21" t="s">
        <v>13</v>
      </c>
      <c r="H21" s="4">
        <f>R_Financial_Statements!E78</f>
        <v>5493630.1369863013</v>
      </c>
      <c r="I21" s="4">
        <f ca="1">R_Financial_Statements!F78</f>
        <v>5592980.2869863007</v>
      </c>
      <c r="J21" s="4">
        <f ca="1">R_Financial_Statements!G78</f>
        <v>6105780.877243096</v>
      </c>
      <c r="K21" s="4">
        <f ca="1">R_Financial_Statements!H78</f>
        <v>7551611.1906563882</v>
      </c>
      <c r="L21" s="4">
        <f ca="1">R_Financial_Statements!I78</f>
        <v>10450729.928132929</v>
      </c>
      <c r="M21" s="4">
        <f ca="1">R_Financial_Statements!J78</f>
        <v>14161797.565602666</v>
      </c>
      <c r="N21" s="4">
        <f ca="1">R_Financial_Statements!K78</f>
        <v>18574973.304643761</v>
      </c>
      <c r="O21" s="4">
        <f ca="1">R_Financial_Statements!L78</f>
        <v>23326219.203730524</v>
      </c>
      <c r="P21" s="4">
        <f ca="1">R_Financial_Statements!M78</f>
        <v>27416762.911493082</v>
      </c>
      <c r="Q21" s="4">
        <f ca="1">R_Financial_Statements!N78</f>
        <v>29469079.930671163</v>
      </c>
      <c r="R21" s="4">
        <f ca="1">R_Financial_Statements!O78</f>
        <v>29874398.840971813</v>
      </c>
      <c r="S21" s="4">
        <f ca="1">R_Financial_Statements!P78</f>
        <v>28900149.253086437</v>
      </c>
    </row>
    <row r="22" spans="6:19" x14ac:dyDescent="0.35">
      <c r="F22" t="s">
        <v>241</v>
      </c>
      <c r="G22" t="s">
        <v>13</v>
      </c>
      <c r="H22" s="4">
        <f ca="1">SUM(R_Financial_Statements!E82:E83)-R_Financial_Statements!E68</f>
        <v>-4288197.0369863017</v>
      </c>
      <c r="I22" s="4">
        <f ca="1">SUM(R_Financial_Statements!F82:F83)-R_Financial_Statements!F68</f>
        <v>16867276.763013698</v>
      </c>
      <c r="J22" s="4">
        <f ca="1">SUM(R_Financial_Statements!G82:G83)-R_Financial_Statements!G68</f>
        <v>17814273.819423571</v>
      </c>
      <c r="K22" s="4">
        <f ca="1">SUM(R_Financial_Statements!H82:H83)-R_Financial_Statements!H68</f>
        <v>18780335.470676947</v>
      </c>
      <c r="L22" s="4">
        <f ca="1">SUM(R_Financial_Statements!I82:I83)-R_Financial_Statements!I68</f>
        <v>26739820.729867078</v>
      </c>
      <c r="M22" s="4">
        <f ca="1">SUM(R_Financial_Statements!J82:J83)-R_Financial_Statements!J68</f>
        <v>27534983.679064006</v>
      </c>
      <c r="N22" s="4">
        <f ca="1">SUM(R_Financial_Statements!K82:K83)-R_Financial_Statements!K68</f>
        <v>32271634.576689582</v>
      </c>
      <c r="O22" s="4">
        <f ca="1">SUM(R_Financial_Statements!L82:L83)-R_Financial_Statements!L68</f>
        <v>35347619.094269492</v>
      </c>
      <c r="P22" s="4">
        <f ca="1">SUM(R_Financial_Statements!M82:M83)-R_Financial_Statements!M68</f>
        <v>33653260.623173594</v>
      </c>
      <c r="Q22" s="4">
        <f ca="1">SUM(R_Financial_Statements!N82:N83)-R_Financial_Statements!N68</f>
        <v>25232403.970662184</v>
      </c>
      <c r="R22" s="4">
        <f ca="1">SUM(R_Financial_Statements!O82:O83)-R_Financial_Statements!O68</f>
        <v>18325196.679028198</v>
      </c>
      <c r="S22" s="4">
        <f ca="1">SUM(R_Financial_Statements!P82:P83)-R_Financial_Statements!P68</f>
        <v>12371006.213580243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171450</xdr:rowOff>
                  </from>
                  <to>
                    <xdr:col>5</xdr:col>
                    <xdr:colOff>247650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4" name="Check Box 4">
              <controlPr defaultSize="0" autoFill="0" autoLine="0" autoPict="0">
                <anchor moveWithCells="1">
                  <from>
                    <xdr:col>3</xdr:col>
                    <xdr:colOff>120650</xdr:colOff>
                    <xdr:row>5</xdr:row>
                    <xdr:rowOff>184150</xdr:rowOff>
                  </from>
                  <to>
                    <xdr:col>5</xdr:col>
                    <xdr:colOff>254000</xdr:colOff>
                    <xdr:row>7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5" name="Check Box 5">
              <controlPr defaultSize="0" autoFill="0" autoLine="0" autoPict="0">
                <anchor moveWithCells="1">
                  <from>
                    <xdr:col>3</xdr:col>
                    <xdr:colOff>120650</xdr:colOff>
                    <xdr:row>7</xdr:row>
                    <xdr:rowOff>0</xdr:rowOff>
                  </from>
                  <to>
                    <xdr:col>5</xdr:col>
                    <xdr:colOff>254000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6" name="Check Box 6">
              <controlPr defaultSize="0" autoFill="0" autoLine="0" autoPict="0">
                <anchor moveWithCells="1">
                  <from>
                    <xdr:col>3</xdr:col>
                    <xdr:colOff>120650</xdr:colOff>
                    <xdr:row>8</xdr:row>
                    <xdr:rowOff>19050</xdr:rowOff>
                  </from>
                  <to>
                    <xdr:col>5</xdr:col>
                    <xdr:colOff>254000</xdr:colOff>
                    <xdr:row>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7" name="Check Box 7">
              <controlPr defaultSize="0" autoFill="0" autoLine="0" autoPict="0">
                <anchor moveWithCells="1">
                  <from>
                    <xdr:col>3</xdr:col>
                    <xdr:colOff>120650</xdr:colOff>
                    <xdr:row>8</xdr:row>
                    <xdr:rowOff>184150</xdr:rowOff>
                  </from>
                  <to>
                    <xdr:col>5</xdr:col>
                    <xdr:colOff>254000</xdr:colOff>
                    <xdr:row>10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8" name="Check Box 8">
              <controlPr defaultSize="0" autoFill="0" autoLine="0" autoPict="0">
                <anchor moveWithCells="1">
                  <from>
                    <xdr:col>3</xdr:col>
                    <xdr:colOff>120650</xdr:colOff>
                    <xdr:row>9</xdr:row>
                    <xdr:rowOff>177800</xdr:rowOff>
                  </from>
                  <to>
                    <xdr:col>5</xdr:col>
                    <xdr:colOff>254000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9" name="Check Box 9">
              <controlPr defaultSize="0" autoFill="0" autoLine="0" autoPict="0">
                <anchor moveWithCells="1">
                  <from>
                    <xdr:col>3</xdr:col>
                    <xdr:colOff>120650</xdr:colOff>
                    <xdr:row>10</xdr:row>
                    <xdr:rowOff>171450</xdr:rowOff>
                  </from>
                  <to>
                    <xdr:col>5</xdr:col>
                    <xdr:colOff>254000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0" name="Check Box 10">
              <controlPr defaultSize="0" autoFill="0" autoLine="0" autoPict="0">
                <anchor moveWithCells="1">
                  <from>
                    <xdr:col>3</xdr:col>
                    <xdr:colOff>120650</xdr:colOff>
                    <xdr:row>11</xdr:row>
                    <xdr:rowOff>165100</xdr:rowOff>
                  </from>
                  <to>
                    <xdr:col>5</xdr:col>
                    <xdr:colOff>254000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1" name="Check Box 11">
              <controlPr defaultSize="0" autoFill="0" autoLine="0" autoPict="0">
                <anchor moveWithCells="1">
                  <from>
                    <xdr:col>3</xdr:col>
                    <xdr:colOff>120650</xdr:colOff>
                    <xdr:row>14</xdr:row>
                    <xdr:rowOff>0</xdr:rowOff>
                  </from>
                  <to>
                    <xdr:col>5</xdr:col>
                    <xdr:colOff>254000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2" name="Check Box 12">
              <controlPr defaultSize="0" autoFill="0" autoLine="0" autoPict="0">
                <anchor moveWithCells="1">
                  <from>
                    <xdr:col>3</xdr:col>
                    <xdr:colOff>120650</xdr:colOff>
                    <xdr:row>13</xdr:row>
                    <xdr:rowOff>0</xdr:rowOff>
                  </from>
                  <to>
                    <xdr:col>5</xdr:col>
                    <xdr:colOff>254000</xdr:colOff>
                    <xdr:row>14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E6"/>
  <sheetViews>
    <sheetView workbookViewId="0">
      <selection activeCell="G6" sqref="G6"/>
    </sheetView>
  </sheetViews>
  <sheetFormatPr baseColWidth="10" defaultRowHeight="14.5" x14ac:dyDescent="0.35"/>
  <sheetData>
    <row r="3" spans="2:5" x14ac:dyDescent="0.35">
      <c r="B3" s="5" t="s">
        <v>82</v>
      </c>
      <c r="C3" s="5"/>
      <c r="D3" s="5"/>
      <c r="E3" s="14" t="b">
        <f ca="1">AND(E4:E6)</f>
        <v>1</v>
      </c>
    </row>
    <row r="4" spans="2:5" x14ac:dyDescent="0.35">
      <c r="B4" t="s">
        <v>83</v>
      </c>
      <c r="E4" s="1" t="b">
        <f>D_Assumptions!D1</f>
        <v>1</v>
      </c>
    </row>
    <row r="5" spans="2:5" x14ac:dyDescent="0.35">
      <c r="B5" t="s">
        <v>220</v>
      </c>
      <c r="E5" s="1" t="b">
        <f ca="1">C_Support_Calculations!D1</f>
        <v>1</v>
      </c>
    </row>
    <row r="6" spans="2:5" x14ac:dyDescent="0.35">
      <c r="B6" t="s">
        <v>219</v>
      </c>
      <c r="E6" s="1" t="b">
        <f ca="1">R_Financial_Statements!D1</f>
        <v>1</v>
      </c>
    </row>
  </sheetData>
  <conditionalFormatting sqref="E4">
    <cfRule type="cellIs" dxfId="63" priority="9" operator="equal">
      <formula>FALSE</formula>
    </cfRule>
    <cfRule type="cellIs" dxfId="62" priority="10" operator="equal">
      <formula>TRUE</formula>
    </cfRule>
  </conditionalFormatting>
  <conditionalFormatting sqref="E5">
    <cfRule type="cellIs" dxfId="61" priority="5" operator="equal">
      <formula>FALSE</formula>
    </cfRule>
    <cfRule type="cellIs" dxfId="60" priority="6" operator="equal">
      <formula>TRUE</formula>
    </cfRule>
  </conditionalFormatting>
  <conditionalFormatting sqref="E6">
    <cfRule type="cellIs" dxfId="59" priority="3" operator="equal">
      <formula>FALSE</formula>
    </cfRule>
    <cfRule type="cellIs" dxfId="58" priority="4" operator="equal">
      <formula>TRUE</formula>
    </cfRule>
  </conditionalFormatting>
  <conditionalFormatting sqref="E3">
    <cfRule type="cellIs" dxfId="57" priority="1" operator="equal">
      <formula>FALSE</formula>
    </cfRule>
    <cfRule type="cellIs" dxfId="56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89"/>
  <sheetViews>
    <sheetView topLeftCell="A65" zoomScale="81" workbookViewId="0">
      <selection activeCell="N51" sqref="N51"/>
    </sheetView>
  </sheetViews>
  <sheetFormatPr baseColWidth="10" defaultRowHeight="14.5" x14ac:dyDescent="0.35"/>
  <cols>
    <col min="2" max="2" width="19.54296875" customWidth="1"/>
    <col min="4" max="4" width="11.453125" bestFit="1" customWidth="1"/>
    <col min="5" max="5" width="12.54296875" bestFit="1" customWidth="1"/>
    <col min="6" max="6" width="13.08984375" bestFit="1" customWidth="1"/>
    <col min="7" max="8" width="12.81640625" bestFit="1" customWidth="1"/>
    <col min="9" max="13" width="13.26953125" bestFit="1" customWidth="1"/>
    <col min="14" max="14" width="12.7265625" bestFit="1" customWidth="1"/>
    <col min="15" max="15" width="12.54296875" bestFit="1" customWidth="1"/>
    <col min="16" max="18" width="12.453125" bestFit="1" customWidth="1"/>
  </cols>
  <sheetData>
    <row r="1" spans="2:18" x14ac:dyDescent="0.35">
      <c r="C1" t="s">
        <v>80</v>
      </c>
      <c r="D1" s="1" t="b">
        <f ca="1">AND(R7,R29,R88)</f>
        <v>1</v>
      </c>
    </row>
    <row r="3" spans="2:18" x14ac:dyDescent="0.35">
      <c r="C3" t="s">
        <v>86</v>
      </c>
      <c r="E3" s="2">
        <f>D_Assumptions!D5</f>
        <v>44197</v>
      </c>
      <c r="F3" s="2">
        <f>E4+1</f>
        <v>44228</v>
      </c>
      <c r="G3" s="2">
        <f t="shared" ref="G3:P3" si="0">F4+1</f>
        <v>44256</v>
      </c>
      <c r="H3" s="2">
        <f t="shared" si="0"/>
        <v>44287</v>
      </c>
      <c r="I3" s="2">
        <f t="shared" si="0"/>
        <v>44317</v>
      </c>
      <c r="J3" s="2">
        <f t="shared" si="0"/>
        <v>44348</v>
      </c>
      <c r="K3" s="2">
        <f t="shared" si="0"/>
        <v>44378</v>
      </c>
      <c r="L3" s="2">
        <f t="shared" si="0"/>
        <v>44409</v>
      </c>
      <c r="M3" s="2">
        <f t="shared" si="0"/>
        <v>44440</v>
      </c>
      <c r="N3" s="2">
        <f t="shared" si="0"/>
        <v>44470</v>
      </c>
      <c r="O3" s="2">
        <f t="shared" si="0"/>
        <v>44501</v>
      </c>
      <c r="P3" s="2">
        <f t="shared" si="0"/>
        <v>44531</v>
      </c>
    </row>
    <row r="4" spans="2:18" x14ac:dyDescent="0.35">
      <c r="C4" t="s">
        <v>85</v>
      </c>
      <c r="D4" s="2">
        <f>E3-1</f>
        <v>44196</v>
      </c>
      <c r="E4" s="2">
        <f>EOMONTH(E3,0)</f>
        <v>44227</v>
      </c>
      <c r="F4" s="2">
        <f t="shared" ref="F4:P4" si="1">EOMONTH(F3,0)</f>
        <v>44255</v>
      </c>
      <c r="G4" s="2">
        <f t="shared" si="1"/>
        <v>44286</v>
      </c>
      <c r="H4" s="2">
        <f t="shared" si="1"/>
        <v>44316</v>
      </c>
      <c r="I4" s="2">
        <f t="shared" si="1"/>
        <v>44347</v>
      </c>
      <c r="J4" s="2">
        <f t="shared" si="1"/>
        <v>44377</v>
      </c>
      <c r="K4" s="2">
        <f t="shared" si="1"/>
        <v>44408</v>
      </c>
      <c r="L4" s="2">
        <f t="shared" si="1"/>
        <v>44439</v>
      </c>
      <c r="M4" s="2">
        <f t="shared" si="1"/>
        <v>44469</v>
      </c>
      <c r="N4" s="2">
        <f t="shared" si="1"/>
        <v>44500</v>
      </c>
      <c r="O4" s="2">
        <f t="shared" si="1"/>
        <v>44530</v>
      </c>
      <c r="P4" s="2">
        <f t="shared" si="1"/>
        <v>44561</v>
      </c>
    </row>
    <row r="5" spans="2:18" x14ac:dyDescent="0.35">
      <c r="C5" t="s">
        <v>84</v>
      </c>
      <c r="D5">
        <v>0</v>
      </c>
      <c r="E5">
        <f>D5+1</f>
        <v>1</v>
      </c>
      <c r="F5">
        <f t="shared" ref="F5:P5" si="2">E5+1</f>
        <v>2</v>
      </c>
      <c r="G5">
        <f t="shared" si="2"/>
        <v>3</v>
      </c>
      <c r="H5">
        <f t="shared" si="2"/>
        <v>4</v>
      </c>
      <c r="I5">
        <f t="shared" si="2"/>
        <v>5</v>
      </c>
      <c r="J5">
        <f t="shared" si="2"/>
        <v>6</v>
      </c>
      <c r="K5">
        <f t="shared" si="2"/>
        <v>7</v>
      </c>
      <c r="L5">
        <f t="shared" si="2"/>
        <v>8</v>
      </c>
      <c r="M5">
        <f t="shared" si="2"/>
        <v>9</v>
      </c>
      <c r="N5">
        <f t="shared" si="2"/>
        <v>10</v>
      </c>
      <c r="O5">
        <f t="shared" si="2"/>
        <v>11</v>
      </c>
      <c r="P5">
        <f t="shared" si="2"/>
        <v>12</v>
      </c>
      <c r="R5" s="1" t="s">
        <v>218</v>
      </c>
    </row>
    <row r="7" spans="2:18" x14ac:dyDescent="0.35">
      <c r="B7" s="40" t="s">
        <v>123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R7" t="b">
        <f ca="1">AND(R9,R11:R12,R20,R24)</f>
        <v>1</v>
      </c>
    </row>
    <row r="9" spans="2:18" x14ac:dyDescent="0.35">
      <c r="B9" s="1" t="s">
        <v>124</v>
      </c>
      <c r="C9" s="1" t="s">
        <v>13</v>
      </c>
      <c r="D9" s="19">
        <f>C_Support_Calculations!D19</f>
        <v>0</v>
      </c>
      <c r="E9" s="19">
        <f>C_Support_Calculations!E19</f>
        <v>0</v>
      </c>
      <c r="F9" s="19">
        <f>C_Support_Calculations!F19</f>
        <v>4069711.95</v>
      </c>
      <c r="G9" s="19">
        <f>C_Support_Calculations!G19</f>
        <v>8626008.4399999995</v>
      </c>
      <c r="H9" s="19">
        <f>C_Support_Calculations!H19</f>
        <v>14063000.649999999</v>
      </c>
      <c r="I9" s="19">
        <f>C_Support_Calculations!I19</f>
        <v>22542337.850000001</v>
      </c>
      <c r="J9" s="19">
        <f>C_Support_Calculations!J19</f>
        <v>27374391.600000001</v>
      </c>
      <c r="K9" s="19">
        <f>C_Support_Calculations!K19</f>
        <v>31482673.25</v>
      </c>
      <c r="L9" s="19">
        <f>C_Support_Calculations!L19</f>
        <v>33446702.350000001</v>
      </c>
      <c r="M9" s="19">
        <f>C_Support_Calculations!M19</f>
        <v>29586880.450000003</v>
      </c>
      <c r="N9" s="19">
        <f>C_Support_Calculations!N19</f>
        <v>17734298.060000002</v>
      </c>
      <c r="O9" s="19">
        <f>C_Support_Calculations!O19</f>
        <v>8118883.4000000013</v>
      </c>
      <c r="P9" s="19">
        <f>C_Support_Calculations!P19</f>
        <v>0</v>
      </c>
      <c r="R9" s="1" t="b">
        <f>ABS(SUM(D9:P9)-SUM(C_Support_Calculations!D19:P19))&lt;D_Assumptions!D89</f>
        <v>1</v>
      </c>
    </row>
    <row r="11" spans="2:18" x14ac:dyDescent="0.35">
      <c r="B11" t="s">
        <v>125</v>
      </c>
      <c r="C11" t="s">
        <v>13</v>
      </c>
      <c r="D11" s="31">
        <f>C_Support_Calculations!D119</f>
        <v>0</v>
      </c>
      <c r="E11" s="31">
        <f>C_Support_Calculations!E119</f>
        <v>0</v>
      </c>
      <c r="F11" s="31">
        <f>C_Support_Calculations!F119</f>
        <v>-1661414.35</v>
      </c>
      <c r="G11" s="31">
        <f>C_Support_Calculations!G119</f>
        <v>-3516020.09</v>
      </c>
      <c r="H11" s="31">
        <f>C_Support_Calculations!H119</f>
        <v>-5827486.6500000004</v>
      </c>
      <c r="I11" s="31">
        <f>C_Support_Calculations!I119</f>
        <v>-9228317.8000000007</v>
      </c>
      <c r="J11" s="31">
        <f>C_Support_Calculations!J119</f>
        <v>-11164155.800000001</v>
      </c>
      <c r="K11" s="31">
        <f>C_Support_Calculations!K119</f>
        <v>-12687265.75</v>
      </c>
      <c r="L11" s="31">
        <f>C_Support_Calculations!L119</f>
        <v>-13329793.4</v>
      </c>
      <c r="M11" s="31">
        <f>C_Support_Calculations!M119</f>
        <v>-11776587.050000001</v>
      </c>
      <c r="N11" s="31">
        <f>C_Support_Calculations!N119</f>
        <v>-6865971.6100000013</v>
      </c>
      <c r="O11" s="31">
        <f>C_Support_Calculations!O119</f>
        <v>-2972323.5</v>
      </c>
      <c r="P11" s="31">
        <f>C_Support_Calculations!P119</f>
        <v>0</v>
      </c>
      <c r="R11" s="1" t="b">
        <f>ABS(SUM(D11:P11)-SUM(C_Support_Calculations!E119:P119))&lt;D_Assumptions!D89</f>
        <v>1</v>
      </c>
    </row>
    <row r="12" spans="2:18" ht="15" thickBot="1" x14ac:dyDescent="0.4">
      <c r="B12" s="47" t="s">
        <v>126</v>
      </c>
      <c r="C12" s="47" t="s">
        <v>13</v>
      </c>
      <c r="D12" s="50">
        <f>C_Support_Calculations!D133</f>
        <v>0</v>
      </c>
      <c r="E12" s="50">
        <f>C_Support_Calculations!E133</f>
        <v>0</v>
      </c>
      <c r="F12" s="50">
        <f>C_Support_Calculations!F133</f>
        <v>-1708947.4500000002</v>
      </c>
      <c r="G12" s="50">
        <f>C_Support_Calculations!G133</f>
        <v>-3627672.0500000003</v>
      </c>
      <c r="H12" s="50">
        <f>C_Support_Calculations!H133</f>
        <v>-5818890.5</v>
      </c>
      <c r="I12" s="50">
        <f>C_Support_Calculations!I133</f>
        <v>-9440284.75</v>
      </c>
      <c r="J12" s="50">
        <f>C_Support_Calculations!J133</f>
        <v>-11506147.599999998</v>
      </c>
      <c r="K12" s="50">
        <f>C_Support_Calculations!K133</f>
        <v>-13385341.350000001</v>
      </c>
      <c r="L12" s="50">
        <f>C_Support_Calculations!L133</f>
        <v>-14369338.85</v>
      </c>
      <c r="M12" s="50">
        <f>C_Support_Calculations!M133</f>
        <v>-12726005.400000002</v>
      </c>
      <c r="N12" s="50">
        <f>C_Support_Calculations!N133</f>
        <v>-7820817.6500000004</v>
      </c>
      <c r="O12" s="50">
        <f>C_Support_Calculations!O133</f>
        <v>-3751389.4000000004</v>
      </c>
      <c r="P12" s="50">
        <f>C_Support_Calculations!P133</f>
        <v>0</v>
      </c>
      <c r="R12" s="1" t="b">
        <f>ABS(SUM(D12:P12)-SUM(C_Support_Calculations!E133:P133))&lt;D_Assumptions!D89</f>
        <v>1</v>
      </c>
    </row>
    <row r="13" spans="2:18" ht="15" thickTop="1" x14ac:dyDescent="0.35">
      <c r="B13" s="1" t="s">
        <v>94</v>
      </c>
      <c r="C13" s="1" t="s">
        <v>13</v>
      </c>
      <c r="D13" s="19">
        <f>SUM(D9:D12)</f>
        <v>0</v>
      </c>
      <c r="E13" s="19">
        <f t="shared" ref="E13:P13" si="3">SUM(E9:E12)</f>
        <v>0</v>
      </c>
      <c r="F13" s="19">
        <f t="shared" si="3"/>
        <v>699350.14999999991</v>
      </c>
      <c r="G13" s="19">
        <f t="shared" si="3"/>
        <v>1482316.2999999993</v>
      </c>
      <c r="H13" s="19">
        <f t="shared" si="3"/>
        <v>2416623.4999999981</v>
      </c>
      <c r="I13" s="19">
        <f t="shared" si="3"/>
        <v>3873735.3000000007</v>
      </c>
      <c r="J13" s="19">
        <f t="shared" si="3"/>
        <v>4704088.200000003</v>
      </c>
      <c r="K13" s="19">
        <f t="shared" si="3"/>
        <v>5410066.1499999985</v>
      </c>
      <c r="L13" s="19">
        <f t="shared" si="3"/>
        <v>5747570.1000000034</v>
      </c>
      <c r="M13" s="19">
        <f t="shared" si="3"/>
        <v>5084288</v>
      </c>
      <c r="N13" s="19">
        <f t="shared" si="3"/>
        <v>3047508.8000000007</v>
      </c>
      <c r="O13" s="19">
        <f t="shared" si="3"/>
        <v>1395170.5000000009</v>
      </c>
      <c r="P13" s="19">
        <f t="shared" si="3"/>
        <v>0</v>
      </c>
    </row>
    <row r="14" spans="2:18" x14ac:dyDescent="0.35">
      <c r="B14" s="28" t="s">
        <v>127</v>
      </c>
      <c r="D14" s="49" t="str">
        <f>IFERROR(D13/D$9,"-")</f>
        <v>-</v>
      </c>
      <c r="E14" s="49" t="str">
        <f t="shared" ref="E14:P14" si="4">IFERROR(E13/E$9,"-")</f>
        <v>-</v>
      </c>
      <c r="F14" s="49">
        <f t="shared" si="4"/>
        <v>0.17184266567072393</v>
      </c>
      <c r="G14" s="49">
        <f t="shared" si="4"/>
        <v>0.17184266747598956</v>
      </c>
      <c r="H14" s="49">
        <f t="shared" si="4"/>
        <v>0.17184266431787432</v>
      </c>
      <c r="I14" s="49">
        <f t="shared" si="4"/>
        <v>0.17184266005488869</v>
      </c>
      <c r="J14" s="49">
        <f t="shared" si="4"/>
        <v>0.17184265750037719</v>
      </c>
      <c r="K14" s="49">
        <f t="shared" si="4"/>
        <v>0.17184265475295998</v>
      </c>
      <c r="L14" s="49">
        <f t="shared" si="4"/>
        <v>0.17184265401877513</v>
      </c>
      <c r="M14" s="49">
        <f t="shared" si="4"/>
        <v>0.17184265196839971</v>
      </c>
      <c r="N14" s="49">
        <f t="shared" si="4"/>
        <v>0.17184265143674934</v>
      </c>
      <c r="O14" s="49">
        <f t="shared" si="4"/>
        <v>0.17184265757530165</v>
      </c>
      <c r="P14" s="49" t="str">
        <f t="shared" si="4"/>
        <v>-</v>
      </c>
    </row>
    <row r="16" spans="2:18" ht="15" thickBot="1" x14ac:dyDescent="0.4">
      <c r="B16" s="47" t="s">
        <v>96</v>
      </c>
      <c r="C16" s="47" t="s">
        <v>13</v>
      </c>
      <c r="D16" s="48"/>
      <c r="E16" s="48">
        <f>-1*D_Assumptions!$D17</f>
        <v>-500000</v>
      </c>
      <c r="F16" s="48">
        <f>-1*D_Assumptions!$D17</f>
        <v>-500000</v>
      </c>
      <c r="G16" s="48">
        <f>-1*D_Assumptions!$D17</f>
        <v>-500000</v>
      </c>
      <c r="H16" s="48">
        <f>-1*D_Assumptions!$D17</f>
        <v>-500000</v>
      </c>
      <c r="I16" s="48">
        <f>-1*D_Assumptions!$D17</f>
        <v>-500000</v>
      </c>
      <c r="J16" s="48">
        <f>-1*D_Assumptions!$D17</f>
        <v>-500000</v>
      </c>
      <c r="K16" s="48">
        <f>-1*D_Assumptions!$D17</f>
        <v>-500000</v>
      </c>
      <c r="L16" s="48">
        <f>-1*D_Assumptions!$D17</f>
        <v>-500000</v>
      </c>
      <c r="M16" s="48">
        <f>-1*D_Assumptions!$D17</f>
        <v>-500000</v>
      </c>
      <c r="N16" s="48">
        <f>-1*D_Assumptions!$D17</f>
        <v>-500000</v>
      </c>
      <c r="O16" s="48">
        <f>-1*D_Assumptions!$D17</f>
        <v>-500000</v>
      </c>
      <c r="P16" s="48">
        <f>-1*D_Assumptions!$D17</f>
        <v>-500000</v>
      </c>
    </row>
    <row r="17" spans="2:18" ht="15" thickTop="1" x14ac:dyDescent="0.35">
      <c r="B17" s="24" t="s">
        <v>95</v>
      </c>
      <c r="C17" t="s">
        <v>13</v>
      </c>
      <c r="D17" s="4">
        <f>D13+D16</f>
        <v>0</v>
      </c>
      <c r="E17" s="4">
        <f t="shared" ref="E17:P17" si="5">E13+E16</f>
        <v>-500000</v>
      </c>
      <c r="F17" s="4">
        <f t="shared" si="5"/>
        <v>199350.14999999991</v>
      </c>
      <c r="G17" s="4">
        <f t="shared" si="5"/>
        <v>982316.29999999935</v>
      </c>
      <c r="H17" s="4">
        <f t="shared" si="5"/>
        <v>1916623.4999999981</v>
      </c>
      <c r="I17" s="4">
        <f t="shared" si="5"/>
        <v>3373735.3000000007</v>
      </c>
      <c r="J17" s="4">
        <f t="shared" si="5"/>
        <v>4204088.200000003</v>
      </c>
      <c r="K17" s="4">
        <f t="shared" si="5"/>
        <v>4910066.1499999985</v>
      </c>
      <c r="L17" s="4">
        <f t="shared" si="5"/>
        <v>5247570.1000000034</v>
      </c>
      <c r="M17" s="4">
        <f t="shared" si="5"/>
        <v>4584288</v>
      </c>
      <c r="N17" s="4">
        <f t="shared" si="5"/>
        <v>2547508.8000000007</v>
      </c>
      <c r="O17" s="4">
        <f t="shared" si="5"/>
        <v>895170.50000000093</v>
      </c>
      <c r="P17" s="4">
        <f t="shared" si="5"/>
        <v>-500000</v>
      </c>
    </row>
    <row r="18" spans="2:18" x14ac:dyDescent="0.35">
      <c r="B18" s="28" t="s">
        <v>127</v>
      </c>
      <c r="D18" s="49" t="str">
        <f t="shared" ref="D18:P18" si="6">IFERROR(D17/D$9,"-")</f>
        <v>-</v>
      </c>
      <c r="E18" s="49" t="str">
        <f t="shared" si="6"/>
        <v>-</v>
      </c>
      <c r="F18" s="49">
        <f t="shared" si="6"/>
        <v>4.8983847616045628E-2</v>
      </c>
      <c r="G18" s="49">
        <f t="shared" si="6"/>
        <v>0.11387843019546123</v>
      </c>
      <c r="H18" s="49">
        <f t="shared" si="6"/>
        <v>0.13628837455824183</v>
      </c>
      <c r="I18" s="49">
        <f t="shared" si="6"/>
        <v>0.14966217445809421</v>
      </c>
      <c r="J18" s="49">
        <f t="shared" si="6"/>
        <v>0.15357741137888897</v>
      </c>
      <c r="K18" s="49">
        <f t="shared" si="6"/>
        <v>0.15596090303417923</v>
      </c>
      <c r="L18" s="49">
        <f t="shared" si="6"/>
        <v>0.15689349715518378</v>
      </c>
      <c r="M18" s="49">
        <f t="shared" si="6"/>
        <v>0.15494326979646142</v>
      </c>
      <c r="N18" s="49">
        <f t="shared" si="6"/>
        <v>0.14364869651908851</v>
      </c>
      <c r="O18" s="49">
        <f t="shared" si="6"/>
        <v>0.11025783422385409</v>
      </c>
      <c r="P18" s="49" t="str">
        <f t="shared" si="6"/>
        <v>-</v>
      </c>
    </row>
    <row r="20" spans="2:18" ht="15" thickBot="1" x14ac:dyDescent="0.4">
      <c r="B20" s="47" t="s">
        <v>34</v>
      </c>
      <c r="C20" s="47" t="s">
        <v>13</v>
      </c>
      <c r="D20" s="47"/>
      <c r="E20" s="48">
        <f>-1*C_Support_Calculations!E146</f>
        <v>-100000</v>
      </c>
      <c r="F20" s="48">
        <f>-1*C_Support_Calculations!F146</f>
        <v>-100000</v>
      </c>
      <c r="G20" s="48">
        <f>-1*C_Support_Calculations!G146</f>
        <v>-433333.33333333331</v>
      </c>
      <c r="H20" s="48">
        <f>-1*C_Support_Calculations!H146</f>
        <v>-433333.33333333331</v>
      </c>
      <c r="I20" s="48">
        <f>-1*C_Support_Calculations!I146</f>
        <v>-433333.33333333331</v>
      </c>
      <c r="J20" s="48">
        <f>-1*C_Support_Calculations!J146</f>
        <v>-433333.33333333331</v>
      </c>
      <c r="K20" s="48">
        <f>-1*C_Support_Calculations!K146</f>
        <v>-433333.33333333331</v>
      </c>
      <c r="L20" s="48">
        <f>-1*C_Support_Calculations!L146</f>
        <v>-433333.33333333331</v>
      </c>
      <c r="M20" s="48">
        <f>-1*C_Support_Calculations!M146</f>
        <v>-433333.33333333331</v>
      </c>
      <c r="N20" s="48">
        <f>-1*C_Support_Calculations!N146</f>
        <v>-433333.33333333331</v>
      </c>
      <c r="O20" s="48">
        <f>-1*C_Support_Calculations!O146</f>
        <v>-433333.33333333331</v>
      </c>
      <c r="P20" s="48">
        <f>-1*C_Support_Calculations!P146</f>
        <v>-433333.33333333331</v>
      </c>
      <c r="R20" s="1" t="b">
        <f>ABS(SUM(D20:P20)+SUM(C_Support_Calculations!E146:P146))&lt;=D_Assumptions!D89</f>
        <v>1</v>
      </c>
    </row>
    <row r="21" spans="2:18" ht="15" thickTop="1" x14ac:dyDescent="0.35">
      <c r="B21" s="28" t="s">
        <v>128</v>
      </c>
      <c r="C21" t="s">
        <v>13</v>
      </c>
      <c r="E21" s="4">
        <f>E17+E20</f>
        <v>-600000</v>
      </c>
      <c r="F21" s="4">
        <f t="shared" ref="F21:P21" si="7">F17+F20</f>
        <v>99350.149999999907</v>
      </c>
      <c r="G21" s="4">
        <f t="shared" si="7"/>
        <v>548982.96666666609</v>
      </c>
      <c r="H21" s="4">
        <f t="shared" si="7"/>
        <v>1483290.1666666649</v>
      </c>
      <c r="I21" s="4">
        <f t="shared" si="7"/>
        <v>2940401.9666666673</v>
      </c>
      <c r="J21" s="4">
        <f t="shared" si="7"/>
        <v>3770754.8666666695</v>
      </c>
      <c r="K21" s="4">
        <f t="shared" si="7"/>
        <v>4476732.8166666655</v>
      </c>
      <c r="L21" s="4">
        <f t="shared" si="7"/>
        <v>4814236.7666666703</v>
      </c>
      <c r="M21" s="4">
        <f t="shared" si="7"/>
        <v>4150954.6666666665</v>
      </c>
      <c r="N21" s="4">
        <f t="shared" si="7"/>
        <v>2114175.4666666673</v>
      </c>
      <c r="O21" s="4">
        <f t="shared" si="7"/>
        <v>461837.16666666762</v>
      </c>
      <c r="P21" s="4">
        <f t="shared" si="7"/>
        <v>-933333.33333333326</v>
      </c>
    </row>
    <row r="22" spans="2:18" x14ac:dyDescent="0.35">
      <c r="B22" s="28" t="s">
        <v>127</v>
      </c>
      <c r="D22" s="49" t="str">
        <f t="shared" ref="D22" si="8">IFERROR(D21/D$9,"-")</f>
        <v>-</v>
      </c>
      <c r="E22" s="49" t="str">
        <f t="shared" ref="E22" si="9">IFERROR(E21/E$9,"-")</f>
        <v>-</v>
      </c>
      <c r="F22" s="49">
        <f t="shared" ref="F22" si="10">IFERROR(F21/F$9,"-")</f>
        <v>2.4412084005109969E-2</v>
      </c>
      <c r="G22" s="49">
        <f t="shared" ref="G22" si="11">IFERROR(G21/G$9,"-")</f>
        <v>6.3642757885670018E-2</v>
      </c>
      <c r="H22" s="49">
        <f t="shared" ref="H22" si="12">IFERROR(H21/H$9,"-")</f>
        <v>0.10547465676656034</v>
      </c>
      <c r="I22" s="49">
        <f t="shared" ref="I22" si="13">IFERROR(I21/I$9,"-")</f>
        <v>0.13043908694087233</v>
      </c>
      <c r="J22" s="49">
        <f t="shared" ref="J22" si="14">IFERROR(J21/J$9,"-")</f>
        <v>0.13774753140693249</v>
      </c>
      <c r="K22" s="49">
        <f t="shared" ref="K22" si="15">IFERROR(K21/K$9,"-")</f>
        <v>0.14219671821123595</v>
      </c>
      <c r="L22" s="49">
        <f t="shared" ref="L22" si="16">IFERROR(L21/L$9,"-")</f>
        <v>0.14393756120673792</v>
      </c>
      <c r="M22" s="49">
        <f t="shared" ref="M22" si="17">IFERROR(M21/M$9,"-")</f>
        <v>0.14029713858078155</v>
      </c>
      <c r="N22" s="49">
        <f t="shared" ref="N22" si="18">IFERROR(N21/N$9,"-")</f>
        <v>0.11921393559044913</v>
      </c>
      <c r="O22" s="49">
        <f t="shared" ref="O22" si="19">IFERROR(O21/O$9,"-")</f>
        <v>5.6884320652599539E-2</v>
      </c>
      <c r="P22" s="49" t="str">
        <f t="shared" ref="P22" si="20">IFERROR(P21/P$9,"-")</f>
        <v>-</v>
      </c>
    </row>
    <row r="24" spans="2:18" x14ac:dyDescent="0.35">
      <c r="B24" t="s">
        <v>97</v>
      </c>
      <c r="C24" t="s">
        <v>13</v>
      </c>
      <c r="E24" s="4">
        <f>-1*(C_Support_Calculations!E154+C_Support_Calculations!E158)</f>
        <v>-6369.8630136986303</v>
      </c>
      <c r="F24" s="4">
        <f ca="1">-1*(C_Support_Calculations!F154+C_Support_Calculations!F158)</f>
        <v>0</v>
      </c>
      <c r="G24" s="4">
        <f ca="1">-1*(C_Support_Calculations!G154+C_Support_Calculations!G158)</f>
        <v>-36182.376409870521</v>
      </c>
      <c r="H24" s="4">
        <f ca="1">-1*(C_Support_Calculations!H154+C_Support_Calculations!H158)</f>
        <v>-37459.853253373192</v>
      </c>
      <c r="I24" s="4">
        <f ca="1">-1*(C_Support_Calculations!I154+C_Support_Calculations!I158)</f>
        <v>-41283.229190126644</v>
      </c>
      <c r="J24" s="4">
        <f ca="1">-1*(C_Support_Calculations!J154+C_Support_Calculations!J158)</f>
        <v>-59687.229196932516</v>
      </c>
      <c r="K24" s="4">
        <f ca="1">-1*(C_Support_Calculations!K154+C_Support_Calculations!K158)</f>
        <v>-63557.077625570775</v>
      </c>
      <c r="L24" s="4">
        <f ca="1">-1*(C_Support_Calculations!L154+C_Support_Calculations!L158)</f>
        <v>-62990.867579908678</v>
      </c>
      <c r="M24" s="4">
        <f ca="1">-1*(C_Support_Calculations!M154+C_Support_Calculations!M158)</f>
        <v>-60410.95890410959</v>
      </c>
      <c r="N24" s="4">
        <f ca="1">-1*(C_Support_Calculations!N154+C_Support_Calculations!N158)</f>
        <v>-61858.447488584468</v>
      </c>
      <c r="O24" s="4">
        <f ca="1">-1*(C_Support_Calculations!O154+C_Support_Calculations!O158)</f>
        <v>-56518.256366016329</v>
      </c>
      <c r="P24" s="4">
        <f ca="1">-1*(C_Support_Calculations!P154+C_Support_Calculations!P158)</f>
        <v>-40916.25455204444</v>
      </c>
      <c r="R24" s="1" t="b">
        <f ca="1">ABS(SUM(D24:P24)+SUM(C_Support_Calculations!E154:P154,C_Support_Calculations!E158:P158))&lt;=D_Assumptions!D89</f>
        <v>1</v>
      </c>
    </row>
    <row r="25" spans="2:18" ht="15" thickBot="1" x14ac:dyDescent="0.4">
      <c r="B25" s="47" t="s">
        <v>98</v>
      </c>
      <c r="C25" s="47" t="s">
        <v>13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2:18" ht="15" thickTop="1" x14ac:dyDescent="0.35">
      <c r="B26" s="24" t="s">
        <v>99</v>
      </c>
      <c r="C26" s="1" t="s">
        <v>13</v>
      </c>
      <c r="D26" s="1"/>
      <c r="E26" s="19">
        <f>E21+SUM(E24:E25)</f>
        <v>-606369.8630136986</v>
      </c>
      <c r="F26" s="19">
        <f t="shared" ref="F26:P26" ca="1" si="21">F21+SUM(F24:F25)</f>
        <v>99350.149999999907</v>
      </c>
      <c r="G26" s="19">
        <f t="shared" ca="1" si="21"/>
        <v>512800.59025679558</v>
      </c>
      <c r="H26" s="19">
        <f t="shared" ca="1" si="21"/>
        <v>1445830.3134132917</v>
      </c>
      <c r="I26" s="19">
        <f t="shared" ca="1" si="21"/>
        <v>2899118.7374765407</v>
      </c>
      <c r="J26" s="19">
        <f t="shared" ca="1" si="21"/>
        <v>3711067.6374697369</v>
      </c>
      <c r="K26" s="19">
        <f t="shared" ca="1" si="21"/>
        <v>4413175.7390410947</v>
      </c>
      <c r="L26" s="19">
        <f t="shared" ca="1" si="21"/>
        <v>4751245.8990867613</v>
      </c>
      <c r="M26" s="19">
        <f t="shared" ca="1" si="21"/>
        <v>4090543.7077625571</v>
      </c>
      <c r="N26" s="19">
        <f t="shared" ca="1" si="21"/>
        <v>2052317.0191780827</v>
      </c>
      <c r="O26" s="19">
        <f t="shared" ca="1" si="21"/>
        <v>405318.91030065127</v>
      </c>
      <c r="P26" s="19">
        <f t="shared" ca="1" si="21"/>
        <v>-974249.5878853777</v>
      </c>
      <c r="Q26" s="4"/>
      <c r="R26" s="4"/>
    </row>
    <row r="27" spans="2:18" x14ac:dyDescent="0.35">
      <c r="B27" s="28" t="s">
        <v>127</v>
      </c>
      <c r="D27" s="49" t="str">
        <f t="shared" ref="D27" si="22">IFERROR(D26/D$9,"-")</f>
        <v>-</v>
      </c>
      <c r="E27" s="49" t="str">
        <f t="shared" ref="E27" si="23">IFERROR(E26/E$9,"-")</f>
        <v>-</v>
      </c>
      <c r="F27" s="49">
        <f t="shared" ref="F27" ca="1" si="24">IFERROR(F26/F$9,"-")</f>
        <v>2.4412084005109969E-2</v>
      </c>
      <c r="G27" s="49">
        <f t="shared" ref="G27" ca="1" si="25">IFERROR(G26/G$9,"-")</f>
        <v>5.9448190182479765E-2</v>
      </c>
      <c r="H27" s="49">
        <f t="shared" ref="H27" ca="1" si="26">IFERROR(H26/H$9,"-")</f>
        <v>0.10281093981271286</v>
      </c>
      <c r="I27" s="49">
        <f t="shared" ref="I27" ca="1" si="27">IFERROR(I26/I$9,"-")</f>
        <v>0.1286077227999908</v>
      </c>
      <c r="J27" s="49">
        <f t="shared" ref="J27" ca="1" si="28">IFERROR(J26/J$9,"-")</f>
        <v>0.13556712754374919</v>
      </c>
      <c r="K27" s="49">
        <f t="shared" ref="K27" ca="1" si="29">IFERROR(K26/K$9,"-")</f>
        <v>0.14017792275759475</v>
      </c>
      <c r="L27" s="49">
        <f t="shared" ref="L27" ca="1" si="30">IFERROR(L26/L$9,"-")</f>
        <v>0.14205424048588638</v>
      </c>
      <c r="M27" s="49">
        <f t="shared" ref="M27" ca="1" si="31">IFERROR(M26/M$9,"-")</f>
        <v>0.13825532281699393</v>
      </c>
      <c r="N27" s="49">
        <f t="shared" ref="N27" ca="1" si="32">IFERROR(N26/N$9,"-")</f>
        <v>0.11572586703090984</v>
      </c>
      <c r="O27" s="49">
        <f t="shared" ref="O27" ca="1" si="33">IFERROR(O26/O$9,"-")</f>
        <v>4.9922986983733653E-2</v>
      </c>
      <c r="P27" s="49" t="str">
        <f t="shared" ref="P27" ca="1" si="34">IFERROR(P26/P$9,"-")</f>
        <v>-</v>
      </c>
    </row>
    <row r="29" spans="2:18" x14ac:dyDescent="0.35">
      <c r="B29" s="40" t="s">
        <v>139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R29" t="b">
        <f ca="1">AND(R33:R36,R41,R47:R50)</f>
        <v>1</v>
      </c>
    </row>
    <row r="31" spans="2:18" x14ac:dyDescent="0.35">
      <c r="B31" s="1" t="s">
        <v>95</v>
      </c>
      <c r="C31" s="1" t="s">
        <v>13</v>
      </c>
      <c r="D31" s="1"/>
      <c r="E31" s="19">
        <f>E17</f>
        <v>-500000</v>
      </c>
      <c r="F31" s="19">
        <f t="shared" ref="F31:P31" si="35">F17</f>
        <v>199350.14999999991</v>
      </c>
      <c r="G31" s="19">
        <f t="shared" si="35"/>
        <v>982316.29999999935</v>
      </c>
      <c r="H31" s="19">
        <f t="shared" si="35"/>
        <v>1916623.4999999981</v>
      </c>
      <c r="I31" s="19">
        <f t="shared" si="35"/>
        <v>3373735.3000000007</v>
      </c>
      <c r="J31" s="19">
        <f t="shared" si="35"/>
        <v>4204088.200000003</v>
      </c>
      <c r="K31" s="19">
        <f t="shared" si="35"/>
        <v>4910066.1499999985</v>
      </c>
      <c r="L31" s="19">
        <f t="shared" si="35"/>
        <v>5247570.1000000034</v>
      </c>
      <c r="M31" s="19">
        <f t="shared" si="35"/>
        <v>4584288</v>
      </c>
      <c r="N31" s="19">
        <f t="shared" si="35"/>
        <v>2547508.8000000007</v>
      </c>
      <c r="O31" s="19">
        <f t="shared" si="35"/>
        <v>895170.50000000093</v>
      </c>
      <c r="P31" s="19">
        <f t="shared" si="35"/>
        <v>-500000</v>
      </c>
    </row>
    <row r="32" spans="2:18" x14ac:dyDescent="0.35">
      <c r="B32" s="1"/>
      <c r="C32" s="1"/>
      <c r="D32" s="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2:18" x14ac:dyDescent="0.35">
      <c r="B33" t="s">
        <v>140</v>
      </c>
      <c r="C33" t="s">
        <v>13</v>
      </c>
      <c r="E33" s="4">
        <f>C_Support_Calculations!E45</f>
        <v>7294566.9000000004</v>
      </c>
      <c r="F33" s="4">
        <f>C_Support_Calculations!F45</f>
        <v>2714888</v>
      </c>
      <c r="G33" s="4">
        <f>C_Support_Calculations!G45</f>
        <v>3477107.9000000004</v>
      </c>
      <c r="H33" s="4">
        <f>C_Support_Calculations!H45</f>
        <v>4316968.6000000006</v>
      </c>
      <c r="I33" s="4">
        <f>C_Support_Calculations!I45</f>
        <v>0</v>
      </c>
      <c r="J33" s="4">
        <f>C_Support_Calculations!J45</f>
        <v>1900957.4000000001</v>
      </c>
      <c r="K33" s="4">
        <f>C_Support_Calculations!K45</f>
        <v>0</v>
      </c>
      <c r="L33" s="4">
        <f>C_Support_Calculations!L45</f>
        <v>0</v>
      </c>
      <c r="M33" s="4">
        <f>C_Support_Calculations!M45</f>
        <v>0</v>
      </c>
      <c r="N33" s="4">
        <f>C_Support_Calculations!N45</f>
        <v>0</v>
      </c>
      <c r="O33" s="4">
        <f>C_Support_Calculations!O45</f>
        <v>0</v>
      </c>
      <c r="P33" s="4">
        <f>C_Support_Calculations!P45</f>
        <v>0</v>
      </c>
      <c r="R33" s="1" t="b">
        <f>ABS(SUM(D33:P33)-SUM(C_Support_Calculations!E45:P45))&lt;D_Assumptions!D89</f>
        <v>1</v>
      </c>
    </row>
    <row r="34" spans="2:18" x14ac:dyDescent="0.35">
      <c r="B34" t="s">
        <v>215</v>
      </c>
      <c r="C34" t="s">
        <v>13</v>
      </c>
      <c r="E34" s="4">
        <f>C_Support_Calculations!E57</f>
        <v>0</v>
      </c>
      <c r="F34" s="4">
        <f>C_Support_Calculations!F57</f>
        <v>-406971.19500000001</v>
      </c>
      <c r="G34" s="4">
        <f>C_Support_Calculations!G57</f>
        <v>-862600.84400000004</v>
      </c>
      <c r="H34" s="4">
        <f>C_Support_Calculations!H57</f>
        <v>-1406300.0649999999</v>
      </c>
      <c r="I34" s="4">
        <f>C_Support_Calculations!I57</f>
        <v>-2254233.7850000001</v>
      </c>
      <c r="J34" s="4">
        <f>C_Support_Calculations!J57</f>
        <v>-2737439.1599999997</v>
      </c>
      <c r="K34" s="4">
        <f>C_Support_Calculations!K57</f>
        <v>-3148267.3250000002</v>
      </c>
      <c r="L34" s="4">
        <f>C_Support_Calculations!L57</f>
        <v>-3344670.2350000003</v>
      </c>
      <c r="M34" s="4">
        <f>C_Support_Calculations!M57</f>
        <v>-2958688.0450000004</v>
      </c>
      <c r="N34" s="4">
        <f>C_Support_Calculations!N57</f>
        <v>-1773429.8060000003</v>
      </c>
      <c r="O34" s="4">
        <f>C_Support_Calculations!O57</f>
        <v>-811888.3400000002</v>
      </c>
      <c r="P34" s="4">
        <f>C_Support_Calculations!P57</f>
        <v>0</v>
      </c>
      <c r="R34" s="1" t="b">
        <f>ABS(SUM(D34:P34)-SUM(C_Support_Calculations!E57:P57))&lt;D_Assumptions!D89</f>
        <v>1</v>
      </c>
    </row>
    <row r="35" spans="2:18" x14ac:dyDescent="0.35">
      <c r="B35" t="s">
        <v>142</v>
      </c>
      <c r="C35" t="s">
        <v>13</v>
      </c>
      <c r="E35" s="4">
        <f>C_Support_Calculations!E75-C_Support_Calculations!E72</f>
        <v>0</v>
      </c>
      <c r="F35" s="4">
        <f>C_Support_Calculations!F75-C_Support_Calculations!F72</f>
        <v>-406971.19500000001</v>
      </c>
      <c r="G35" s="4">
        <f>C_Support_Calculations!G75-C_Support_Calculations!G72</f>
        <v>-862600.84400000004</v>
      </c>
      <c r="H35" s="4">
        <f>C_Support_Calculations!H75-C_Support_Calculations!H72</f>
        <v>-1406300.0649999999</v>
      </c>
      <c r="I35" s="4">
        <f>C_Support_Calculations!I75-C_Support_Calculations!I72</f>
        <v>-2254233.7850000001</v>
      </c>
      <c r="J35" s="4">
        <f>C_Support_Calculations!J75-C_Support_Calculations!J72</f>
        <v>-237439.16000000015</v>
      </c>
      <c r="K35" s="4">
        <f>C_Support_Calculations!K75-C_Support_Calculations!K72</f>
        <v>-3148267.3250000002</v>
      </c>
      <c r="L35" s="4">
        <f>C_Support_Calculations!L75-C_Support_Calculations!L72</f>
        <v>-3344670.2350000008</v>
      </c>
      <c r="M35" s="4">
        <f>C_Support_Calculations!M75-C_Support_Calculations!M72</f>
        <v>-2958688.0450000004</v>
      </c>
      <c r="N35" s="4">
        <f>C_Support_Calculations!N75-C_Support_Calculations!N72</f>
        <v>-1773429.8060000003</v>
      </c>
      <c r="O35" s="4">
        <f>C_Support_Calculations!O75-C_Support_Calculations!O72</f>
        <v>-811888.3400000002</v>
      </c>
      <c r="P35" s="4">
        <f>C_Support_Calculations!P75-C_Support_Calculations!P72</f>
        <v>0</v>
      </c>
      <c r="R35" s="1" t="b">
        <f>ABS(SUM(D35:P35)+SUM(C_Support_Calculations!E72:P72)-SUM(C_Support_Calculations!E75:P75))&lt;D_Assumptions!D89</f>
        <v>1</v>
      </c>
    </row>
    <row r="36" spans="2:18" x14ac:dyDescent="0.35">
      <c r="B36" s="45" t="s">
        <v>141</v>
      </c>
      <c r="C36" s="45" t="s">
        <v>13</v>
      </c>
      <c r="D36" s="45"/>
      <c r="E36" s="52">
        <f ca="1">C_Support_Calculations!E103-C_Support_Calculations!E90</f>
        <v>0</v>
      </c>
      <c r="F36" s="52">
        <f ca="1">C_Support_Calculations!F103-C_Support_Calculations!F90</f>
        <v>-3255769.56</v>
      </c>
      <c r="G36" s="52">
        <f ca="1">C_Support_Calculations!G103-C_Support_Calculations!G90</f>
        <v>-3645037.1920000003</v>
      </c>
      <c r="H36" s="52">
        <f ca="1">C_Support_Calculations!H103-C_Support_Calculations!H90</f>
        <v>-4349593.7679999992</v>
      </c>
      <c r="I36" s="52">
        <f ca="1">C_Support_Calculations!I103-C_Support_Calculations!I90</f>
        <v>-6783469.7600000016</v>
      </c>
      <c r="J36" s="52">
        <f ca="1">C_Support_Calculations!J103-C_Support_Calculations!J90</f>
        <v>-3865643</v>
      </c>
      <c r="K36" s="52">
        <f ca="1">C_Support_Calculations!K103-C_Support_Calculations!K90</f>
        <v>-3286625.3200000003</v>
      </c>
      <c r="L36" s="52">
        <f ca="1">C_Support_Calculations!L103-C_Support_Calculations!L90</f>
        <v>-1571223.2800000049</v>
      </c>
      <c r="M36" s="52">
        <f ca="1">C_Support_Calculations!M103-C_Support_Calculations!M90</f>
        <v>3087857.5200000033</v>
      </c>
      <c r="N36" s="52">
        <f ca="1">C_Support_Calculations!N103-C_Support_Calculations!N90</f>
        <v>9482065.9120000005</v>
      </c>
      <c r="O36" s="52">
        <f ca="1">C_Support_Calculations!O103-C_Support_Calculations!O90</f>
        <v>7692331.728000002</v>
      </c>
      <c r="P36" s="52">
        <f ca="1">C_Support_Calculations!P103-C_Support_Calculations!P90</f>
        <v>6495106.7200000007</v>
      </c>
      <c r="R36" s="1" t="b">
        <f ca="1">ABS(SUM(D36:P36)-SUM(C_Support_Calculations!E90:P90)+SUM(C_Support_Calculations!E103:P103))&lt;D_Assumptions!D89</f>
        <v>1</v>
      </c>
    </row>
    <row r="37" spans="2:18" x14ac:dyDescent="0.35">
      <c r="B37" s="28" t="s">
        <v>97</v>
      </c>
      <c r="C37" s="45" t="s">
        <v>13</v>
      </c>
      <c r="D37" s="45"/>
      <c r="E37" s="52">
        <f>E24</f>
        <v>-6369.8630136986303</v>
      </c>
      <c r="F37" s="52">
        <f t="shared" ref="F37:P37" ca="1" si="36">F24</f>
        <v>0</v>
      </c>
      <c r="G37" s="52">
        <f t="shared" ca="1" si="36"/>
        <v>-36182.376409870521</v>
      </c>
      <c r="H37" s="52">
        <f t="shared" ca="1" si="36"/>
        <v>-37459.853253373192</v>
      </c>
      <c r="I37" s="52">
        <f t="shared" ca="1" si="36"/>
        <v>-41283.229190126644</v>
      </c>
      <c r="J37" s="52">
        <f t="shared" ca="1" si="36"/>
        <v>-59687.229196932516</v>
      </c>
      <c r="K37" s="52">
        <f t="shared" ca="1" si="36"/>
        <v>-63557.077625570775</v>
      </c>
      <c r="L37" s="52">
        <f t="shared" ca="1" si="36"/>
        <v>-62990.867579908678</v>
      </c>
      <c r="M37" s="52">
        <f t="shared" ca="1" si="36"/>
        <v>-60410.95890410959</v>
      </c>
      <c r="N37" s="52">
        <f t="shared" ca="1" si="36"/>
        <v>-61858.447488584468</v>
      </c>
      <c r="O37" s="52">
        <f t="shared" ca="1" si="36"/>
        <v>-56518.256366016329</v>
      </c>
      <c r="P37" s="52">
        <f t="shared" ca="1" si="36"/>
        <v>-40916.25455204444</v>
      </c>
    </row>
    <row r="38" spans="2:18" ht="15" thickBot="1" x14ac:dyDescent="0.4">
      <c r="B38" s="51" t="s">
        <v>98</v>
      </c>
      <c r="C38" s="47" t="s">
        <v>13</v>
      </c>
      <c r="D38" s="47"/>
      <c r="E38" s="48">
        <f>E25</f>
        <v>0</v>
      </c>
      <c r="F38" s="48">
        <f t="shared" ref="F38:P38" si="37">F25</f>
        <v>0</v>
      </c>
      <c r="G38" s="48">
        <f t="shared" si="37"/>
        <v>0</v>
      </c>
      <c r="H38" s="48">
        <f t="shared" si="37"/>
        <v>0</v>
      </c>
      <c r="I38" s="48">
        <f t="shared" si="37"/>
        <v>0</v>
      </c>
      <c r="J38" s="48">
        <f t="shared" si="37"/>
        <v>0</v>
      </c>
      <c r="K38" s="48">
        <f t="shared" si="37"/>
        <v>0</v>
      </c>
      <c r="L38" s="48">
        <f t="shared" si="37"/>
        <v>0</v>
      </c>
      <c r="M38" s="48">
        <f t="shared" si="37"/>
        <v>0</v>
      </c>
      <c r="N38" s="48">
        <f t="shared" si="37"/>
        <v>0</v>
      </c>
      <c r="O38" s="48">
        <f t="shared" si="37"/>
        <v>0</v>
      </c>
      <c r="P38" s="48">
        <f t="shared" si="37"/>
        <v>0</v>
      </c>
    </row>
    <row r="39" spans="2:18" ht="15" thickTop="1" x14ac:dyDescent="0.35">
      <c r="B39" s="1" t="s">
        <v>143</v>
      </c>
      <c r="C39" s="1" t="s">
        <v>13</v>
      </c>
      <c r="D39" s="1"/>
      <c r="E39" s="19">
        <f ca="1">SUM(E31:E38)</f>
        <v>6788197.0369863017</v>
      </c>
      <c r="F39" s="19">
        <f t="shared" ref="F39:P39" ca="1" si="38">SUM(F31:F38)</f>
        <v>-1155473.7999999998</v>
      </c>
      <c r="G39" s="19">
        <f t="shared" ca="1" si="38"/>
        <v>-946997.05640987167</v>
      </c>
      <c r="H39" s="19">
        <f t="shared" ca="1" si="38"/>
        <v>-966061.65125337406</v>
      </c>
      <c r="I39" s="19">
        <f t="shared" ca="1" si="38"/>
        <v>-7959485.2591901282</v>
      </c>
      <c r="J39" s="19">
        <f t="shared" ca="1" si="38"/>
        <v>-795162.949196929</v>
      </c>
      <c r="K39" s="19">
        <f t="shared" ca="1" si="38"/>
        <v>-4736650.897625573</v>
      </c>
      <c r="L39" s="19">
        <f t="shared" ca="1" si="38"/>
        <v>-3075984.5175799113</v>
      </c>
      <c r="M39" s="19">
        <f t="shared" ca="1" si="38"/>
        <v>1694358.4710958928</v>
      </c>
      <c r="N39" s="19">
        <f t="shared" ca="1" si="38"/>
        <v>8420856.6525114179</v>
      </c>
      <c r="O39" s="19">
        <f t="shared" ca="1" si="38"/>
        <v>6907207.2916339859</v>
      </c>
      <c r="P39" s="19">
        <f t="shared" ca="1" si="38"/>
        <v>5954190.4654479567</v>
      </c>
    </row>
    <row r="40" spans="2:18" x14ac:dyDescent="0.35">
      <c r="B40" s="1"/>
      <c r="C40" s="1"/>
      <c r="D40" s="1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2:18" x14ac:dyDescent="0.35">
      <c r="B41" s="28" t="s">
        <v>31</v>
      </c>
      <c r="C41" t="s">
        <v>13</v>
      </c>
      <c r="E41" s="4">
        <f>-1*C_Support_Calculations!$C138*C_Support_Calculations!E140</f>
        <v>0</v>
      </c>
      <c r="F41" s="4">
        <f>-1*C_Support_Calculations!$C138*C_Support_Calculations!F140</f>
        <v>-20000000</v>
      </c>
      <c r="G41" s="4">
        <f>-1*C_Support_Calculations!$C138*C_Support_Calculations!G140</f>
        <v>0</v>
      </c>
      <c r="H41" s="4">
        <f>-1*C_Support_Calculations!$C138*C_Support_Calculations!H140</f>
        <v>0</v>
      </c>
      <c r="I41" s="4">
        <f>-1*C_Support_Calculations!$C138*C_Support_Calculations!I140</f>
        <v>0</v>
      </c>
      <c r="J41" s="4">
        <f>-1*C_Support_Calculations!$C138*C_Support_Calculations!J140</f>
        <v>0</v>
      </c>
      <c r="K41" s="4">
        <f>-1*C_Support_Calculations!$C138*C_Support_Calculations!K140</f>
        <v>0</v>
      </c>
      <c r="L41" s="4">
        <f>-1*C_Support_Calculations!$C138*C_Support_Calculations!L140</f>
        <v>0</v>
      </c>
      <c r="M41" s="4">
        <f>-1*C_Support_Calculations!$C138*C_Support_Calculations!M140</f>
        <v>0</v>
      </c>
      <c r="N41" s="4">
        <f>-1*C_Support_Calculations!$C138*C_Support_Calculations!N140</f>
        <v>0</v>
      </c>
      <c r="O41" s="4">
        <f>-1*C_Support_Calculations!$C138*C_Support_Calculations!O140</f>
        <v>0</v>
      </c>
      <c r="P41" s="4">
        <f>-1*C_Support_Calculations!$C138*C_Support_Calculations!P140</f>
        <v>0</v>
      </c>
      <c r="R41" s="1" t="b">
        <f>ABS(SUM(D41:P41)+C_Support_Calculations!C138)&lt;D_Assumptions!D89</f>
        <v>1</v>
      </c>
    </row>
    <row r="42" spans="2:18" ht="15" thickBot="1" x14ac:dyDescent="0.4">
      <c r="B42" s="51" t="s">
        <v>144</v>
      </c>
      <c r="C42" s="47" t="s">
        <v>13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</row>
    <row r="43" spans="2:18" ht="15" thickTop="1" x14ac:dyDescent="0.35">
      <c r="B43" s="24" t="s">
        <v>145</v>
      </c>
      <c r="C43" s="1" t="s">
        <v>13</v>
      </c>
      <c r="D43" s="1"/>
      <c r="E43" s="19">
        <f>SUM(E41:E42)</f>
        <v>0</v>
      </c>
      <c r="F43" s="19">
        <f t="shared" ref="F43:P43" si="39">SUM(F41:F42)</f>
        <v>-20000000</v>
      </c>
      <c r="G43" s="19">
        <f t="shared" si="39"/>
        <v>0</v>
      </c>
      <c r="H43" s="19">
        <f t="shared" si="39"/>
        <v>0</v>
      </c>
      <c r="I43" s="19">
        <f t="shared" si="39"/>
        <v>0</v>
      </c>
      <c r="J43" s="19">
        <f t="shared" si="39"/>
        <v>0</v>
      </c>
      <c r="K43" s="19">
        <f t="shared" si="39"/>
        <v>0</v>
      </c>
      <c r="L43" s="19">
        <f t="shared" si="39"/>
        <v>0</v>
      </c>
      <c r="M43" s="19">
        <f t="shared" si="39"/>
        <v>0</v>
      </c>
      <c r="N43" s="19">
        <f t="shared" si="39"/>
        <v>0</v>
      </c>
      <c r="O43" s="19">
        <f t="shared" si="39"/>
        <v>0</v>
      </c>
      <c r="P43" s="19">
        <f t="shared" si="39"/>
        <v>0</v>
      </c>
    </row>
    <row r="45" spans="2:18" x14ac:dyDescent="0.35">
      <c r="B45" s="1" t="s">
        <v>146</v>
      </c>
      <c r="C45" s="1" t="s">
        <v>13</v>
      </c>
      <c r="D45" s="1"/>
      <c r="E45" s="19">
        <f ca="1">E39+E43</f>
        <v>6788197.0369863017</v>
      </c>
      <c r="F45" s="19">
        <f t="shared" ref="F45:P45" ca="1" si="40">F39+F43</f>
        <v>-21155473.800000001</v>
      </c>
      <c r="G45" s="19">
        <f t="shared" ca="1" si="40"/>
        <v>-946997.05640987167</v>
      </c>
      <c r="H45" s="19">
        <f t="shared" ca="1" si="40"/>
        <v>-966061.65125337406</v>
      </c>
      <c r="I45" s="19">
        <f t="shared" ca="1" si="40"/>
        <v>-7959485.2591901282</v>
      </c>
      <c r="J45" s="19">
        <f t="shared" ca="1" si="40"/>
        <v>-795162.949196929</v>
      </c>
      <c r="K45" s="19">
        <f t="shared" ca="1" si="40"/>
        <v>-4736650.897625573</v>
      </c>
      <c r="L45" s="19">
        <f t="shared" ca="1" si="40"/>
        <v>-3075984.5175799113</v>
      </c>
      <c r="M45" s="19">
        <f t="shared" ca="1" si="40"/>
        <v>1694358.4710958928</v>
      </c>
      <c r="N45" s="19">
        <f t="shared" ca="1" si="40"/>
        <v>8420856.6525114179</v>
      </c>
      <c r="O45" s="19">
        <f t="shared" ca="1" si="40"/>
        <v>6907207.2916339859</v>
      </c>
      <c r="P45" s="19">
        <f t="shared" ca="1" si="40"/>
        <v>5954190.4654479567</v>
      </c>
    </row>
    <row r="47" spans="2:18" x14ac:dyDescent="0.35">
      <c r="B47" s="29" t="s">
        <v>155</v>
      </c>
      <c r="C47" t="s">
        <v>13</v>
      </c>
      <c r="E47" s="4">
        <f>C_Support_Calculations!$C150*C_Support_Calculations!E140</f>
        <v>0</v>
      </c>
      <c r="F47" s="4">
        <f>C_Support_Calculations!$C150*C_Support_Calculations!F140</f>
        <v>16000000</v>
      </c>
      <c r="G47" s="4">
        <f>C_Support_Calculations!$C150*C_Support_Calculations!G140</f>
        <v>0</v>
      </c>
      <c r="H47" s="4">
        <f>C_Support_Calculations!$C150*C_Support_Calculations!H140</f>
        <v>0</v>
      </c>
      <c r="I47" s="4">
        <f>C_Support_Calculations!$C150*C_Support_Calculations!I140</f>
        <v>0</v>
      </c>
      <c r="J47" s="4">
        <f>C_Support_Calculations!$C150*C_Support_Calculations!J140</f>
        <v>0</v>
      </c>
      <c r="K47" s="4">
        <f>C_Support_Calculations!$C150*C_Support_Calculations!K140</f>
        <v>0</v>
      </c>
      <c r="L47" s="4">
        <f>C_Support_Calculations!$C150*C_Support_Calculations!L140</f>
        <v>0</v>
      </c>
      <c r="M47" s="4">
        <f>C_Support_Calculations!$C150*C_Support_Calculations!M140</f>
        <v>0</v>
      </c>
      <c r="N47" s="4">
        <f>C_Support_Calculations!$C150*C_Support_Calculations!N140</f>
        <v>0</v>
      </c>
      <c r="O47" s="4">
        <f>C_Support_Calculations!$C150*C_Support_Calculations!O140</f>
        <v>0</v>
      </c>
      <c r="P47" s="4">
        <f>C_Support_Calculations!$C150*C_Support_Calculations!P140</f>
        <v>0</v>
      </c>
      <c r="R47" s="1" t="b">
        <f>ABS(SUM(D47:P47)-C_Support_Calculations!C150)&lt;D_Assumptions!D89</f>
        <v>1</v>
      </c>
    </row>
    <row r="48" spans="2:18" x14ac:dyDescent="0.35">
      <c r="B48" s="29" t="s">
        <v>156</v>
      </c>
      <c r="C48" t="s">
        <v>13</v>
      </c>
      <c r="E48" s="4">
        <f ca="1">C_Support_Calculations!E216</f>
        <v>0</v>
      </c>
      <c r="F48" s="4">
        <f ca="1">C_Support_Calculations!F216</f>
        <v>867276.76301369909</v>
      </c>
      <c r="G48" s="4">
        <f ca="1">C_Support_Calculations!G216</f>
        <v>1213663.7230765384</v>
      </c>
      <c r="H48" s="4">
        <f ca="1">C_Support_Calculations!H216</f>
        <v>1232728.3179200408</v>
      </c>
      <c r="I48" s="4">
        <f ca="1">C_Support_Calculations!I216</f>
        <v>8226151.9258567952</v>
      </c>
      <c r="J48" s="4">
        <f ca="1">C_Support_Calculations!J216</f>
        <v>960179.27013292536</v>
      </c>
      <c r="K48" s="4">
        <f ca="1">C_Support_Calculations!K216</f>
        <v>0</v>
      </c>
      <c r="L48" s="4">
        <f ca="1">C_Support_Calculations!L216</f>
        <v>0</v>
      </c>
      <c r="M48" s="4">
        <f ca="1">C_Support_Calculations!M216</f>
        <v>0</v>
      </c>
      <c r="N48" s="4">
        <f ca="1">C_Support_Calculations!N216</f>
        <v>0</v>
      </c>
      <c r="O48" s="4">
        <f ca="1">C_Support_Calculations!O216</f>
        <v>0</v>
      </c>
      <c r="P48" s="4">
        <f ca="1">C_Support_Calculations!P216</f>
        <v>0</v>
      </c>
      <c r="R48" s="1" t="b">
        <f ca="1">ABS(SUM(D48:P48)-SUM(C_Support_Calculations!E161:P161))&lt;D_Assumptions!D89</f>
        <v>1</v>
      </c>
    </row>
    <row r="49" spans="2:18" x14ac:dyDescent="0.35">
      <c r="B49" t="s">
        <v>147</v>
      </c>
      <c r="C49" t="s">
        <v>13</v>
      </c>
      <c r="E49" s="4">
        <f>-1*C_Support_Calculations!E152</f>
        <v>0</v>
      </c>
      <c r="F49" s="4">
        <f>-1*C_Support_Calculations!F152</f>
        <v>0</v>
      </c>
      <c r="G49" s="4">
        <f>-1*C_Support_Calculations!G152</f>
        <v>-266666.66666666669</v>
      </c>
      <c r="H49" s="4">
        <f>-1*C_Support_Calculations!H152</f>
        <v>-266666.66666666669</v>
      </c>
      <c r="I49" s="4">
        <f>-1*C_Support_Calculations!I152</f>
        <v>-266666.66666666669</v>
      </c>
      <c r="J49" s="4">
        <f>-1*C_Support_Calculations!J152</f>
        <v>-266666.66666666669</v>
      </c>
      <c r="K49" s="4">
        <f>-1*C_Support_Calculations!K152</f>
        <v>-266666.66666666669</v>
      </c>
      <c r="L49" s="4">
        <f>-1*C_Support_Calculations!L152</f>
        <v>-266666.66666666669</v>
      </c>
      <c r="M49" s="4">
        <f>-1*C_Support_Calculations!M152</f>
        <v>-266666.66666666669</v>
      </c>
      <c r="N49" s="4">
        <f>-1*C_Support_Calculations!N152</f>
        <v>-266666.66666666669</v>
      </c>
      <c r="O49" s="4">
        <f>-1*C_Support_Calculations!O152</f>
        <v>-266666.66666666669</v>
      </c>
      <c r="P49" s="4">
        <f>-1*C_Support_Calculations!P152</f>
        <v>-266666.66666666669</v>
      </c>
      <c r="R49" s="1" t="b">
        <f>ABS(SUM(D49:P49)+SUM(C_Support_Calculations!E152:P152))&lt;D_Assumptions!D89</f>
        <v>1</v>
      </c>
    </row>
    <row r="50" spans="2:18" x14ac:dyDescent="0.35">
      <c r="B50" s="29" t="s">
        <v>180</v>
      </c>
      <c r="C50" t="s">
        <v>13</v>
      </c>
      <c r="E50" s="4">
        <f ca="1">C_Support_Calculations!E217</f>
        <v>-2500000</v>
      </c>
      <c r="F50" s="4">
        <f ca="1">C_Support_Calculations!F217</f>
        <v>0</v>
      </c>
      <c r="G50" s="4">
        <f ca="1">C_Support_Calculations!G217</f>
        <v>0</v>
      </c>
      <c r="H50" s="4">
        <f ca="1">C_Support_Calculations!H217</f>
        <v>0</v>
      </c>
      <c r="I50" s="4">
        <f ca="1">C_Support_Calculations!I217</f>
        <v>0</v>
      </c>
      <c r="J50" s="4">
        <f ca="1">C_Support_Calculations!J217</f>
        <v>0</v>
      </c>
      <c r="K50" s="4">
        <f ca="1">C_Support_Calculations!K217</f>
        <v>0</v>
      </c>
      <c r="L50" s="4">
        <f ca="1">C_Support_Calculations!L217</f>
        <v>0</v>
      </c>
      <c r="M50" s="4">
        <f ca="1">C_Support_Calculations!M217</f>
        <v>0</v>
      </c>
      <c r="N50" s="4">
        <f ca="1">C_Support_Calculations!N217</f>
        <v>-1134262.6960044885</v>
      </c>
      <c r="O50" s="4">
        <f ca="1">C_Support_Calculations!O217</f>
        <v>-6640540.624967319</v>
      </c>
      <c r="P50" s="4">
        <f ca="1">C_Support_Calculations!P217</f>
        <v>-4725196.6790281935</v>
      </c>
      <c r="R50" s="1" t="b">
        <f ca="1">ABS(SUM(D50:P50)-SUM(C_Support_Calculations!E217:P217))&lt;D_Assumptions!D89</f>
        <v>1</v>
      </c>
    </row>
    <row r="51" spans="2:18" x14ac:dyDescent="0.35">
      <c r="B51" t="s">
        <v>148</v>
      </c>
      <c r="C51" t="s">
        <v>13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2:18" ht="15" thickBot="1" x14ac:dyDescent="0.4">
      <c r="B52" s="47" t="s">
        <v>149</v>
      </c>
      <c r="C52" s="47" t="s">
        <v>13</v>
      </c>
      <c r="D52" s="47"/>
      <c r="E52" s="48">
        <f>D_Assumptions!E22</f>
        <v>0</v>
      </c>
      <c r="F52" s="48">
        <f>D_Assumptions!F22</f>
        <v>0</v>
      </c>
      <c r="G52" s="48">
        <f>D_Assumptions!G22</f>
        <v>0</v>
      </c>
      <c r="H52" s="48">
        <f>D_Assumptions!H22</f>
        <v>0</v>
      </c>
      <c r="I52" s="48">
        <f>D_Assumptions!I22</f>
        <v>0</v>
      </c>
      <c r="J52" s="48">
        <f>D_Assumptions!J22</f>
        <v>0</v>
      </c>
      <c r="K52" s="48">
        <f>D_Assumptions!K22</f>
        <v>0</v>
      </c>
      <c r="L52" s="48">
        <f>D_Assumptions!L22</f>
        <v>0</v>
      </c>
      <c r="M52" s="48">
        <f>D_Assumptions!M22</f>
        <v>0</v>
      </c>
      <c r="N52" s="48">
        <f>D_Assumptions!N22</f>
        <v>0</v>
      </c>
      <c r="O52" s="48">
        <f>D_Assumptions!O22</f>
        <v>0</v>
      </c>
      <c r="P52" s="48">
        <f>D_Assumptions!P22</f>
        <v>0</v>
      </c>
    </row>
    <row r="53" spans="2:18" ht="15" thickTop="1" x14ac:dyDescent="0.35">
      <c r="B53" s="1" t="s">
        <v>150</v>
      </c>
      <c r="C53" s="1" t="s">
        <v>13</v>
      </c>
      <c r="D53" s="1"/>
      <c r="E53" s="19">
        <f ca="1">SUM(E47:E52)</f>
        <v>-2500000</v>
      </c>
      <c r="F53" s="19">
        <f t="shared" ref="F53:P53" ca="1" si="41">SUM(F47:F52)</f>
        <v>16867276.763013698</v>
      </c>
      <c r="G53" s="19">
        <f t="shared" ca="1" si="41"/>
        <v>946997.05640987167</v>
      </c>
      <c r="H53" s="19">
        <f t="shared" ca="1" si="41"/>
        <v>966061.65125337406</v>
      </c>
      <c r="I53" s="19">
        <f t="shared" ca="1" si="41"/>
        <v>7959485.2591901282</v>
      </c>
      <c r="J53" s="19">
        <f t="shared" ca="1" si="41"/>
        <v>693512.60346625862</v>
      </c>
      <c r="K53" s="19">
        <f t="shared" ca="1" si="41"/>
        <v>-266666.66666666669</v>
      </c>
      <c r="L53" s="19">
        <f t="shared" ca="1" si="41"/>
        <v>-266666.66666666669</v>
      </c>
      <c r="M53" s="19">
        <f t="shared" ca="1" si="41"/>
        <v>-266666.66666666669</v>
      </c>
      <c r="N53" s="19">
        <f t="shared" ca="1" si="41"/>
        <v>-1400929.3626711552</v>
      </c>
      <c r="O53" s="19">
        <f t="shared" ca="1" si="41"/>
        <v>-6907207.2916339859</v>
      </c>
      <c r="P53" s="19">
        <f t="shared" ca="1" si="41"/>
        <v>-4991863.3456948604</v>
      </c>
    </row>
    <row r="55" spans="2:18" x14ac:dyDescent="0.35">
      <c r="B55" s="1" t="s">
        <v>157</v>
      </c>
      <c r="C55" s="1" t="s">
        <v>13</v>
      </c>
      <c r="D55" s="1"/>
      <c r="E55" s="19">
        <f ca="1">E45+E53</f>
        <v>4288197.0369863017</v>
      </c>
      <c r="F55" s="19">
        <f t="shared" ref="F55:P55" ca="1" si="42">F45+F53</f>
        <v>-4288197.0369863026</v>
      </c>
      <c r="G55" s="19">
        <f t="shared" ca="1" si="42"/>
        <v>0</v>
      </c>
      <c r="H55" s="19">
        <f t="shared" ca="1" si="42"/>
        <v>0</v>
      </c>
      <c r="I55" s="19">
        <f t="shared" ca="1" si="42"/>
        <v>0</v>
      </c>
      <c r="J55" s="19">
        <f t="shared" ca="1" si="42"/>
        <v>-101650.34573067038</v>
      </c>
      <c r="K55" s="19">
        <f t="shared" ca="1" si="42"/>
        <v>-5003317.56429224</v>
      </c>
      <c r="L55" s="19">
        <f t="shared" ca="1" si="42"/>
        <v>-3342651.1842465778</v>
      </c>
      <c r="M55" s="19">
        <f t="shared" ca="1" si="42"/>
        <v>1427691.8044292261</v>
      </c>
      <c r="N55" s="19">
        <f t="shared" ca="1" si="42"/>
        <v>7019927.2898402624</v>
      </c>
      <c r="O55" s="19">
        <f t="shared" ca="1" si="42"/>
        <v>0</v>
      </c>
      <c r="P55" s="19">
        <f t="shared" ca="1" si="42"/>
        <v>962327.11975309625</v>
      </c>
    </row>
    <row r="57" spans="2:18" x14ac:dyDescent="0.35">
      <c r="B57" s="40" t="s">
        <v>158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</row>
    <row r="59" spans="2:18" x14ac:dyDescent="0.35">
      <c r="B59" s="14" t="s">
        <v>159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1" spans="2:18" x14ac:dyDescent="0.35">
      <c r="B61" s="45" t="s">
        <v>64</v>
      </c>
      <c r="C61" s="45" t="s">
        <v>13</v>
      </c>
      <c r="D61" s="52"/>
      <c r="E61" s="52">
        <f>C_Support_Calculations!E169</f>
        <v>3500000</v>
      </c>
      <c r="F61" s="52">
        <f>C_Support_Calculations!F169</f>
        <v>23400000</v>
      </c>
      <c r="G61" s="52">
        <f>C_Support_Calculations!G169</f>
        <v>22966666.666666668</v>
      </c>
      <c r="H61" s="52">
        <f>C_Support_Calculations!H169</f>
        <v>22533333.333333336</v>
      </c>
      <c r="I61" s="52">
        <f>C_Support_Calculations!I169</f>
        <v>22100000.000000004</v>
      </c>
      <c r="J61" s="52">
        <f>C_Support_Calculations!J169</f>
        <v>21666666.666666672</v>
      </c>
      <c r="K61" s="52">
        <f>C_Support_Calculations!K169</f>
        <v>21233333.33333334</v>
      </c>
      <c r="L61" s="52">
        <f>C_Support_Calculations!L169</f>
        <v>20800000.000000007</v>
      </c>
      <c r="M61" s="52">
        <f>C_Support_Calculations!M169</f>
        <v>20366666.666666675</v>
      </c>
      <c r="N61" s="52">
        <f>C_Support_Calculations!N169</f>
        <v>19933333.333333343</v>
      </c>
      <c r="O61" s="52">
        <f>C_Support_Calculations!O169</f>
        <v>19500000.000000011</v>
      </c>
      <c r="P61" s="52">
        <f>C_Support_Calculations!P169</f>
        <v>19066666.666666679</v>
      </c>
    </row>
    <row r="62" spans="2:18" ht="15" thickBot="1" x14ac:dyDescent="0.4">
      <c r="B62" s="51" t="s">
        <v>160</v>
      </c>
      <c r="C62" s="47" t="s">
        <v>13</v>
      </c>
      <c r="D62" s="48"/>
      <c r="E62" s="48">
        <f>C_Support_Calculations!E173</f>
        <v>0</v>
      </c>
      <c r="F62" s="48">
        <f>C_Support_Calculations!F173</f>
        <v>0</v>
      </c>
      <c r="G62" s="48">
        <f>C_Support_Calculations!G173</f>
        <v>0</v>
      </c>
      <c r="H62" s="48">
        <f>C_Support_Calculations!H173</f>
        <v>0</v>
      </c>
      <c r="I62" s="48">
        <f>C_Support_Calculations!I173</f>
        <v>0</v>
      </c>
      <c r="J62" s="48">
        <f>C_Support_Calculations!J173</f>
        <v>0</v>
      </c>
      <c r="K62" s="48">
        <f>C_Support_Calculations!K173</f>
        <v>0</v>
      </c>
      <c r="L62" s="48">
        <f>C_Support_Calculations!L173</f>
        <v>0</v>
      </c>
      <c r="M62" s="48">
        <f>C_Support_Calculations!M173</f>
        <v>0</v>
      </c>
      <c r="N62" s="48">
        <f>C_Support_Calculations!N173</f>
        <v>0</v>
      </c>
      <c r="O62" s="48">
        <f>C_Support_Calculations!O173</f>
        <v>0</v>
      </c>
      <c r="P62" s="48">
        <f>C_Support_Calculations!P173</f>
        <v>0</v>
      </c>
    </row>
    <row r="63" spans="2:18" ht="15" thickTop="1" x14ac:dyDescent="0.35">
      <c r="B63" s="24" t="s">
        <v>68</v>
      </c>
      <c r="C63" s="44" t="s">
        <v>13</v>
      </c>
      <c r="D63" s="53"/>
      <c r="E63" s="53">
        <f>SUM(E61:E62)</f>
        <v>3500000</v>
      </c>
      <c r="F63" s="53">
        <f t="shared" ref="F63:P63" si="43">SUM(F61:F62)</f>
        <v>23400000</v>
      </c>
      <c r="G63" s="53">
        <f t="shared" si="43"/>
        <v>22966666.666666668</v>
      </c>
      <c r="H63" s="53">
        <f t="shared" si="43"/>
        <v>22533333.333333336</v>
      </c>
      <c r="I63" s="53">
        <f t="shared" si="43"/>
        <v>22100000.000000004</v>
      </c>
      <c r="J63" s="53">
        <f t="shared" si="43"/>
        <v>21666666.666666672</v>
      </c>
      <c r="K63" s="53">
        <f t="shared" si="43"/>
        <v>21233333.33333334</v>
      </c>
      <c r="L63" s="53">
        <f t="shared" si="43"/>
        <v>20800000.000000007</v>
      </c>
      <c r="M63" s="53">
        <f t="shared" si="43"/>
        <v>20366666.666666675</v>
      </c>
      <c r="N63" s="53">
        <f t="shared" si="43"/>
        <v>19933333.333333343</v>
      </c>
      <c r="O63" s="53">
        <f t="shared" si="43"/>
        <v>19500000.000000011</v>
      </c>
      <c r="P63" s="53">
        <f t="shared" si="43"/>
        <v>19066666.666666679</v>
      </c>
    </row>
    <row r="64" spans="2:18" x14ac:dyDescent="0.35">
      <c r="B64" s="45"/>
      <c r="C64" s="45"/>
      <c r="D64" s="45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  <row r="65" spans="2:16" x14ac:dyDescent="0.35">
      <c r="B65" s="56" t="s">
        <v>66</v>
      </c>
      <c r="C65" s="56" t="s">
        <v>13</v>
      </c>
      <c r="D65" s="53"/>
      <c r="E65" s="58">
        <f>C_Support_Calculations!E178</f>
        <v>0</v>
      </c>
      <c r="F65" s="58">
        <f>C_Support_Calculations!F178</f>
        <v>0</v>
      </c>
      <c r="G65" s="58">
        <f>C_Support_Calculations!G178</f>
        <v>0</v>
      </c>
      <c r="H65" s="58">
        <f>C_Support_Calculations!H178</f>
        <v>0</v>
      </c>
      <c r="I65" s="58">
        <f>C_Support_Calculations!I178</f>
        <v>0</v>
      </c>
      <c r="J65" s="58">
        <f>C_Support_Calculations!J178</f>
        <v>0</v>
      </c>
      <c r="K65" s="58">
        <f>C_Support_Calculations!K178</f>
        <v>0</v>
      </c>
      <c r="L65" s="58">
        <f>C_Support_Calculations!L178</f>
        <v>0</v>
      </c>
      <c r="M65" s="58">
        <f>C_Support_Calculations!M178</f>
        <v>0</v>
      </c>
      <c r="N65" s="58">
        <f>C_Support_Calculations!N178</f>
        <v>0</v>
      </c>
      <c r="O65" s="58">
        <f>C_Support_Calculations!O178</f>
        <v>0</v>
      </c>
      <c r="P65" s="58">
        <f>C_Support_Calculations!P178</f>
        <v>0</v>
      </c>
    </row>
    <row r="66" spans="2:16" x14ac:dyDescent="0.35">
      <c r="B66" s="43" t="s">
        <v>67</v>
      </c>
      <c r="C66" s="45" t="s">
        <v>13</v>
      </c>
      <c r="D66" s="45"/>
      <c r="E66" s="52">
        <f ca="1">C_Support_Calculations!E183</f>
        <v>0</v>
      </c>
      <c r="F66" s="52">
        <f ca="1">C_Support_Calculations!F183</f>
        <v>3255769.56</v>
      </c>
      <c r="G66" s="52">
        <f ca="1">C_Support_Calculations!G183</f>
        <v>6900806.7520000003</v>
      </c>
      <c r="H66" s="52">
        <f ca="1">C_Support_Calculations!H183</f>
        <v>11250400.52</v>
      </c>
      <c r="I66" s="52">
        <f ca="1">C_Support_Calculations!I183</f>
        <v>18033870.280000001</v>
      </c>
      <c r="J66" s="52">
        <f ca="1">C_Support_Calculations!J183</f>
        <v>21899513.280000001</v>
      </c>
      <c r="K66" s="52">
        <f ca="1">C_Support_Calculations!K183</f>
        <v>25186138.600000001</v>
      </c>
      <c r="L66" s="52">
        <f ca="1">C_Support_Calculations!L183</f>
        <v>26757361.880000003</v>
      </c>
      <c r="M66" s="52">
        <f ca="1">C_Support_Calculations!M183</f>
        <v>23669504.360000003</v>
      </c>
      <c r="N66" s="52">
        <f ca="1">C_Support_Calculations!N183</f>
        <v>14187438.448000003</v>
      </c>
      <c r="O66" s="52">
        <f ca="1">C_Support_Calculations!O183</f>
        <v>6495106.7200000025</v>
      </c>
      <c r="P66" s="52">
        <f ca="1">C_Support_Calculations!P183</f>
        <v>0</v>
      </c>
    </row>
    <row r="67" spans="2:16" x14ac:dyDescent="0.35">
      <c r="B67" s="43" t="s">
        <v>8</v>
      </c>
      <c r="C67" s="45" t="s">
        <v>13</v>
      </c>
      <c r="D67" s="45"/>
      <c r="E67" s="52">
        <f>C_Support_Calculations!E187</f>
        <v>5000000</v>
      </c>
      <c r="F67" s="52">
        <f>C_Support_Calculations!F187</f>
        <v>5406971.1950000003</v>
      </c>
      <c r="G67" s="52">
        <f>C_Support_Calculations!G187</f>
        <v>6269572.0390000008</v>
      </c>
      <c r="H67" s="52">
        <f>C_Support_Calculations!H187</f>
        <v>7675872.1040000003</v>
      </c>
      <c r="I67" s="52">
        <f>C_Support_Calculations!I187</f>
        <v>9930105.8890000004</v>
      </c>
      <c r="J67" s="52">
        <f>C_Support_Calculations!J187</f>
        <v>10167545.049000001</v>
      </c>
      <c r="K67" s="52">
        <f>C_Support_Calculations!K187</f>
        <v>13315812.374000002</v>
      </c>
      <c r="L67" s="52">
        <f>C_Support_Calculations!L187</f>
        <v>16660482.609000003</v>
      </c>
      <c r="M67" s="52">
        <f>C_Support_Calculations!M187</f>
        <v>19619170.654000003</v>
      </c>
      <c r="N67" s="52">
        <f>C_Support_Calculations!N187</f>
        <v>21392600.460000005</v>
      </c>
      <c r="O67" s="52">
        <f>C_Support_Calculations!O187</f>
        <v>22204488.800000004</v>
      </c>
      <c r="P67" s="52">
        <f>C_Support_Calculations!P187</f>
        <v>22204488.800000004</v>
      </c>
    </row>
    <row r="68" spans="2:16" ht="15" thickBot="1" x14ac:dyDescent="0.4">
      <c r="B68" s="57" t="s">
        <v>63</v>
      </c>
      <c r="C68" s="47" t="s">
        <v>13</v>
      </c>
      <c r="D68" s="47"/>
      <c r="E68" s="48">
        <f ca="1">C_Support_Calculations!E193</f>
        <v>4288197.0369863017</v>
      </c>
      <c r="F68" s="48">
        <f ca="1">C_Support_Calculations!F193</f>
        <v>0</v>
      </c>
      <c r="G68" s="48">
        <f ca="1">C_Support_Calculations!G193</f>
        <v>0</v>
      </c>
      <c r="H68" s="48">
        <f ca="1">C_Support_Calculations!H193</f>
        <v>0</v>
      </c>
      <c r="I68" s="48">
        <f ca="1">C_Support_Calculations!I193</f>
        <v>0</v>
      </c>
      <c r="J68" s="48">
        <f ca="1">C_Support_Calculations!J193</f>
        <v>-101650.34573067026</v>
      </c>
      <c r="K68" s="48">
        <f ca="1">C_Support_Calculations!K193</f>
        <v>-5104967.9100229107</v>
      </c>
      <c r="L68" s="48">
        <f ca="1">C_Support_Calculations!L193</f>
        <v>-8447619.094269488</v>
      </c>
      <c r="M68" s="48">
        <f ca="1">C_Support_Calculations!M193</f>
        <v>-7019927.2898402624</v>
      </c>
      <c r="N68" s="48">
        <f ca="1">C_Support_Calculations!N193</f>
        <v>0</v>
      </c>
      <c r="O68" s="48">
        <f ca="1">C_Support_Calculations!O193</f>
        <v>0</v>
      </c>
      <c r="P68" s="48">
        <f ca="1">C_Support_Calculations!P193</f>
        <v>962327.11975309625</v>
      </c>
    </row>
    <row r="69" spans="2:16" ht="15" thickTop="1" x14ac:dyDescent="0.35">
      <c r="B69" s="24" t="s">
        <v>207</v>
      </c>
      <c r="C69" s="1" t="s">
        <v>13</v>
      </c>
      <c r="E69" s="19">
        <f ca="1">SUM(E65:E68)</f>
        <v>9288197.0369863026</v>
      </c>
      <c r="F69" s="19">
        <f t="shared" ref="F69:P69" ca="1" si="44">SUM(F65:F68)</f>
        <v>8662740.7550000008</v>
      </c>
      <c r="G69" s="19">
        <f t="shared" ca="1" si="44"/>
        <v>13170378.791000001</v>
      </c>
      <c r="H69" s="19">
        <f t="shared" ca="1" si="44"/>
        <v>18926272.623999998</v>
      </c>
      <c r="I69" s="19">
        <f t="shared" ca="1" si="44"/>
        <v>27963976.169</v>
      </c>
      <c r="J69" s="19">
        <f t="shared" ca="1" si="44"/>
        <v>31965407.983269334</v>
      </c>
      <c r="K69" s="19">
        <f t="shared" ca="1" si="44"/>
        <v>33396983.063977096</v>
      </c>
      <c r="L69" s="19">
        <f t="shared" ca="1" si="44"/>
        <v>34970225.394730523</v>
      </c>
      <c r="M69" s="19">
        <f t="shared" ca="1" si="44"/>
        <v>36268747.724159747</v>
      </c>
      <c r="N69" s="19">
        <f t="shared" ca="1" si="44"/>
        <v>35580038.908000007</v>
      </c>
      <c r="O69" s="19">
        <f t="shared" ca="1" si="44"/>
        <v>28699595.520000007</v>
      </c>
      <c r="P69" s="19">
        <f t="shared" ca="1" si="44"/>
        <v>23166815.919753101</v>
      </c>
    </row>
    <row r="71" spans="2:16" x14ac:dyDescent="0.35">
      <c r="B71" s="1" t="s">
        <v>208</v>
      </c>
      <c r="C71" s="1" t="s">
        <v>13</v>
      </c>
      <c r="D71" s="1"/>
      <c r="E71" s="19">
        <f ca="1">E63+E69</f>
        <v>12788197.036986303</v>
      </c>
      <c r="F71" s="19">
        <f t="shared" ref="F71:P71" ca="1" si="45">F63+F69</f>
        <v>32062740.755000003</v>
      </c>
      <c r="G71" s="19">
        <f t="shared" ca="1" si="45"/>
        <v>36137045.457666665</v>
      </c>
      <c r="H71" s="19">
        <f t="shared" ca="1" si="45"/>
        <v>41459605.957333334</v>
      </c>
      <c r="I71" s="19">
        <f t="shared" ca="1" si="45"/>
        <v>50063976.169</v>
      </c>
      <c r="J71" s="19">
        <f t="shared" ca="1" si="45"/>
        <v>53632074.649936005</v>
      </c>
      <c r="K71" s="19">
        <f t="shared" ca="1" si="45"/>
        <v>54630316.397310436</v>
      </c>
      <c r="L71" s="19">
        <f t="shared" ca="1" si="45"/>
        <v>55770225.394730531</v>
      </c>
      <c r="M71" s="19">
        <f t="shared" ca="1" si="45"/>
        <v>56635414.390826419</v>
      </c>
      <c r="N71" s="19">
        <f t="shared" ca="1" si="45"/>
        <v>55513372.241333351</v>
      </c>
      <c r="O71" s="19">
        <f t="shared" ca="1" si="45"/>
        <v>48199595.520000018</v>
      </c>
      <c r="P71" s="19">
        <f t="shared" ca="1" si="45"/>
        <v>42233482.586419776</v>
      </c>
    </row>
    <row r="74" spans="2:16" x14ac:dyDescent="0.35">
      <c r="B74" s="14" t="s">
        <v>209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6" spans="2:16" x14ac:dyDescent="0.35">
      <c r="B76" t="s">
        <v>71</v>
      </c>
      <c r="C76" s="45" t="s">
        <v>13</v>
      </c>
      <c r="E76" s="4">
        <f>C_Support_Calculations!E200</f>
        <v>1000000</v>
      </c>
      <c r="F76" s="4">
        <f>C_Support_Calculations!F200</f>
        <v>1000000</v>
      </c>
      <c r="G76" s="4">
        <f>C_Support_Calculations!G200</f>
        <v>1000000</v>
      </c>
      <c r="H76" s="4">
        <f>C_Support_Calculations!H200</f>
        <v>1000000</v>
      </c>
      <c r="I76" s="4">
        <f>C_Support_Calculations!I200</f>
        <v>1000000</v>
      </c>
      <c r="J76" s="4">
        <f>C_Support_Calculations!J200</f>
        <v>1000000</v>
      </c>
      <c r="K76" s="4">
        <f>C_Support_Calculations!K200</f>
        <v>1000000</v>
      </c>
      <c r="L76" s="4">
        <f>C_Support_Calculations!L200</f>
        <v>1000000</v>
      </c>
      <c r="M76" s="4">
        <f>C_Support_Calculations!M200</f>
        <v>1000000</v>
      </c>
      <c r="N76" s="4">
        <f>C_Support_Calculations!N200</f>
        <v>1000000</v>
      </c>
      <c r="O76" s="4">
        <f>C_Support_Calculations!O200</f>
        <v>1000000</v>
      </c>
      <c r="P76" s="4">
        <f>C_Support_Calculations!P200</f>
        <v>1000000</v>
      </c>
    </row>
    <row r="77" spans="2:16" ht="15" thickBot="1" x14ac:dyDescent="0.4">
      <c r="B77" s="47" t="s">
        <v>72</v>
      </c>
      <c r="C77" s="47" t="s">
        <v>13</v>
      </c>
      <c r="D77" s="47"/>
      <c r="E77" s="48">
        <f>C_Support_Calculations!E204</f>
        <v>4493630.1369863013</v>
      </c>
      <c r="F77" s="48">
        <f ca="1">C_Support_Calculations!F204</f>
        <v>4592980.2869863007</v>
      </c>
      <c r="G77" s="48">
        <f ca="1">C_Support_Calculations!G204</f>
        <v>5105780.877243096</v>
      </c>
      <c r="H77" s="48">
        <f ca="1">C_Support_Calculations!H204</f>
        <v>6551611.1906563882</v>
      </c>
      <c r="I77" s="48">
        <f ca="1">C_Support_Calculations!I204</f>
        <v>9450729.9281329289</v>
      </c>
      <c r="J77" s="48">
        <f ca="1">C_Support_Calculations!J204</f>
        <v>13161797.565602666</v>
      </c>
      <c r="K77" s="48">
        <f ca="1">C_Support_Calculations!K204</f>
        <v>17574973.304643761</v>
      </c>
      <c r="L77" s="48">
        <f ca="1">C_Support_Calculations!L204</f>
        <v>22326219.203730524</v>
      </c>
      <c r="M77" s="48">
        <f ca="1">C_Support_Calculations!M204</f>
        <v>26416762.911493082</v>
      </c>
      <c r="N77" s="48">
        <f ca="1">C_Support_Calculations!N204</f>
        <v>28469079.930671163</v>
      </c>
      <c r="O77" s="48">
        <f ca="1">C_Support_Calculations!O204</f>
        <v>28874398.840971813</v>
      </c>
      <c r="P77" s="48">
        <f ca="1">C_Support_Calculations!P204</f>
        <v>27900149.253086437</v>
      </c>
    </row>
    <row r="78" spans="2:16" ht="15" thickTop="1" x14ac:dyDescent="0.35">
      <c r="B78" s="24" t="s">
        <v>70</v>
      </c>
      <c r="C78" s="1" t="s">
        <v>13</v>
      </c>
      <c r="E78" s="19">
        <f>SUM(E76:E77)</f>
        <v>5493630.1369863013</v>
      </c>
      <c r="F78" s="19">
        <f t="shared" ref="F78:P78" ca="1" si="46">SUM(F76:F77)</f>
        <v>5592980.2869863007</v>
      </c>
      <c r="G78" s="19">
        <f t="shared" ca="1" si="46"/>
        <v>6105780.877243096</v>
      </c>
      <c r="H78" s="19">
        <f t="shared" ca="1" si="46"/>
        <v>7551611.1906563882</v>
      </c>
      <c r="I78" s="19">
        <f t="shared" ca="1" si="46"/>
        <v>10450729.928132929</v>
      </c>
      <c r="J78" s="19">
        <f t="shared" ca="1" si="46"/>
        <v>14161797.565602666</v>
      </c>
      <c r="K78" s="19">
        <f t="shared" ca="1" si="46"/>
        <v>18574973.304643761</v>
      </c>
      <c r="L78" s="19">
        <f t="shared" ca="1" si="46"/>
        <v>23326219.203730524</v>
      </c>
      <c r="M78" s="19">
        <f t="shared" ca="1" si="46"/>
        <v>27416762.911493082</v>
      </c>
      <c r="N78" s="19">
        <f t="shared" ca="1" si="46"/>
        <v>29469079.930671163</v>
      </c>
      <c r="O78" s="19">
        <f t="shared" ca="1" si="46"/>
        <v>29874398.840971813</v>
      </c>
      <c r="P78" s="19">
        <f t="shared" ca="1" si="46"/>
        <v>28900149.253086437</v>
      </c>
    </row>
    <row r="80" spans="2:16" x14ac:dyDescent="0.35">
      <c r="B80" t="s">
        <v>210</v>
      </c>
      <c r="C80" s="56" t="s">
        <v>13</v>
      </c>
      <c r="E80" s="4">
        <f>C_Support_Calculations!E208</f>
        <v>0</v>
      </c>
      <c r="F80" s="4">
        <f>C_Support_Calculations!F208</f>
        <v>0</v>
      </c>
      <c r="G80" s="4">
        <f>C_Support_Calculations!G208</f>
        <v>0</v>
      </c>
      <c r="H80" s="4">
        <f>C_Support_Calculations!H208</f>
        <v>0</v>
      </c>
      <c r="I80" s="4">
        <f>C_Support_Calculations!I208</f>
        <v>0</v>
      </c>
      <c r="J80" s="4">
        <f>C_Support_Calculations!J208</f>
        <v>0</v>
      </c>
      <c r="K80" s="4">
        <f>C_Support_Calculations!K208</f>
        <v>0</v>
      </c>
      <c r="L80" s="4">
        <f>C_Support_Calculations!L208</f>
        <v>0</v>
      </c>
      <c r="M80" s="4">
        <f>C_Support_Calculations!M208</f>
        <v>0</v>
      </c>
      <c r="N80" s="4">
        <f>C_Support_Calculations!N208</f>
        <v>0</v>
      </c>
      <c r="O80" s="4">
        <f>C_Support_Calculations!O208</f>
        <v>0</v>
      </c>
      <c r="P80" s="4">
        <f>C_Support_Calculations!P208</f>
        <v>0</v>
      </c>
    </row>
    <row r="81" spans="2:18" x14ac:dyDescent="0.35">
      <c r="B81" t="s">
        <v>211</v>
      </c>
      <c r="C81" s="45" t="s">
        <v>13</v>
      </c>
      <c r="E81" s="4">
        <f>C_Support_Calculations!E213</f>
        <v>7294566.9000000004</v>
      </c>
      <c r="F81" s="4">
        <f>C_Support_Calculations!F213</f>
        <v>9602483.7050000001</v>
      </c>
      <c r="G81" s="4">
        <f>C_Support_Calculations!G213</f>
        <v>12216990.761</v>
      </c>
      <c r="H81" s="4">
        <f>C_Support_Calculations!H213</f>
        <v>15127659.296000002</v>
      </c>
      <c r="I81" s="4">
        <f>C_Support_Calculations!I213</f>
        <v>12873425.511000002</v>
      </c>
      <c r="J81" s="4">
        <f>C_Support_Calculations!J213</f>
        <v>12036943.751000002</v>
      </c>
      <c r="K81" s="4">
        <f>C_Support_Calculations!K213</f>
        <v>8888676.4260000028</v>
      </c>
      <c r="L81" s="4">
        <f>C_Support_Calculations!L213</f>
        <v>5544006.1910000024</v>
      </c>
      <c r="M81" s="4">
        <f>C_Support_Calculations!M213</f>
        <v>2585318.146000002</v>
      </c>
      <c r="N81" s="4">
        <f>C_Support_Calculations!N213</f>
        <v>811888.34000000171</v>
      </c>
      <c r="O81" s="4">
        <f>C_Support_Calculations!O213</f>
        <v>1.5133991837501526E-9</v>
      </c>
      <c r="P81" s="4">
        <f>C_Support_Calculations!P213</f>
        <v>1.5133991837501526E-9</v>
      </c>
    </row>
    <row r="82" spans="2:18" x14ac:dyDescent="0.35">
      <c r="B82" t="s">
        <v>76</v>
      </c>
      <c r="C82" s="45" t="s">
        <v>13</v>
      </c>
      <c r="E82" s="4">
        <f ca="1">C_Support_Calculations!E218</f>
        <v>0</v>
      </c>
      <c r="F82" s="4">
        <f ca="1">C_Support_Calculations!F218</f>
        <v>867276.76301369909</v>
      </c>
      <c r="G82" s="4">
        <f ca="1">C_Support_Calculations!G218</f>
        <v>2080940.4860902375</v>
      </c>
      <c r="H82" s="4">
        <f ca="1">C_Support_Calculations!H218</f>
        <v>3313668.8040102785</v>
      </c>
      <c r="I82" s="4">
        <f ca="1">C_Support_Calculations!I218</f>
        <v>11539820.729867075</v>
      </c>
      <c r="J82" s="4">
        <f ca="1">C_Support_Calculations!J218</f>
        <v>12500000</v>
      </c>
      <c r="K82" s="4">
        <f ca="1">C_Support_Calculations!K218</f>
        <v>12500000</v>
      </c>
      <c r="L82" s="4">
        <f ca="1">C_Support_Calculations!L218</f>
        <v>12500000</v>
      </c>
      <c r="M82" s="4">
        <f ca="1">C_Support_Calculations!M218</f>
        <v>12500000</v>
      </c>
      <c r="N82" s="4">
        <f ca="1">C_Support_Calculations!N218</f>
        <v>11365737.303995512</v>
      </c>
      <c r="O82" s="4">
        <f ca="1">C_Support_Calculations!O218</f>
        <v>4725196.6790281935</v>
      </c>
      <c r="P82" s="4">
        <f ca="1">C_Support_Calculations!P218</f>
        <v>0</v>
      </c>
    </row>
    <row r="83" spans="2:18" ht="15" thickBot="1" x14ac:dyDescent="0.4">
      <c r="B83" s="47" t="s">
        <v>77</v>
      </c>
      <c r="C83" s="47" t="s">
        <v>13</v>
      </c>
      <c r="D83" s="47"/>
      <c r="E83" s="48">
        <f>C_Support_Calculations!E222</f>
        <v>0</v>
      </c>
      <c r="F83" s="48">
        <f>C_Support_Calculations!F222</f>
        <v>16000000</v>
      </c>
      <c r="G83" s="48">
        <f>C_Support_Calculations!G222</f>
        <v>15733333.333333334</v>
      </c>
      <c r="H83" s="48">
        <f>C_Support_Calculations!H222</f>
        <v>15466666.666666668</v>
      </c>
      <c r="I83" s="48">
        <f>C_Support_Calculations!I222</f>
        <v>15200000.000000002</v>
      </c>
      <c r="J83" s="48">
        <f>C_Support_Calculations!J222</f>
        <v>14933333.333333336</v>
      </c>
      <c r="K83" s="48">
        <f>C_Support_Calculations!K222</f>
        <v>14666666.66666667</v>
      </c>
      <c r="L83" s="48">
        <f>C_Support_Calculations!L222</f>
        <v>14400000.000000004</v>
      </c>
      <c r="M83" s="48">
        <f>C_Support_Calculations!M222</f>
        <v>14133333.333333338</v>
      </c>
      <c r="N83" s="48">
        <f>C_Support_Calculations!N222</f>
        <v>13866666.666666672</v>
      </c>
      <c r="O83" s="48">
        <f>C_Support_Calculations!O222</f>
        <v>13600000.000000006</v>
      </c>
      <c r="P83" s="48">
        <f>C_Support_Calculations!P222</f>
        <v>13333333.33333334</v>
      </c>
    </row>
    <row r="84" spans="2:18" ht="15" thickTop="1" x14ac:dyDescent="0.35">
      <c r="B84" s="24" t="s">
        <v>73</v>
      </c>
      <c r="C84" s="1" t="s">
        <v>13</v>
      </c>
      <c r="E84" s="19">
        <f ca="1">SUM(E80:E83)</f>
        <v>7294566.9000000004</v>
      </c>
      <c r="F84" s="19">
        <f t="shared" ref="F84:P84" ca="1" si="47">SUM(F80:F83)</f>
        <v>26469760.4680137</v>
      </c>
      <c r="G84" s="19">
        <f t="shared" ca="1" si="47"/>
        <v>30031264.580423571</v>
      </c>
      <c r="H84" s="19">
        <f t="shared" ca="1" si="47"/>
        <v>33907994.766676947</v>
      </c>
      <c r="I84" s="19">
        <f t="shared" ca="1" si="47"/>
        <v>39613246.240867078</v>
      </c>
      <c r="J84" s="19">
        <f t="shared" ca="1" si="47"/>
        <v>39470277.084333338</v>
      </c>
      <c r="K84" s="19">
        <f t="shared" ca="1" si="47"/>
        <v>36055343.092666671</v>
      </c>
      <c r="L84" s="19">
        <f t="shared" ca="1" si="47"/>
        <v>32444006.191000007</v>
      </c>
      <c r="M84" s="19">
        <f t="shared" ca="1" si="47"/>
        <v>29218651.479333341</v>
      </c>
      <c r="N84" s="19">
        <f t="shared" ca="1" si="47"/>
        <v>26044292.310662188</v>
      </c>
      <c r="O84" s="19">
        <f t="shared" ca="1" si="47"/>
        <v>18325196.679028202</v>
      </c>
      <c r="P84" s="19">
        <f t="shared" ca="1" si="47"/>
        <v>13333333.333333341</v>
      </c>
    </row>
    <row r="86" spans="2:18" x14ac:dyDescent="0.35">
      <c r="B86" s="1" t="s">
        <v>212</v>
      </c>
      <c r="C86" s="44" t="s">
        <v>13</v>
      </c>
      <c r="D86" s="1"/>
      <c r="E86" s="19">
        <f ca="1">E78+E84</f>
        <v>12788197.036986303</v>
      </c>
      <c r="F86" s="19">
        <f t="shared" ref="F86:P86" ca="1" si="48">F78+F84</f>
        <v>32062740.755000003</v>
      </c>
      <c r="G86" s="19">
        <f t="shared" ca="1" si="48"/>
        <v>36137045.457666665</v>
      </c>
      <c r="H86" s="19">
        <f t="shared" ca="1" si="48"/>
        <v>41459605.957333334</v>
      </c>
      <c r="I86" s="19">
        <f t="shared" ca="1" si="48"/>
        <v>50063976.169000007</v>
      </c>
      <c r="J86" s="19">
        <f t="shared" ca="1" si="48"/>
        <v>53632074.649936005</v>
      </c>
      <c r="K86" s="19">
        <f t="shared" ca="1" si="48"/>
        <v>54630316.397310436</v>
      </c>
      <c r="L86" s="19">
        <f t="shared" ca="1" si="48"/>
        <v>55770225.394730531</v>
      </c>
      <c r="M86" s="19">
        <f t="shared" ca="1" si="48"/>
        <v>56635414.390826419</v>
      </c>
      <c r="N86" s="19">
        <f t="shared" ca="1" si="48"/>
        <v>55513372.241333351</v>
      </c>
      <c r="O86" s="19">
        <f t="shared" ca="1" si="48"/>
        <v>48199595.520000011</v>
      </c>
      <c r="P86" s="19">
        <f t="shared" ca="1" si="48"/>
        <v>42233482.586419776</v>
      </c>
    </row>
    <row r="88" spans="2:18" x14ac:dyDescent="0.35">
      <c r="B88" s="1" t="s">
        <v>213</v>
      </c>
      <c r="E88" s="1" t="b">
        <f ca="1">ABS(E71-E86)&lt;=D_Assumptions!$D$89</f>
        <v>1</v>
      </c>
      <c r="F88" s="1" t="b">
        <f ca="1">ABS(F71-F86)&lt;=D_Assumptions!$D$89</f>
        <v>1</v>
      </c>
      <c r="G88" s="1" t="b">
        <f ca="1">ABS(G71-G86)&lt;=D_Assumptions!$D$89</f>
        <v>1</v>
      </c>
      <c r="H88" s="1" t="b">
        <f ca="1">ABS(H71-H86)&lt;=D_Assumptions!$D$89</f>
        <v>1</v>
      </c>
      <c r="I88" s="1" t="b">
        <f ca="1">ABS(I71-I86)&lt;=D_Assumptions!$D$89</f>
        <v>1</v>
      </c>
      <c r="J88" s="1" t="b">
        <f ca="1">ABS(J71-J86)&lt;=D_Assumptions!$D$89</f>
        <v>1</v>
      </c>
      <c r="K88" s="1" t="b">
        <f ca="1">ABS(K71-K86)&lt;=D_Assumptions!$D$89</f>
        <v>1</v>
      </c>
      <c r="L88" s="1" t="b">
        <f ca="1">ABS(L71-L86)&lt;=D_Assumptions!$D$89</f>
        <v>1</v>
      </c>
      <c r="M88" s="1" t="b">
        <f ca="1">ABS(M71-M86)&lt;=D_Assumptions!$D$89</f>
        <v>1</v>
      </c>
      <c r="N88" s="1" t="b">
        <f ca="1">ABS(N71-N86)&lt;=D_Assumptions!$D$89</f>
        <v>1</v>
      </c>
      <c r="O88" s="1" t="b">
        <f ca="1">ABS(O71-O86)&lt;=D_Assumptions!$D$89</f>
        <v>1</v>
      </c>
      <c r="P88" s="1" t="b">
        <f ca="1">ABS(P71-P86)&lt;=D_Assumptions!$D$89</f>
        <v>1</v>
      </c>
      <c r="R88" t="b">
        <f ca="1">AND(E88:P88)</f>
        <v>1</v>
      </c>
    </row>
    <row r="89" spans="2:18" x14ac:dyDescent="0.35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</sheetData>
  <conditionalFormatting sqref="E88:P88">
    <cfRule type="cellIs" dxfId="17" priority="19" operator="equal">
      <formula>FALSE</formula>
    </cfRule>
    <cfRule type="cellIs" dxfId="16" priority="20" operator="equal">
      <formula>TRUE</formula>
    </cfRule>
  </conditionalFormatting>
  <conditionalFormatting sqref="R24 R20 R11:R12 R9">
    <cfRule type="cellIs" dxfId="15" priority="17" operator="equal">
      <formula>FALSE</formula>
    </cfRule>
    <cfRule type="cellIs" dxfId="14" priority="18" operator="equal">
      <formula>TRUE</formula>
    </cfRule>
  </conditionalFormatting>
  <conditionalFormatting sqref="R33:R36">
    <cfRule type="cellIs" dxfId="13" priority="15" operator="equal">
      <formula>FALSE</formula>
    </cfRule>
    <cfRule type="cellIs" dxfId="12" priority="16" operator="equal">
      <formula>TRUE</formula>
    </cfRule>
  </conditionalFormatting>
  <conditionalFormatting sqref="R41">
    <cfRule type="cellIs" dxfId="11" priority="13" operator="equal">
      <formula>FALSE</formula>
    </cfRule>
    <cfRule type="cellIs" dxfId="10" priority="14" operator="equal">
      <formula>TRUE</formula>
    </cfRule>
  </conditionalFormatting>
  <conditionalFormatting sqref="R47">
    <cfRule type="cellIs" dxfId="9" priority="11" operator="equal">
      <formula>FALSE</formula>
    </cfRule>
    <cfRule type="cellIs" dxfId="8" priority="12" operator="equal">
      <formula>TRUE</formula>
    </cfRule>
  </conditionalFormatting>
  <conditionalFormatting sqref="R48">
    <cfRule type="cellIs" dxfId="7" priority="9" operator="equal">
      <formula>FALSE</formula>
    </cfRule>
    <cfRule type="cellIs" dxfId="6" priority="10" operator="equal">
      <formula>TRUE</formula>
    </cfRule>
  </conditionalFormatting>
  <conditionalFormatting sqref="R49">
    <cfRule type="cellIs" dxfId="5" priority="7" operator="equal">
      <formula>FALSE</formula>
    </cfRule>
    <cfRule type="cellIs" dxfId="4" priority="8" operator="equal">
      <formula>TRUE</formula>
    </cfRule>
  </conditionalFormatting>
  <conditionalFormatting sqref="R50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D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R222"/>
  <sheetViews>
    <sheetView topLeftCell="E1" zoomScale="64" workbookViewId="0">
      <selection activeCell="R220" sqref="R220"/>
    </sheetView>
  </sheetViews>
  <sheetFormatPr baseColWidth="10" defaultRowHeight="14.5" x14ac:dyDescent="0.35"/>
  <cols>
    <col min="2" max="2" width="26.54296875" bestFit="1" customWidth="1"/>
    <col min="3" max="3" width="13.26953125" bestFit="1" customWidth="1"/>
    <col min="4" max="4" width="12.7265625" customWidth="1"/>
    <col min="5" max="5" width="11.90625" bestFit="1" customWidth="1"/>
    <col min="6" max="7" width="12.6328125" bestFit="1" customWidth="1"/>
    <col min="8" max="9" width="13.54296875" bestFit="1" customWidth="1"/>
    <col min="10" max="13" width="13.6328125" bestFit="1" customWidth="1"/>
    <col min="14" max="14" width="13.54296875" bestFit="1" customWidth="1"/>
    <col min="15" max="15" width="13.453125" bestFit="1" customWidth="1"/>
    <col min="16" max="16" width="12.90625" bestFit="1" customWidth="1"/>
  </cols>
  <sheetData>
    <row r="1" spans="2:18" x14ac:dyDescent="0.35">
      <c r="C1" t="s">
        <v>221</v>
      </c>
      <c r="D1" s="1" t="b">
        <f ca="1">AND(R7,R21,R59,R77,R105,R163,R195)</f>
        <v>1</v>
      </c>
    </row>
    <row r="3" spans="2:18" x14ac:dyDescent="0.35">
      <c r="C3" t="s">
        <v>86</v>
      </c>
      <c r="E3" s="2">
        <f>D_Assumptions!D5</f>
        <v>44197</v>
      </c>
      <c r="F3" s="2">
        <f>E4+1</f>
        <v>44228</v>
      </c>
      <c r="G3" s="2">
        <f t="shared" ref="G3:P3" si="0">F4+1</f>
        <v>44256</v>
      </c>
      <c r="H3" s="2">
        <f t="shared" si="0"/>
        <v>44287</v>
      </c>
      <c r="I3" s="2">
        <f t="shared" si="0"/>
        <v>44317</v>
      </c>
      <c r="J3" s="2">
        <f t="shared" si="0"/>
        <v>44348</v>
      </c>
      <c r="K3" s="2">
        <f t="shared" si="0"/>
        <v>44378</v>
      </c>
      <c r="L3" s="2">
        <f t="shared" si="0"/>
        <v>44409</v>
      </c>
      <c r="M3" s="2">
        <f t="shared" si="0"/>
        <v>44440</v>
      </c>
      <c r="N3" s="2">
        <f t="shared" si="0"/>
        <v>44470</v>
      </c>
      <c r="O3" s="2">
        <f t="shared" si="0"/>
        <v>44501</v>
      </c>
      <c r="P3" s="2">
        <f t="shared" si="0"/>
        <v>44531</v>
      </c>
    </row>
    <row r="4" spans="2:18" x14ac:dyDescent="0.35">
      <c r="C4" t="s">
        <v>85</v>
      </c>
      <c r="D4" s="2">
        <f>E3-1</f>
        <v>44196</v>
      </c>
      <c r="E4" s="2">
        <f>EOMONTH(E3,0)</f>
        <v>44227</v>
      </c>
      <c r="F4" s="2">
        <f t="shared" ref="F4" si="1">EOMONTH(F3,0)</f>
        <v>44255</v>
      </c>
      <c r="G4" s="2">
        <f t="shared" ref="G4" si="2">EOMONTH(G3,0)</f>
        <v>44286</v>
      </c>
      <c r="H4" s="2">
        <f t="shared" ref="H4" si="3">EOMONTH(H3,0)</f>
        <v>44316</v>
      </c>
      <c r="I4" s="2">
        <f t="shared" ref="I4" si="4">EOMONTH(I3,0)</f>
        <v>44347</v>
      </c>
      <c r="J4" s="2">
        <f t="shared" ref="J4" si="5">EOMONTH(J3,0)</f>
        <v>44377</v>
      </c>
      <c r="K4" s="2">
        <f t="shared" ref="K4" si="6">EOMONTH(K3,0)</f>
        <v>44408</v>
      </c>
      <c r="L4" s="2">
        <f t="shared" ref="L4" si="7">EOMONTH(L3,0)</f>
        <v>44439</v>
      </c>
      <c r="M4" s="2">
        <f t="shared" ref="M4" si="8">EOMONTH(M3,0)</f>
        <v>44469</v>
      </c>
      <c r="N4" s="2">
        <f t="shared" ref="N4" si="9">EOMONTH(N3,0)</f>
        <v>44500</v>
      </c>
      <c r="O4" s="2">
        <f t="shared" ref="O4" si="10">EOMONTH(O3,0)</f>
        <v>44530</v>
      </c>
      <c r="P4" s="2">
        <f t="shared" ref="P4" si="11">EOMONTH(P3,0)</f>
        <v>44561</v>
      </c>
    </row>
    <row r="5" spans="2:18" x14ac:dyDescent="0.35">
      <c r="C5" t="s">
        <v>84</v>
      </c>
      <c r="D5">
        <v>0</v>
      </c>
      <c r="E5">
        <f>D5+1</f>
        <v>1</v>
      </c>
      <c r="F5">
        <f t="shared" ref="F5:P5" si="12">E5+1</f>
        <v>2</v>
      </c>
      <c r="G5">
        <f t="shared" si="12"/>
        <v>3</v>
      </c>
      <c r="H5">
        <f t="shared" si="12"/>
        <v>4</v>
      </c>
      <c r="I5">
        <f t="shared" si="12"/>
        <v>5</v>
      </c>
      <c r="J5">
        <f t="shared" si="12"/>
        <v>6</v>
      </c>
      <c r="K5">
        <f t="shared" si="12"/>
        <v>7</v>
      </c>
      <c r="L5">
        <f t="shared" si="12"/>
        <v>8</v>
      </c>
      <c r="M5">
        <f t="shared" si="12"/>
        <v>9</v>
      </c>
      <c r="N5">
        <f t="shared" si="12"/>
        <v>10</v>
      </c>
      <c r="O5">
        <f t="shared" si="12"/>
        <v>11</v>
      </c>
      <c r="P5">
        <f t="shared" si="12"/>
        <v>12</v>
      </c>
    </row>
    <row r="7" spans="2:18" x14ac:dyDescent="0.35">
      <c r="B7" s="40" t="s">
        <v>87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R7" t="b">
        <f>AND(R9:R18)</f>
        <v>1</v>
      </c>
    </row>
    <row r="9" spans="2:18" x14ac:dyDescent="0.35">
      <c r="B9" t="s">
        <v>48</v>
      </c>
      <c r="C9" t="s">
        <v>13</v>
      </c>
      <c r="E9" s="4">
        <f>D_Assumptions!$G41*D_Assumptions!E54*D_Assumptions!$I41</f>
        <v>0</v>
      </c>
      <c r="F9" s="4">
        <f>D_Assumptions!$G41*D_Assumptions!F54*D_Assumptions!$I41</f>
        <v>0</v>
      </c>
      <c r="G9" s="4">
        <f>D_Assumptions!$G41*D_Assumptions!G54*D_Assumptions!$I41</f>
        <v>0</v>
      </c>
      <c r="H9" s="4">
        <f>D_Assumptions!$G41*D_Assumptions!H54*D_Assumptions!$I41</f>
        <v>0</v>
      </c>
      <c r="I9" s="4">
        <f>D_Assumptions!$G41*D_Assumptions!I54*D_Assumptions!$I41</f>
        <v>0</v>
      </c>
      <c r="J9" s="4">
        <f>D_Assumptions!$G41*D_Assumptions!J54*D_Assumptions!$I41</f>
        <v>0</v>
      </c>
      <c r="K9" s="4">
        <f>D_Assumptions!$G41*D_Assumptions!K54*D_Assumptions!$I41</f>
        <v>759147.10000000009</v>
      </c>
      <c r="L9" s="4">
        <f>D_Assumptions!$G41*D_Assumptions!L54*D_Assumptions!$I41</f>
        <v>1518294.2000000002</v>
      </c>
      <c r="M9" s="4">
        <f>D_Assumptions!$G41*D_Assumptions!M54*D_Assumptions!$I41</f>
        <v>1897867.75</v>
      </c>
      <c r="N9" s="4">
        <f>D_Assumptions!$G41*D_Assumptions!N54*D_Assumptions!$I41</f>
        <v>1897867.75</v>
      </c>
      <c r="O9" s="4">
        <f>D_Assumptions!$G41*D_Assumptions!O54*D_Assumptions!$I41</f>
        <v>1518294.2000000002</v>
      </c>
      <c r="P9" s="4">
        <f>D_Assumptions!$G41*D_Assumptions!P54</f>
        <v>0</v>
      </c>
      <c r="R9" s="1" t="b">
        <f>ABS(SUM(E9:P9)-D_Assumptions!Q54*D_Assumptions!G41*D_Assumptions!I41)&lt;D_Assumptions!$D$89</f>
        <v>1</v>
      </c>
    </row>
    <row r="10" spans="2:18" x14ac:dyDescent="0.35">
      <c r="B10" t="s">
        <v>49</v>
      </c>
      <c r="C10" t="s">
        <v>13</v>
      </c>
      <c r="E10" s="4">
        <f>D_Assumptions!$G42*D_Assumptions!E55*D_Assumptions!$I42</f>
        <v>0</v>
      </c>
      <c r="F10" s="4">
        <f>D_Assumptions!$G42*D_Assumptions!F55*D_Assumptions!$I42</f>
        <v>1047706.3</v>
      </c>
      <c r="G10" s="4">
        <f>D_Assumptions!$G42*D_Assumptions!G55*D_Assumptions!$I42</f>
        <v>2095412.6</v>
      </c>
      <c r="H10" s="4">
        <f>D_Assumptions!$G42*D_Assumptions!H55*D_Assumptions!$I42</f>
        <v>3143118.9</v>
      </c>
      <c r="I10" s="4">
        <f>D_Assumptions!$G42*D_Assumptions!I55*D_Assumptions!$I42</f>
        <v>4190825.2</v>
      </c>
      <c r="J10" s="4">
        <f>D_Assumptions!$G42*D_Assumptions!J55*D_Assumptions!$I42</f>
        <v>4190825.2</v>
      </c>
      <c r="K10" s="4">
        <f>D_Assumptions!$G42*D_Assumptions!K55*D_Assumptions!$I42</f>
        <v>4190825.2</v>
      </c>
      <c r="L10" s="4">
        <f>D_Assumptions!$G42*D_Assumptions!L55*D_Assumptions!$I42</f>
        <v>2095412.6</v>
      </c>
      <c r="M10" s="4">
        <f>D_Assumptions!$G42*D_Assumptions!M55*D_Assumptions!$I42</f>
        <v>0</v>
      </c>
      <c r="N10" s="4">
        <f>D_Assumptions!$G42*D_Assumptions!N55*D_Assumptions!$I42</f>
        <v>0</v>
      </c>
      <c r="O10" s="4">
        <f>D_Assumptions!$G42*D_Assumptions!O55*D_Assumptions!$I42</f>
        <v>0</v>
      </c>
      <c r="P10" s="4">
        <f>D_Assumptions!$G42*D_Assumptions!P55</f>
        <v>0</v>
      </c>
      <c r="R10" s="1" t="b">
        <f>ABS(SUM(E10:P10)-D_Assumptions!Q55*D_Assumptions!G42*D_Assumptions!I42)&lt;D_Assumptions!$D$89</f>
        <v>1</v>
      </c>
    </row>
    <row r="11" spans="2:18" x14ac:dyDescent="0.35">
      <c r="B11" t="s">
        <v>50</v>
      </c>
      <c r="C11" t="s">
        <v>13</v>
      </c>
      <c r="E11" s="4">
        <f>D_Assumptions!$G43*D_Assumptions!E56*D_Assumptions!$I43</f>
        <v>0</v>
      </c>
      <c r="F11" s="4">
        <f>D_Assumptions!$G43*D_Assumptions!F56*D_Assumptions!$I43</f>
        <v>0</v>
      </c>
      <c r="G11" s="4">
        <f>D_Assumptions!$G43*D_Assumptions!G56*D_Assumptions!$I43</f>
        <v>0</v>
      </c>
      <c r="H11" s="4">
        <f>D_Assumptions!$G43*D_Assumptions!H56*D_Assumptions!$I43</f>
        <v>839261.25</v>
      </c>
      <c r="I11" s="4">
        <f>D_Assumptions!$G43*D_Assumptions!I56*D_Assumptions!$I43</f>
        <v>1678522.5</v>
      </c>
      <c r="J11" s="4">
        <f>D_Assumptions!$G43*D_Assumptions!J56*D_Assumptions!$I43</f>
        <v>2517783.75</v>
      </c>
      <c r="K11" s="4">
        <f>D_Assumptions!$G43*D_Assumptions!K56*D_Assumptions!$I43</f>
        <v>3357045</v>
      </c>
      <c r="L11" s="4">
        <f>D_Assumptions!$G43*D_Assumptions!L56*D_Assumptions!$I43</f>
        <v>3357045</v>
      </c>
      <c r="M11" s="4">
        <f>D_Assumptions!$G43*D_Assumptions!M56*D_Assumptions!$I43</f>
        <v>3357045</v>
      </c>
      <c r="N11" s="4">
        <f>D_Assumptions!$G43*D_Assumptions!N56*D_Assumptions!$I43</f>
        <v>1678522.5</v>
      </c>
      <c r="O11" s="4">
        <f>D_Assumptions!$G43*D_Assumptions!O56*D_Assumptions!$I43</f>
        <v>0</v>
      </c>
      <c r="P11" s="4">
        <f>D_Assumptions!$G43*D_Assumptions!P56</f>
        <v>0</v>
      </c>
      <c r="R11" s="1" t="b">
        <f>ABS(SUM(E11:P11)-D_Assumptions!Q56*D_Assumptions!G43*D_Assumptions!I43)&lt;D_Assumptions!$D$89</f>
        <v>1</v>
      </c>
    </row>
    <row r="12" spans="2:18" x14ac:dyDescent="0.35">
      <c r="B12" t="s">
        <v>51</v>
      </c>
      <c r="C12" t="s">
        <v>13</v>
      </c>
      <c r="E12" s="4">
        <f>D_Assumptions!$G44*D_Assumptions!E57*D_Assumptions!$I44</f>
        <v>0</v>
      </c>
      <c r="F12" s="4">
        <f>D_Assumptions!$G44*D_Assumptions!F57*D_Assumptions!$I44</f>
        <v>0</v>
      </c>
      <c r="G12" s="4">
        <f>D_Assumptions!$G44*D_Assumptions!G57*D_Assumptions!$I44</f>
        <v>0</v>
      </c>
      <c r="H12" s="4">
        <f>D_Assumptions!$G44*D_Assumptions!H57*D_Assumptions!$I44</f>
        <v>0</v>
      </c>
      <c r="I12" s="4">
        <f>D_Assumptions!$G44*D_Assumptions!I57*D_Assumptions!$I44</f>
        <v>1318233.9500000002</v>
      </c>
      <c r="J12" s="4">
        <f>D_Assumptions!$G44*D_Assumptions!J57*D_Assumptions!$I44</f>
        <v>2636467.9000000004</v>
      </c>
      <c r="K12" s="4">
        <f>D_Assumptions!$G44*D_Assumptions!K57*D_Assumptions!$I44</f>
        <v>3954701.8499999996</v>
      </c>
      <c r="L12" s="4">
        <f>D_Assumptions!$G44*D_Assumptions!L57*D_Assumptions!$I44</f>
        <v>5272935.8000000007</v>
      </c>
      <c r="M12" s="4">
        <f>D_Assumptions!$G44*D_Assumptions!M57*D_Assumptions!$I44</f>
        <v>5272935.8000000007</v>
      </c>
      <c r="N12" s="4">
        <f>D_Assumptions!$G44*D_Assumptions!N57*D_Assumptions!$I44</f>
        <v>5272935.8000000007</v>
      </c>
      <c r="O12" s="4">
        <f>D_Assumptions!$G44*D_Assumptions!O57*D_Assumptions!$I44</f>
        <v>2636467.9000000004</v>
      </c>
      <c r="P12" s="4">
        <f>D_Assumptions!$G44*D_Assumptions!P57</f>
        <v>0</v>
      </c>
      <c r="R12" s="1" t="b">
        <f>ABS(SUM(E12:P12)-D_Assumptions!Q57*D_Assumptions!G44*D_Assumptions!I44)&lt;D_Assumptions!$D$89</f>
        <v>1</v>
      </c>
    </row>
    <row r="13" spans="2:18" x14ac:dyDescent="0.35">
      <c r="B13" t="s">
        <v>52</v>
      </c>
      <c r="C13" t="s">
        <v>13</v>
      </c>
      <c r="E13" s="4">
        <f>D_Assumptions!$G45*D_Assumptions!E58*D_Assumptions!$I45</f>
        <v>0</v>
      </c>
      <c r="F13" s="4">
        <f>D_Assumptions!$G45*D_Assumptions!F58*D_Assumptions!$I45</f>
        <v>0</v>
      </c>
      <c r="G13" s="4">
        <f>D_Assumptions!$G45*D_Assumptions!G58*D_Assumptions!$I45</f>
        <v>1357444</v>
      </c>
      <c r="H13" s="4">
        <f>D_Assumptions!$G45*D_Assumptions!H58*D_Assumptions!$I45</f>
        <v>2714888</v>
      </c>
      <c r="I13" s="4">
        <f>D_Assumptions!$G45*D_Assumptions!I58*D_Assumptions!$I45</f>
        <v>4072332</v>
      </c>
      <c r="J13" s="4">
        <f>D_Assumptions!$G45*D_Assumptions!J58*D_Assumptions!$I45</f>
        <v>5429776</v>
      </c>
      <c r="K13" s="4">
        <f>D_Assumptions!$G45*D_Assumptions!K58*D_Assumptions!$I45</f>
        <v>5429776</v>
      </c>
      <c r="L13" s="4">
        <f>D_Assumptions!$G45*D_Assumptions!L58*D_Assumptions!$I45</f>
        <v>5429776</v>
      </c>
      <c r="M13" s="4">
        <f>D_Assumptions!$G45*D_Assumptions!M58*D_Assumptions!$I45</f>
        <v>2714888</v>
      </c>
      <c r="N13" s="4">
        <f>D_Assumptions!$G45*D_Assumptions!N58*D_Assumptions!$I45</f>
        <v>0</v>
      </c>
      <c r="O13" s="4">
        <f>D_Assumptions!$G45*D_Assumptions!O58*D_Assumptions!$I45</f>
        <v>0</v>
      </c>
      <c r="P13" s="4">
        <f>D_Assumptions!$G45*D_Assumptions!P58</f>
        <v>0</v>
      </c>
      <c r="R13" s="1" t="b">
        <f>ABS(SUM(E13:P13)-D_Assumptions!Q58*D_Assumptions!G45*D_Assumptions!I45)&lt;D_Assumptions!$D$89</f>
        <v>1</v>
      </c>
    </row>
    <row r="14" spans="2:18" x14ac:dyDescent="0.35">
      <c r="B14" t="s">
        <v>53</v>
      </c>
      <c r="C14" t="s">
        <v>13</v>
      </c>
      <c r="E14" s="4">
        <f>D_Assumptions!$G46*D_Assumptions!E59*D_Assumptions!$I46</f>
        <v>0</v>
      </c>
      <c r="F14" s="4">
        <f>D_Assumptions!$G46*D_Assumptions!F59*D_Assumptions!$I46</f>
        <v>2177148.65</v>
      </c>
      <c r="G14" s="4">
        <f>D_Assumptions!$G46*D_Assumptions!G59*D_Assumptions!$I46</f>
        <v>3483437.84</v>
      </c>
      <c r="H14" s="4">
        <f>D_Assumptions!$G46*D_Assumptions!H59*D_Assumptions!$I46</f>
        <v>4354297.3</v>
      </c>
      <c r="I14" s="4">
        <f>D_Assumptions!$G46*D_Assumptions!I59*D_Assumptions!$I46</f>
        <v>6531445.9500000002</v>
      </c>
      <c r="J14" s="4">
        <f>D_Assumptions!$G46*D_Assumptions!J59*D_Assumptions!$I46</f>
        <v>6531445.9500000002</v>
      </c>
      <c r="K14" s="4">
        <f>D_Assumptions!$G46*D_Assumptions!K59*D_Assumptions!$I46</f>
        <v>6531445.9500000002</v>
      </c>
      <c r="L14" s="4">
        <f>D_Assumptions!$G46*D_Assumptions!L59*D_Assumptions!$I46</f>
        <v>6531445.9500000002</v>
      </c>
      <c r="M14" s="4">
        <f>D_Assumptions!$G46*D_Assumptions!M59*D_Assumptions!$I46</f>
        <v>6531445.9500000002</v>
      </c>
      <c r="N14" s="4">
        <f>D_Assumptions!$G46*D_Assumptions!N59*D_Assumptions!$I46</f>
        <v>870859.46</v>
      </c>
      <c r="O14" s="4">
        <f>D_Assumptions!$G46*D_Assumptions!O59*D_Assumptions!$I46</f>
        <v>0</v>
      </c>
      <c r="P14" s="4">
        <f>D_Assumptions!$G46*D_Assumptions!P59</f>
        <v>0</v>
      </c>
      <c r="R14" s="1" t="b">
        <f>ABS(SUM(E14:P14)-D_Assumptions!Q59*D_Assumptions!G46*D_Assumptions!I46)&lt;D_Assumptions!$D$89</f>
        <v>1</v>
      </c>
    </row>
    <row r="15" spans="2:18" x14ac:dyDescent="0.35">
      <c r="B15" t="s">
        <v>54</v>
      </c>
      <c r="C15" t="s">
        <v>13</v>
      </c>
      <c r="E15" s="4">
        <f>D_Assumptions!$G47*D_Assumptions!E60*D_Assumptions!$I47</f>
        <v>0</v>
      </c>
      <c r="F15" s="4">
        <f>D_Assumptions!$G47*D_Assumptions!F60*D_Assumptions!$I47</f>
        <v>0</v>
      </c>
      <c r="G15" s="4">
        <f>D_Assumptions!$G47*D_Assumptions!G60*D_Assumptions!$I47</f>
        <v>0</v>
      </c>
      <c r="H15" s="4">
        <f>D_Assumptions!$G47*D_Assumptions!H60*D_Assumptions!$I47</f>
        <v>0</v>
      </c>
      <c r="I15" s="4">
        <f>D_Assumptions!$G47*D_Assumptions!I60*D_Assumptions!$I47</f>
        <v>0</v>
      </c>
      <c r="J15" s="4">
        <f>D_Assumptions!$G47*D_Assumptions!J60*D_Assumptions!$I47</f>
        <v>0</v>
      </c>
      <c r="K15" s="4">
        <f>D_Assumptions!$G47*D_Assumptions!K60*D_Assumptions!$I47</f>
        <v>1141810.3</v>
      </c>
      <c r="L15" s="4">
        <f>D_Assumptions!$G47*D_Assumptions!L60*D_Assumptions!$I47</f>
        <v>2283620.6</v>
      </c>
      <c r="M15" s="4">
        <f>D_Assumptions!$G47*D_Assumptions!M60*D_Assumptions!$I47</f>
        <v>2854525.75</v>
      </c>
      <c r="N15" s="4">
        <f>D_Assumptions!$G47*D_Assumptions!N60*D_Assumptions!$I47</f>
        <v>2854525.75</v>
      </c>
      <c r="O15" s="4">
        <f>D_Assumptions!$G47*D_Assumptions!O60*D_Assumptions!$I47</f>
        <v>2283620.6</v>
      </c>
      <c r="P15" s="4">
        <f>D_Assumptions!$G47*D_Assumptions!P60</f>
        <v>0</v>
      </c>
      <c r="R15" s="1" t="b">
        <f>ABS(SUM(E15:P15)-D_Assumptions!Q60*D_Assumptions!G47*D_Assumptions!I47)&lt;D_Assumptions!$D$89</f>
        <v>1</v>
      </c>
    </row>
    <row r="16" spans="2:18" x14ac:dyDescent="0.35">
      <c r="B16" t="s">
        <v>55</v>
      </c>
      <c r="C16" t="s">
        <v>13</v>
      </c>
      <c r="E16" s="4">
        <f>D_Assumptions!$G48*D_Assumptions!E61*D_Assumptions!$I48</f>
        <v>0</v>
      </c>
      <c r="F16" s="4">
        <f>D_Assumptions!$G48*D_Assumptions!F61*D_Assumptions!$I48</f>
        <v>0</v>
      </c>
      <c r="G16" s="4">
        <f>D_Assumptions!$G48*D_Assumptions!G61*D_Assumptions!$I48</f>
        <v>0</v>
      </c>
      <c r="H16" s="4">
        <f>D_Assumptions!$G48*D_Assumptions!H61*D_Assumptions!$I48</f>
        <v>899292.70000000007</v>
      </c>
      <c r="I16" s="4">
        <f>D_Assumptions!$G48*D_Assumptions!I61*D_Assumptions!$I48</f>
        <v>1798585.4000000001</v>
      </c>
      <c r="J16" s="4">
        <f>D_Assumptions!$G48*D_Assumptions!J61*D_Assumptions!$I48</f>
        <v>2697878.1</v>
      </c>
      <c r="K16" s="4">
        <f>D_Assumptions!$G48*D_Assumptions!K61*D_Assumptions!$I48</f>
        <v>3597170.8000000003</v>
      </c>
      <c r="L16" s="4">
        <f>D_Assumptions!$G48*D_Assumptions!L61*D_Assumptions!$I48</f>
        <v>3597170.8000000003</v>
      </c>
      <c r="M16" s="4">
        <f>D_Assumptions!$G48*D_Assumptions!M61*D_Assumptions!$I48</f>
        <v>3597170.8000000003</v>
      </c>
      <c r="N16" s="4">
        <f>D_Assumptions!$G48*D_Assumptions!N61*D_Assumptions!$I48</f>
        <v>1798585.4000000001</v>
      </c>
      <c r="O16" s="4">
        <f>D_Assumptions!$G48*D_Assumptions!O61*D_Assumptions!$I48</f>
        <v>0</v>
      </c>
      <c r="P16" s="4">
        <f>D_Assumptions!$G48*D_Assumptions!P61</f>
        <v>0</v>
      </c>
      <c r="R16" s="1" t="b">
        <f>ABS(SUM(E16:P16)-D_Assumptions!Q61*D_Assumptions!G48*D_Assumptions!I48)&lt;D_Assumptions!$D$89</f>
        <v>1</v>
      </c>
    </row>
    <row r="17" spans="2:18" x14ac:dyDescent="0.35">
      <c r="B17" t="s">
        <v>56</v>
      </c>
      <c r="C17" t="s">
        <v>13</v>
      </c>
      <c r="E17" s="4">
        <f>D_Assumptions!$G49*D_Assumptions!E62*D_Assumptions!$I49</f>
        <v>0</v>
      </c>
      <c r="F17" s="4">
        <f>D_Assumptions!$G49*D_Assumptions!F62*D_Assumptions!$I49</f>
        <v>0</v>
      </c>
      <c r="G17" s="4">
        <f>D_Assumptions!$G49*D_Assumptions!G62*D_Assumptions!$I49</f>
        <v>0</v>
      </c>
      <c r="H17" s="4">
        <f>D_Assumptions!$G49*D_Assumptions!H62*D_Assumptions!$I49</f>
        <v>0</v>
      </c>
      <c r="I17" s="4">
        <f>D_Assumptions!$G49*D_Assumptions!I62*D_Assumptions!$I49</f>
        <v>840250.35000000009</v>
      </c>
      <c r="J17" s="4">
        <f>D_Assumptions!$G49*D_Assumptions!J62*D_Assumptions!$I49</f>
        <v>1680500.7000000002</v>
      </c>
      <c r="K17" s="4">
        <f>D_Assumptions!$G49*D_Assumptions!K62*D_Assumptions!$I49</f>
        <v>2520751.0499999998</v>
      </c>
      <c r="L17" s="4">
        <f>D_Assumptions!$G49*D_Assumptions!L62*D_Assumptions!$I49</f>
        <v>3361001.4000000004</v>
      </c>
      <c r="M17" s="4">
        <f>D_Assumptions!$G49*D_Assumptions!M62*D_Assumptions!$I49</f>
        <v>3361001.4000000004</v>
      </c>
      <c r="N17" s="4">
        <f>D_Assumptions!$G49*D_Assumptions!N62*D_Assumptions!$I49</f>
        <v>3361001.4000000004</v>
      </c>
      <c r="O17" s="4">
        <f>D_Assumptions!$G49*D_Assumptions!O62*D_Assumptions!$I49</f>
        <v>1680500.7000000002</v>
      </c>
      <c r="P17" s="4">
        <f>D_Assumptions!$G49*D_Assumptions!P62</f>
        <v>0</v>
      </c>
      <c r="R17" s="1" t="b">
        <f>ABS(SUM(E17:P17)-D_Assumptions!Q62*D_Assumptions!G49*D_Assumptions!I49)&lt;D_Assumptions!$D$89</f>
        <v>1</v>
      </c>
    </row>
    <row r="18" spans="2:18" x14ac:dyDescent="0.35">
      <c r="B18" s="5" t="s">
        <v>57</v>
      </c>
      <c r="C18" s="5" t="s">
        <v>13</v>
      </c>
      <c r="D18" s="5"/>
      <c r="E18" s="36">
        <f>D_Assumptions!$G50*D_Assumptions!E63*D_Assumptions!$I50</f>
        <v>0</v>
      </c>
      <c r="F18" s="36">
        <f>D_Assumptions!$G50*D_Assumptions!F63*D_Assumptions!$I50</f>
        <v>844857</v>
      </c>
      <c r="G18" s="36">
        <f>D_Assumptions!$G50*D_Assumptions!G63*D_Assumptions!$I50</f>
        <v>1689714</v>
      </c>
      <c r="H18" s="36">
        <f>D_Assumptions!$G50*D_Assumptions!H63*D_Assumptions!$I50</f>
        <v>2112142.5</v>
      </c>
      <c r="I18" s="36">
        <f>D_Assumptions!$G50*D_Assumptions!I63*D_Assumptions!$I50</f>
        <v>2112142.5</v>
      </c>
      <c r="J18" s="36">
        <f>D_Assumptions!$G50*D_Assumptions!J63*D_Assumptions!$I50</f>
        <v>1689714</v>
      </c>
      <c r="K18" s="36">
        <f>D_Assumptions!$G50*D_Assumptions!K63*D_Assumptions!$I50</f>
        <v>0</v>
      </c>
      <c r="L18" s="36">
        <f>D_Assumptions!$G50*D_Assumptions!L63*D_Assumptions!$I50</f>
        <v>0</v>
      </c>
      <c r="M18" s="36">
        <f>D_Assumptions!$G50*D_Assumptions!M63*D_Assumptions!$I50</f>
        <v>0</v>
      </c>
      <c r="N18" s="36">
        <f>D_Assumptions!$G50*D_Assumptions!N63*D_Assumptions!$I50</f>
        <v>0</v>
      </c>
      <c r="O18" s="36">
        <f>D_Assumptions!$G50*D_Assumptions!O63*D_Assumptions!$I50</f>
        <v>0</v>
      </c>
      <c r="P18" s="36">
        <f>D_Assumptions!$G50*D_Assumptions!P63</f>
        <v>0</v>
      </c>
      <c r="R18" s="1" t="b">
        <f>ABS(SUM(E18:P18)-D_Assumptions!Q63*D_Assumptions!G50*D_Assumptions!I50)&lt;D_Assumptions!$D$89</f>
        <v>1</v>
      </c>
    </row>
    <row r="19" spans="2:18" x14ac:dyDescent="0.35">
      <c r="B19" s="24" t="s">
        <v>89</v>
      </c>
      <c r="C19" s="1"/>
      <c r="D19" s="1"/>
      <c r="E19" s="19">
        <f>SUM(E9:E18)</f>
        <v>0</v>
      </c>
      <c r="F19" s="19">
        <f t="shared" ref="F19:P19" si="13">SUM(F9:F18)</f>
        <v>4069711.95</v>
      </c>
      <c r="G19" s="19">
        <f t="shared" si="13"/>
        <v>8626008.4399999995</v>
      </c>
      <c r="H19" s="19">
        <f t="shared" si="13"/>
        <v>14063000.649999999</v>
      </c>
      <c r="I19" s="19">
        <f t="shared" si="13"/>
        <v>22542337.850000001</v>
      </c>
      <c r="J19" s="19">
        <f t="shared" si="13"/>
        <v>27374391.600000001</v>
      </c>
      <c r="K19" s="19">
        <f t="shared" si="13"/>
        <v>31482673.25</v>
      </c>
      <c r="L19" s="19">
        <f t="shared" si="13"/>
        <v>33446702.350000001</v>
      </c>
      <c r="M19" s="19">
        <f t="shared" si="13"/>
        <v>29586880.450000003</v>
      </c>
      <c r="N19" s="19">
        <f t="shared" si="13"/>
        <v>17734298.060000002</v>
      </c>
      <c r="O19" s="19">
        <f t="shared" si="13"/>
        <v>8118883.4000000013</v>
      </c>
      <c r="P19" s="19">
        <f t="shared" si="13"/>
        <v>0</v>
      </c>
    </row>
    <row r="21" spans="2:18" x14ac:dyDescent="0.35">
      <c r="B21" s="40" t="s">
        <v>100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5"/>
      <c r="R21" t="b">
        <f>AND(R35:R44,R47:R56)</f>
        <v>1</v>
      </c>
    </row>
    <row r="23" spans="2:18" x14ac:dyDescent="0.35">
      <c r="B23" s="1" t="s">
        <v>103</v>
      </c>
    </row>
    <row r="24" spans="2:18" x14ac:dyDescent="0.35">
      <c r="B24" t="s">
        <v>48</v>
      </c>
      <c r="C24" t="s">
        <v>13</v>
      </c>
      <c r="E24" s="41">
        <f>(D_Assumptions!E54&lt;&gt;0)*(SUM(D24:$D24)=0)</f>
        <v>0</v>
      </c>
      <c r="F24" s="41">
        <f>(D_Assumptions!F54&lt;&gt;0)*(SUM($D24:E24)=0)</f>
        <v>0</v>
      </c>
      <c r="G24" s="41">
        <f>(D_Assumptions!G54&lt;&gt;0)*(SUM($D24:F24)=0)</f>
        <v>0</v>
      </c>
      <c r="H24" s="41">
        <f>(D_Assumptions!H54&lt;&gt;0)*(SUM($D24:G24)=0)</f>
        <v>0</v>
      </c>
      <c r="I24" s="41">
        <f>(D_Assumptions!I54&lt;&gt;0)*(SUM($D24:H24)=0)</f>
        <v>0</v>
      </c>
      <c r="J24" s="41">
        <f>(D_Assumptions!J54&lt;&gt;0)*(SUM($D24:I24)=0)</f>
        <v>0</v>
      </c>
      <c r="K24" s="41">
        <f>(D_Assumptions!K54&lt;&gt;0)*(SUM($D24:J24)=0)</f>
        <v>1</v>
      </c>
      <c r="L24" s="41">
        <f>(D_Assumptions!L54&lt;&gt;0)*(SUM($D24:K24)=0)</f>
        <v>0</v>
      </c>
      <c r="M24" s="41">
        <f>(D_Assumptions!M54&lt;&gt;0)*(SUM($D24:L24)=0)</f>
        <v>0</v>
      </c>
      <c r="N24" s="41">
        <f>(D_Assumptions!N54&lt;&gt;0)*(SUM($D24:M24)=0)</f>
        <v>0</v>
      </c>
      <c r="O24" s="41">
        <f>(D_Assumptions!O54&lt;&gt;0)*(SUM($D24:N24)=0)</f>
        <v>0</v>
      </c>
      <c r="P24" s="41">
        <f>(D_Assumptions!P54&lt;&gt;0)*(SUM($D24:O24)=0)</f>
        <v>0</v>
      </c>
    </row>
    <row r="25" spans="2:18" x14ac:dyDescent="0.35">
      <c r="B25" t="s">
        <v>49</v>
      </c>
      <c r="C25" t="s">
        <v>13</v>
      </c>
      <c r="E25" s="41">
        <f>(D_Assumptions!E55&lt;&gt;0)*(SUM(D25:$D25)=0)</f>
        <v>0</v>
      </c>
      <c r="F25" s="41">
        <f>(D_Assumptions!F55&lt;&gt;0)*(SUM($D25:E25)=0)</f>
        <v>1</v>
      </c>
      <c r="G25" s="41">
        <f>(D_Assumptions!G55&lt;&gt;0)*(SUM($D25:F25)=0)</f>
        <v>0</v>
      </c>
      <c r="H25" s="41">
        <f>(D_Assumptions!H55&lt;&gt;0)*(SUM($D25:G25)=0)</f>
        <v>0</v>
      </c>
      <c r="I25" s="41">
        <f>(D_Assumptions!I55&lt;&gt;0)*(SUM($D25:H25)=0)</f>
        <v>0</v>
      </c>
      <c r="J25" s="41">
        <f>(D_Assumptions!J55&lt;&gt;0)*(SUM($D25:I25)=0)</f>
        <v>0</v>
      </c>
      <c r="K25" s="41">
        <f>(D_Assumptions!K55&lt;&gt;0)*(SUM($D25:J25)=0)</f>
        <v>0</v>
      </c>
      <c r="L25" s="41">
        <f>(D_Assumptions!L55&lt;&gt;0)*(SUM($D25:K25)=0)</f>
        <v>0</v>
      </c>
      <c r="M25" s="41">
        <f>(D_Assumptions!M55&lt;&gt;0)*(SUM($D25:L25)=0)</f>
        <v>0</v>
      </c>
      <c r="N25" s="41">
        <f>(D_Assumptions!N55&lt;&gt;0)*(SUM($D25:M25)=0)</f>
        <v>0</v>
      </c>
      <c r="O25" s="41">
        <f>(D_Assumptions!O55&lt;&gt;0)*(SUM($D25:N25)=0)</f>
        <v>0</v>
      </c>
      <c r="P25" s="41">
        <f>(D_Assumptions!P55&lt;&gt;0)*(SUM($D25:O25)=0)</f>
        <v>0</v>
      </c>
    </row>
    <row r="26" spans="2:18" x14ac:dyDescent="0.35">
      <c r="B26" t="s">
        <v>50</v>
      </c>
      <c r="C26" t="s">
        <v>13</v>
      </c>
      <c r="E26" s="41">
        <f>(D_Assumptions!E56&lt;&gt;0)*(SUM(D26:$D26)=0)</f>
        <v>0</v>
      </c>
      <c r="F26" s="41">
        <f>(D_Assumptions!F56&lt;&gt;0)*(SUM($D26:E26)=0)</f>
        <v>0</v>
      </c>
      <c r="G26" s="41">
        <f>(D_Assumptions!G56&lt;&gt;0)*(SUM($D26:F26)=0)</f>
        <v>0</v>
      </c>
      <c r="H26" s="41">
        <f>(D_Assumptions!H56&lt;&gt;0)*(SUM($D26:G26)=0)</f>
        <v>1</v>
      </c>
      <c r="I26" s="41">
        <f>(D_Assumptions!I56&lt;&gt;0)*(SUM($D26:H26)=0)</f>
        <v>0</v>
      </c>
      <c r="J26" s="41">
        <f>(D_Assumptions!J56&lt;&gt;0)*(SUM($D26:I26)=0)</f>
        <v>0</v>
      </c>
      <c r="K26" s="41">
        <f>(D_Assumptions!K56&lt;&gt;0)*(SUM($D26:J26)=0)</f>
        <v>0</v>
      </c>
      <c r="L26" s="41">
        <f>(D_Assumptions!L56&lt;&gt;0)*(SUM($D26:K26)=0)</f>
        <v>0</v>
      </c>
      <c r="M26" s="41">
        <f>(D_Assumptions!M56&lt;&gt;0)*(SUM($D26:L26)=0)</f>
        <v>0</v>
      </c>
      <c r="N26" s="41">
        <f>(D_Assumptions!N56&lt;&gt;0)*(SUM($D26:M26)=0)</f>
        <v>0</v>
      </c>
      <c r="O26" s="41">
        <f>(D_Assumptions!O56&lt;&gt;0)*(SUM($D26:N26)=0)</f>
        <v>0</v>
      </c>
      <c r="P26" s="41">
        <f>(D_Assumptions!P56&lt;&gt;0)*(SUM($D26:O26)=0)</f>
        <v>0</v>
      </c>
    </row>
    <row r="27" spans="2:18" x14ac:dyDescent="0.35">
      <c r="B27" t="s">
        <v>51</v>
      </c>
      <c r="C27" t="s">
        <v>13</v>
      </c>
      <c r="E27" s="41">
        <f>(D_Assumptions!E57&lt;&gt;0)*(SUM(D27:$D27)=0)</f>
        <v>0</v>
      </c>
      <c r="F27" s="41">
        <f>(D_Assumptions!F57&lt;&gt;0)*(SUM($D27:E27)=0)</f>
        <v>0</v>
      </c>
      <c r="G27" s="41">
        <f>(D_Assumptions!G57&lt;&gt;0)*(SUM($D27:F27)=0)</f>
        <v>0</v>
      </c>
      <c r="H27" s="41">
        <f>(D_Assumptions!H57&lt;&gt;0)*(SUM($D27:G27)=0)</f>
        <v>0</v>
      </c>
      <c r="I27" s="41">
        <f>(D_Assumptions!I57&lt;&gt;0)*(SUM($D27:H27)=0)</f>
        <v>1</v>
      </c>
      <c r="J27" s="41">
        <f>(D_Assumptions!J57&lt;&gt;0)*(SUM($D27:I27)=0)</f>
        <v>0</v>
      </c>
      <c r="K27" s="41">
        <f>(D_Assumptions!K57&lt;&gt;0)*(SUM($D27:J27)=0)</f>
        <v>0</v>
      </c>
      <c r="L27" s="41">
        <f>(D_Assumptions!L57&lt;&gt;0)*(SUM($D27:K27)=0)</f>
        <v>0</v>
      </c>
      <c r="M27" s="41">
        <f>(D_Assumptions!M57&lt;&gt;0)*(SUM($D27:L27)=0)</f>
        <v>0</v>
      </c>
      <c r="N27" s="41">
        <f>(D_Assumptions!N57&lt;&gt;0)*(SUM($D27:M27)=0)</f>
        <v>0</v>
      </c>
      <c r="O27" s="41">
        <f>(D_Assumptions!O57&lt;&gt;0)*(SUM($D27:N27)=0)</f>
        <v>0</v>
      </c>
      <c r="P27" s="41">
        <f>(D_Assumptions!P57&lt;&gt;0)*(SUM($D27:O27)=0)</f>
        <v>0</v>
      </c>
    </row>
    <row r="28" spans="2:18" x14ac:dyDescent="0.35">
      <c r="B28" t="s">
        <v>52</v>
      </c>
      <c r="C28" t="s">
        <v>13</v>
      </c>
      <c r="E28" s="41">
        <f>(D_Assumptions!E58&lt;&gt;0)*(SUM(D28:$D28)=0)</f>
        <v>0</v>
      </c>
      <c r="F28" s="41">
        <f>(D_Assumptions!F58&lt;&gt;0)*(SUM($D28:E28)=0)</f>
        <v>0</v>
      </c>
      <c r="G28" s="41">
        <f>(D_Assumptions!G58&lt;&gt;0)*(SUM($D28:F28)=0)</f>
        <v>1</v>
      </c>
      <c r="H28" s="41">
        <f>(D_Assumptions!H58&lt;&gt;0)*(SUM($D28:G28)=0)</f>
        <v>0</v>
      </c>
      <c r="I28" s="41">
        <f>(D_Assumptions!I58&lt;&gt;0)*(SUM($D28:H28)=0)</f>
        <v>0</v>
      </c>
      <c r="J28" s="41">
        <f>(D_Assumptions!J58&lt;&gt;0)*(SUM($D28:I28)=0)</f>
        <v>0</v>
      </c>
      <c r="K28" s="41">
        <f>(D_Assumptions!K58&lt;&gt;0)*(SUM($D28:J28)=0)</f>
        <v>0</v>
      </c>
      <c r="L28" s="41">
        <f>(D_Assumptions!L58&lt;&gt;0)*(SUM($D28:K28)=0)</f>
        <v>0</v>
      </c>
      <c r="M28" s="41">
        <f>(D_Assumptions!M58&lt;&gt;0)*(SUM($D28:L28)=0)</f>
        <v>0</v>
      </c>
      <c r="N28" s="41">
        <f>(D_Assumptions!N58&lt;&gt;0)*(SUM($D28:M28)=0)</f>
        <v>0</v>
      </c>
      <c r="O28" s="41">
        <f>(D_Assumptions!O58&lt;&gt;0)*(SUM($D28:N28)=0)</f>
        <v>0</v>
      </c>
      <c r="P28" s="41">
        <f>(D_Assumptions!P58&lt;&gt;0)*(SUM($D28:O28)=0)</f>
        <v>0</v>
      </c>
    </row>
    <row r="29" spans="2:18" x14ac:dyDescent="0.35">
      <c r="B29" t="s">
        <v>53</v>
      </c>
      <c r="C29" t="s">
        <v>13</v>
      </c>
      <c r="E29" s="41">
        <f>(D_Assumptions!E59&lt;&gt;0)*(SUM(D29:$D29)=0)</f>
        <v>0</v>
      </c>
      <c r="F29" s="41">
        <f>(D_Assumptions!F59&lt;&gt;0)*(SUM($D29:E29)=0)</f>
        <v>1</v>
      </c>
      <c r="G29" s="41">
        <f>(D_Assumptions!G59&lt;&gt;0)*(SUM($D29:F29)=0)</f>
        <v>0</v>
      </c>
      <c r="H29" s="41">
        <f>(D_Assumptions!H59&lt;&gt;0)*(SUM($D29:G29)=0)</f>
        <v>0</v>
      </c>
      <c r="I29" s="41">
        <f>(D_Assumptions!I59&lt;&gt;0)*(SUM($D29:H29)=0)</f>
        <v>0</v>
      </c>
      <c r="J29" s="41">
        <f>(D_Assumptions!J59&lt;&gt;0)*(SUM($D29:I29)=0)</f>
        <v>0</v>
      </c>
      <c r="K29" s="41">
        <f>(D_Assumptions!K59&lt;&gt;0)*(SUM($D29:J29)=0)</f>
        <v>0</v>
      </c>
      <c r="L29" s="41">
        <f>(D_Assumptions!L59&lt;&gt;0)*(SUM($D29:K29)=0)</f>
        <v>0</v>
      </c>
      <c r="M29" s="41">
        <f>(D_Assumptions!M59&lt;&gt;0)*(SUM($D29:L29)=0)</f>
        <v>0</v>
      </c>
      <c r="N29" s="41">
        <f>(D_Assumptions!N59&lt;&gt;0)*(SUM($D29:M29)=0)</f>
        <v>0</v>
      </c>
      <c r="O29" s="41">
        <f>(D_Assumptions!O59&lt;&gt;0)*(SUM($D29:N29)=0)</f>
        <v>0</v>
      </c>
      <c r="P29" s="41">
        <f>(D_Assumptions!P59&lt;&gt;0)*(SUM($D29:O29)=0)</f>
        <v>0</v>
      </c>
    </row>
    <row r="30" spans="2:18" x14ac:dyDescent="0.35">
      <c r="B30" t="s">
        <v>54</v>
      </c>
      <c r="C30" t="s">
        <v>13</v>
      </c>
      <c r="E30" s="41">
        <f>(D_Assumptions!E60&lt;&gt;0)*(SUM(D30:$D30)=0)</f>
        <v>0</v>
      </c>
      <c r="F30" s="41">
        <f>(D_Assumptions!F60&lt;&gt;0)*(SUM($D30:E30)=0)</f>
        <v>0</v>
      </c>
      <c r="G30" s="41">
        <f>(D_Assumptions!G60&lt;&gt;0)*(SUM($D30:F30)=0)</f>
        <v>0</v>
      </c>
      <c r="H30" s="41">
        <f>(D_Assumptions!H60&lt;&gt;0)*(SUM($D30:G30)=0)</f>
        <v>0</v>
      </c>
      <c r="I30" s="41">
        <f>(D_Assumptions!I60&lt;&gt;0)*(SUM($D30:H30)=0)</f>
        <v>0</v>
      </c>
      <c r="J30" s="41">
        <f>(D_Assumptions!J60&lt;&gt;0)*(SUM($D30:I30)=0)</f>
        <v>0</v>
      </c>
      <c r="K30" s="41">
        <f>(D_Assumptions!K60&lt;&gt;0)*(SUM($D30:J30)=0)</f>
        <v>1</v>
      </c>
      <c r="L30" s="41">
        <f>(D_Assumptions!L60&lt;&gt;0)*(SUM($D30:K30)=0)</f>
        <v>0</v>
      </c>
      <c r="M30" s="41">
        <f>(D_Assumptions!M60&lt;&gt;0)*(SUM($D30:L30)=0)</f>
        <v>0</v>
      </c>
      <c r="N30" s="41">
        <f>(D_Assumptions!N60&lt;&gt;0)*(SUM($D30:M30)=0)</f>
        <v>0</v>
      </c>
      <c r="O30" s="41">
        <f>(D_Assumptions!O60&lt;&gt;0)*(SUM($D30:N30)=0)</f>
        <v>0</v>
      </c>
      <c r="P30" s="41">
        <f>(D_Assumptions!P60&lt;&gt;0)*(SUM($D30:O30)=0)</f>
        <v>0</v>
      </c>
    </row>
    <row r="31" spans="2:18" x14ac:dyDescent="0.35">
      <c r="B31" t="s">
        <v>55</v>
      </c>
      <c r="C31" t="s">
        <v>13</v>
      </c>
      <c r="E31" s="41">
        <f>(D_Assumptions!E61&lt;&gt;0)*(SUM(D31:$D31)=0)</f>
        <v>0</v>
      </c>
      <c r="F31" s="41">
        <f>(D_Assumptions!F61&lt;&gt;0)*(SUM($D31:E31)=0)</f>
        <v>0</v>
      </c>
      <c r="G31" s="41">
        <f>(D_Assumptions!G61&lt;&gt;0)*(SUM($D31:F31)=0)</f>
        <v>0</v>
      </c>
      <c r="H31" s="41">
        <f>(D_Assumptions!H61&lt;&gt;0)*(SUM($D31:G31)=0)</f>
        <v>1</v>
      </c>
      <c r="I31" s="41">
        <f>(D_Assumptions!I61&lt;&gt;0)*(SUM($D31:H31)=0)</f>
        <v>0</v>
      </c>
      <c r="J31" s="41">
        <f>(D_Assumptions!J61&lt;&gt;0)*(SUM($D31:I31)=0)</f>
        <v>0</v>
      </c>
      <c r="K31" s="41">
        <f>(D_Assumptions!K61&lt;&gt;0)*(SUM($D31:J31)=0)</f>
        <v>0</v>
      </c>
      <c r="L31" s="41">
        <f>(D_Assumptions!L61&lt;&gt;0)*(SUM($D31:K31)=0)</f>
        <v>0</v>
      </c>
      <c r="M31" s="41">
        <f>(D_Assumptions!M61&lt;&gt;0)*(SUM($D31:L31)=0)</f>
        <v>0</v>
      </c>
      <c r="N31" s="41">
        <f>(D_Assumptions!N61&lt;&gt;0)*(SUM($D31:M31)=0)</f>
        <v>0</v>
      </c>
      <c r="O31" s="41">
        <f>(D_Assumptions!O61&lt;&gt;0)*(SUM($D31:N31)=0)</f>
        <v>0</v>
      </c>
      <c r="P31" s="41">
        <f>(D_Assumptions!P61&lt;&gt;0)*(SUM($D31:O31)=0)</f>
        <v>0</v>
      </c>
    </row>
    <row r="32" spans="2:18" x14ac:dyDescent="0.35">
      <c r="B32" t="s">
        <v>56</v>
      </c>
      <c r="C32" t="s">
        <v>13</v>
      </c>
      <c r="E32" s="41">
        <f>(D_Assumptions!E62&lt;&gt;0)*(SUM(D32:$D32)=0)</f>
        <v>0</v>
      </c>
      <c r="F32" s="41">
        <f>(D_Assumptions!F62&lt;&gt;0)*(SUM($D32:E32)=0)</f>
        <v>0</v>
      </c>
      <c r="G32" s="41">
        <f>(D_Assumptions!G62&lt;&gt;0)*(SUM($D32:F32)=0)</f>
        <v>0</v>
      </c>
      <c r="H32" s="41">
        <f>(D_Assumptions!H62&lt;&gt;0)*(SUM($D32:G32)=0)</f>
        <v>0</v>
      </c>
      <c r="I32" s="41">
        <f>(D_Assumptions!I62&lt;&gt;0)*(SUM($D32:H32)=0)</f>
        <v>1</v>
      </c>
      <c r="J32" s="41">
        <f>(D_Assumptions!J62&lt;&gt;0)*(SUM($D32:I32)=0)</f>
        <v>0</v>
      </c>
      <c r="K32" s="41">
        <f>(D_Assumptions!K62&lt;&gt;0)*(SUM($D32:J32)=0)</f>
        <v>0</v>
      </c>
      <c r="L32" s="41">
        <f>(D_Assumptions!L62&lt;&gt;0)*(SUM($D32:K32)=0)</f>
        <v>0</v>
      </c>
      <c r="M32" s="41">
        <f>(D_Assumptions!M62&lt;&gt;0)*(SUM($D32:L32)=0)</f>
        <v>0</v>
      </c>
      <c r="N32" s="41">
        <f>(D_Assumptions!N62&lt;&gt;0)*(SUM($D32:M32)=0)</f>
        <v>0</v>
      </c>
      <c r="O32" s="41">
        <f>(D_Assumptions!O62&lt;&gt;0)*(SUM($D32:N32)=0)</f>
        <v>0</v>
      </c>
      <c r="P32" s="41">
        <f>(D_Assumptions!P62&lt;&gt;0)*(SUM($D32:O32)=0)</f>
        <v>0</v>
      </c>
    </row>
    <row r="33" spans="2:18" x14ac:dyDescent="0.35">
      <c r="B33" s="5" t="s">
        <v>57</v>
      </c>
      <c r="C33" s="5" t="s">
        <v>13</v>
      </c>
      <c r="D33" s="5"/>
      <c r="E33" s="42">
        <f>(D_Assumptions!E63&lt;&gt;0)*(SUM(D33:$D33)=0)</f>
        <v>0</v>
      </c>
      <c r="F33" s="42">
        <f>(D_Assumptions!F63&lt;&gt;0)*(SUM($D33:E33)=0)</f>
        <v>1</v>
      </c>
      <c r="G33" s="42">
        <f>(D_Assumptions!G63&lt;&gt;0)*(SUM($D33:F33)=0)</f>
        <v>0</v>
      </c>
      <c r="H33" s="42">
        <f>(D_Assumptions!H63&lt;&gt;0)*(SUM($D33:G33)=0)</f>
        <v>0</v>
      </c>
      <c r="I33" s="42">
        <f>(D_Assumptions!I63&lt;&gt;0)*(SUM($D33:H33)=0)</f>
        <v>0</v>
      </c>
      <c r="J33" s="42">
        <f>(D_Assumptions!J63&lt;&gt;0)*(SUM($D33:I33)=0)</f>
        <v>0</v>
      </c>
      <c r="K33" s="42">
        <f>(D_Assumptions!K63&lt;&gt;0)*(SUM($D33:J33)=0)</f>
        <v>0</v>
      </c>
      <c r="L33" s="42">
        <f>(D_Assumptions!L63&lt;&gt;0)*(SUM($D33:K33)=0)</f>
        <v>0</v>
      </c>
      <c r="M33" s="42">
        <f>(D_Assumptions!M63&lt;&gt;0)*(SUM($D33:L33)=0)</f>
        <v>0</v>
      </c>
      <c r="N33" s="42">
        <f>(D_Assumptions!N63&lt;&gt;0)*(SUM($D33:M33)=0)</f>
        <v>0</v>
      </c>
      <c r="O33" s="42">
        <f>(D_Assumptions!O63&lt;&gt;0)*(SUM($D33:N33)=0)</f>
        <v>0</v>
      </c>
      <c r="P33" s="42">
        <f>(D_Assumptions!P63&lt;&gt;0)*(SUM($D33:O33)=0)</f>
        <v>0</v>
      </c>
    </row>
    <row r="35" spans="2:18" x14ac:dyDescent="0.35">
      <c r="B35" t="s">
        <v>48</v>
      </c>
      <c r="C35" t="s">
        <v>13</v>
      </c>
      <c r="E35" s="4">
        <f>F24*D_Assumptions!$D$9*D_Assumptions!$G41*D_Assumptions!$I41</f>
        <v>0</v>
      </c>
      <c r="F35" s="4">
        <f>G24*D_Assumptions!$D$9*D_Assumptions!$G41*D_Assumptions!$I41</f>
        <v>0</v>
      </c>
      <c r="G35" s="4">
        <f>H24*D_Assumptions!$D$9*D_Assumptions!$G41*D_Assumptions!$I41</f>
        <v>0</v>
      </c>
      <c r="H35" s="4">
        <f>I24*D_Assumptions!$D$9*D_Assumptions!$G41*D_Assumptions!$I41</f>
        <v>0</v>
      </c>
      <c r="I35" s="4">
        <f>J24*D_Assumptions!$D$9*D_Assumptions!$G41*D_Assumptions!$I41</f>
        <v>0</v>
      </c>
      <c r="J35" s="4">
        <f>K24*D_Assumptions!$D$9*D_Assumptions!$G41*D_Assumptions!$I41</f>
        <v>759147.10000000009</v>
      </c>
      <c r="K35" s="4">
        <f>L24*D_Assumptions!$D$9*D_Assumptions!$G41*D_Assumptions!$I41</f>
        <v>0</v>
      </c>
      <c r="L35" s="4">
        <f>M24*D_Assumptions!$D$9*D_Assumptions!$G41*D_Assumptions!$I41</f>
        <v>0</v>
      </c>
      <c r="M35" s="4">
        <f>N24*D_Assumptions!$D$9*D_Assumptions!$G41*D_Assumptions!$I41</f>
        <v>0</v>
      </c>
      <c r="N35" s="4">
        <f>O24*D_Assumptions!$D$9*D_Assumptions!$G41*D_Assumptions!$I41</f>
        <v>0</v>
      </c>
      <c r="O35" s="4">
        <f>P24*D_Assumptions!$D$9*D_Assumptions!$G41*D_Assumptions!$I41</f>
        <v>0</v>
      </c>
      <c r="P35" s="4">
        <f>Q24*D_Assumptions!$D$9*D_Assumptions!$G41*D_Assumptions!$I41</f>
        <v>0</v>
      </c>
      <c r="R35" s="1" t="b">
        <f>ABS(SUM(E35:P35)-D_Assumptions!$D$9*D_Assumptions!G41*D_Assumptions!I41)&lt;D_Assumptions!$D$89</f>
        <v>1</v>
      </c>
    </row>
    <row r="36" spans="2:18" x14ac:dyDescent="0.35">
      <c r="B36" t="s">
        <v>49</v>
      </c>
      <c r="C36" t="s">
        <v>13</v>
      </c>
      <c r="E36" s="4">
        <f>F25*D_Assumptions!$D$9*D_Assumptions!$G42*D_Assumptions!$I42</f>
        <v>2095412.6</v>
      </c>
      <c r="F36" s="4">
        <f>G25*D_Assumptions!$D$9*D_Assumptions!$G42*D_Assumptions!$I42</f>
        <v>0</v>
      </c>
      <c r="G36" s="4">
        <f>H25*D_Assumptions!$D$9*D_Assumptions!$G42*D_Assumptions!$I42</f>
        <v>0</v>
      </c>
      <c r="H36" s="4">
        <f>I25*D_Assumptions!$D$9*D_Assumptions!$G42*D_Assumptions!$I42</f>
        <v>0</v>
      </c>
      <c r="I36" s="4">
        <f>J25*D_Assumptions!$D$9*D_Assumptions!$G42*D_Assumptions!$I42</f>
        <v>0</v>
      </c>
      <c r="J36" s="4">
        <f>K25*D_Assumptions!$D$9*D_Assumptions!$G42*D_Assumptions!$I42</f>
        <v>0</v>
      </c>
      <c r="K36" s="4">
        <f>L25*D_Assumptions!$D$9*D_Assumptions!$G42*D_Assumptions!$I42</f>
        <v>0</v>
      </c>
      <c r="L36" s="4">
        <f>M25*D_Assumptions!$D$9*D_Assumptions!$G42*D_Assumptions!$I42</f>
        <v>0</v>
      </c>
      <c r="M36" s="4">
        <f>N25*D_Assumptions!$D$9*D_Assumptions!$G42*D_Assumptions!$I42</f>
        <v>0</v>
      </c>
      <c r="N36" s="4">
        <f>O25*D_Assumptions!$D$9*D_Assumptions!$G42*D_Assumptions!$I42</f>
        <v>0</v>
      </c>
      <c r="O36" s="4">
        <f>P25*D_Assumptions!$D$9*D_Assumptions!$G42*D_Assumptions!$I42</f>
        <v>0</v>
      </c>
      <c r="P36" s="4">
        <f>Q25*D_Assumptions!$D$9*D_Assumptions!$G42*D_Assumptions!$I42</f>
        <v>0</v>
      </c>
      <c r="R36" s="1" t="b">
        <f>ABS(SUM(E36:P36)-D_Assumptions!$D$9*D_Assumptions!G42*D_Assumptions!I42)&lt;D_Assumptions!$D$89</f>
        <v>1</v>
      </c>
    </row>
    <row r="37" spans="2:18" x14ac:dyDescent="0.35">
      <c r="B37" t="s">
        <v>50</v>
      </c>
      <c r="C37" t="s">
        <v>13</v>
      </c>
      <c r="E37" s="4">
        <f>F26*D_Assumptions!$D$9*D_Assumptions!$G43*D_Assumptions!$I43</f>
        <v>0</v>
      </c>
      <c r="F37" s="4">
        <f>G26*D_Assumptions!$D$9*D_Assumptions!$G43*D_Assumptions!$I43</f>
        <v>0</v>
      </c>
      <c r="G37" s="4">
        <f>H26*D_Assumptions!$D$9*D_Assumptions!$G43*D_Assumptions!$I43</f>
        <v>1678522.5</v>
      </c>
      <c r="H37" s="4">
        <f>I26*D_Assumptions!$D$9*D_Assumptions!$G43*D_Assumptions!$I43</f>
        <v>0</v>
      </c>
      <c r="I37" s="4">
        <f>J26*D_Assumptions!$D$9*D_Assumptions!$G43*D_Assumptions!$I43</f>
        <v>0</v>
      </c>
      <c r="J37" s="4">
        <f>K26*D_Assumptions!$D$9*D_Assumptions!$G43*D_Assumptions!$I43</f>
        <v>0</v>
      </c>
      <c r="K37" s="4">
        <f>L26*D_Assumptions!$D$9*D_Assumptions!$G43*D_Assumptions!$I43</f>
        <v>0</v>
      </c>
      <c r="L37" s="4">
        <f>M26*D_Assumptions!$D$9*D_Assumptions!$G43*D_Assumptions!$I43</f>
        <v>0</v>
      </c>
      <c r="M37" s="4">
        <f>N26*D_Assumptions!$D$9*D_Assumptions!$G43*D_Assumptions!$I43</f>
        <v>0</v>
      </c>
      <c r="N37" s="4">
        <f>O26*D_Assumptions!$D$9*D_Assumptions!$G43*D_Assumptions!$I43</f>
        <v>0</v>
      </c>
      <c r="O37" s="4">
        <f>P26*D_Assumptions!$D$9*D_Assumptions!$G43*D_Assumptions!$I43</f>
        <v>0</v>
      </c>
      <c r="P37" s="4">
        <f>Q26*D_Assumptions!$D$9*D_Assumptions!$G43*D_Assumptions!$I43</f>
        <v>0</v>
      </c>
      <c r="R37" s="1" t="b">
        <f>ABS(SUM(E37:P37)-D_Assumptions!$D$9*D_Assumptions!G43*D_Assumptions!I43)&lt;D_Assumptions!$D$89</f>
        <v>1</v>
      </c>
    </row>
    <row r="38" spans="2:18" x14ac:dyDescent="0.35">
      <c r="B38" t="s">
        <v>51</v>
      </c>
      <c r="C38" t="s">
        <v>13</v>
      </c>
      <c r="E38" s="4">
        <f>F27*D_Assumptions!$D$9*D_Assumptions!$G44*D_Assumptions!$I44</f>
        <v>0</v>
      </c>
      <c r="F38" s="4">
        <f>G27*D_Assumptions!$D$9*D_Assumptions!$G44*D_Assumptions!$I44</f>
        <v>0</v>
      </c>
      <c r="G38" s="4">
        <f>H27*D_Assumptions!$D$9*D_Assumptions!$G44*D_Assumptions!$I44</f>
        <v>0</v>
      </c>
      <c r="H38" s="4">
        <f>I27*D_Assumptions!$D$9*D_Assumptions!$G44*D_Assumptions!$I44</f>
        <v>2636467.9000000004</v>
      </c>
      <c r="I38" s="4">
        <f>J27*D_Assumptions!$D$9*D_Assumptions!$G44*D_Assumptions!$I44</f>
        <v>0</v>
      </c>
      <c r="J38" s="4">
        <f>K27*D_Assumptions!$D$9*D_Assumptions!$G44*D_Assumptions!$I44</f>
        <v>0</v>
      </c>
      <c r="K38" s="4">
        <f>L27*D_Assumptions!$D$9*D_Assumptions!$G44*D_Assumptions!$I44</f>
        <v>0</v>
      </c>
      <c r="L38" s="4">
        <f>M27*D_Assumptions!$D$9*D_Assumptions!$G44*D_Assumptions!$I44</f>
        <v>0</v>
      </c>
      <c r="M38" s="4">
        <f>N27*D_Assumptions!$D$9*D_Assumptions!$G44*D_Assumptions!$I44</f>
        <v>0</v>
      </c>
      <c r="N38" s="4">
        <f>O27*D_Assumptions!$D$9*D_Assumptions!$G44*D_Assumptions!$I44</f>
        <v>0</v>
      </c>
      <c r="O38" s="4">
        <f>P27*D_Assumptions!$D$9*D_Assumptions!$G44*D_Assumptions!$I44</f>
        <v>0</v>
      </c>
      <c r="P38" s="4">
        <f>Q27*D_Assumptions!$D$9*D_Assumptions!$G44*D_Assumptions!$I44</f>
        <v>0</v>
      </c>
      <c r="R38" s="1" t="b">
        <f>ABS(SUM(E38:P38)-D_Assumptions!$D$9*D_Assumptions!G44*D_Assumptions!I44)&lt;D_Assumptions!$D$89</f>
        <v>1</v>
      </c>
    </row>
    <row r="39" spans="2:18" x14ac:dyDescent="0.35">
      <c r="B39" t="s">
        <v>52</v>
      </c>
      <c r="C39" t="s">
        <v>13</v>
      </c>
      <c r="E39" s="4">
        <f>F28*D_Assumptions!$D$9*D_Assumptions!$G45*D_Assumptions!$I45</f>
        <v>0</v>
      </c>
      <c r="F39" s="4">
        <f>G28*D_Assumptions!$D$9*D_Assumptions!$G45*D_Assumptions!$I45</f>
        <v>2714888</v>
      </c>
      <c r="G39" s="4">
        <f>H28*D_Assumptions!$D$9*D_Assumptions!$G45*D_Assumptions!$I45</f>
        <v>0</v>
      </c>
      <c r="H39" s="4">
        <f>I28*D_Assumptions!$D$9*D_Assumptions!$G45*D_Assumptions!$I45</f>
        <v>0</v>
      </c>
      <c r="I39" s="4">
        <f>J28*D_Assumptions!$D$9*D_Assumptions!$G45*D_Assumptions!$I45</f>
        <v>0</v>
      </c>
      <c r="J39" s="4">
        <f>K28*D_Assumptions!$D$9*D_Assumptions!$G45*D_Assumptions!$I45</f>
        <v>0</v>
      </c>
      <c r="K39" s="4">
        <f>L28*D_Assumptions!$D$9*D_Assumptions!$G45*D_Assumptions!$I45</f>
        <v>0</v>
      </c>
      <c r="L39" s="4">
        <f>M28*D_Assumptions!$D$9*D_Assumptions!$G45*D_Assumptions!$I45</f>
        <v>0</v>
      </c>
      <c r="M39" s="4">
        <f>N28*D_Assumptions!$D$9*D_Assumptions!$G45*D_Assumptions!$I45</f>
        <v>0</v>
      </c>
      <c r="N39" s="4">
        <f>O28*D_Assumptions!$D$9*D_Assumptions!$G45*D_Assumptions!$I45</f>
        <v>0</v>
      </c>
      <c r="O39" s="4">
        <f>P28*D_Assumptions!$D$9*D_Assumptions!$G45*D_Assumptions!$I45</f>
        <v>0</v>
      </c>
      <c r="P39" s="4">
        <f>Q28*D_Assumptions!$D$9*D_Assumptions!$G45*D_Assumptions!$I45</f>
        <v>0</v>
      </c>
      <c r="R39" s="1" t="b">
        <f>ABS(SUM(E39:P39)-D_Assumptions!$D$9*D_Assumptions!G45*D_Assumptions!I45)&lt;D_Assumptions!$D$89</f>
        <v>1</v>
      </c>
    </row>
    <row r="40" spans="2:18" x14ac:dyDescent="0.35">
      <c r="B40" t="s">
        <v>53</v>
      </c>
      <c r="C40" t="s">
        <v>13</v>
      </c>
      <c r="E40" s="4">
        <f>F29*D_Assumptions!$D$9*D_Assumptions!$G46*D_Assumptions!$I46</f>
        <v>4354297.3</v>
      </c>
      <c r="F40" s="4">
        <f>G29*D_Assumptions!$D$9*D_Assumptions!$G46*D_Assumptions!$I46</f>
        <v>0</v>
      </c>
      <c r="G40" s="4">
        <f>H29*D_Assumptions!$D$9*D_Assumptions!$G46*D_Assumptions!$I46</f>
        <v>0</v>
      </c>
      <c r="H40" s="4">
        <f>I29*D_Assumptions!$D$9*D_Assumptions!$G46*D_Assumptions!$I46</f>
        <v>0</v>
      </c>
      <c r="I40" s="4">
        <f>J29*D_Assumptions!$D$9*D_Assumptions!$G46*D_Assumptions!$I46</f>
        <v>0</v>
      </c>
      <c r="J40" s="4">
        <f>K29*D_Assumptions!$D$9*D_Assumptions!$G46*D_Assumptions!$I46</f>
        <v>0</v>
      </c>
      <c r="K40" s="4">
        <f>L29*D_Assumptions!$D$9*D_Assumptions!$G46*D_Assumptions!$I46</f>
        <v>0</v>
      </c>
      <c r="L40" s="4">
        <f>M29*D_Assumptions!$D$9*D_Assumptions!$G46*D_Assumptions!$I46</f>
        <v>0</v>
      </c>
      <c r="M40" s="4">
        <f>N29*D_Assumptions!$D$9*D_Assumptions!$G46*D_Assumptions!$I46</f>
        <v>0</v>
      </c>
      <c r="N40" s="4">
        <f>O29*D_Assumptions!$D$9*D_Assumptions!$G46*D_Assumptions!$I46</f>
        <v>0</v>
      </c>
      <c r="O40" s="4">
        <f>P29*D_Assumptions!$D$9*D_Assumptions!$G46*D_Assumptions!$I46</f>
        <v>0</v>
      </c>
      <c r="P40" s="4">
        <f>Q29*D_Assumptions!$D$9*D_Assumptions!$G46*D_Assumptions!$I46</f>
        <v>0</v>
      </c>
      <c r="R40" s="1" t="b">
        <f>ABS(SUM(E40:P40)-D_Assumptions!$D$9*D_Assumptions!G46*D_Assumptions!I46)&lt;D_Assumptions!$D$89</f>
        <v>1</v>
      </c>
    </row>
    <row r="41" spans="2:18" x14ac:dyDescent="0.35">
      <c r="B41" t="s">
        <v>54</v>
      </c>
      <c r="C41" t="s">
        <v>13</v>
      </c>
      <c r="E41" s="4">
        <f>F30*D_Assumptions!$D$9*D_Assumptions!$G47*D_Assumptions!$I47</f>
        <v>0</v>
      </c>
      <c r="F41" s="4">
        <f>G30*D_Assumptions!$D$9*D_Assumptions!$G47*D_Assumptions!$I47</f>
        <v>0</v>
      </c>
      <c r="G41" s="4">
        <f>H30*D_Assumptions!$D$9*D_Assumptions!$G47*D_Assumptions!$I47</f>
        <v>0</v>
      </c>
      <c r="H41" s="4">
        <f>I30*D_Assumptions!$D$9*D_Assumptions!$G47*D_Assumptions!$I47</f>
        <v>0</v>
      </c>
      <c r="I41" s="4">
        <f>J30*D_Assumptions!$D$9*D_Assumptions!$G47*D_Assumptions!$I47</f>
        <v>0</v>
      </c>
      <c r="J41" s="4">
        <f>K30*D_Assumptions!$D$9*D_Assumptions!$G47*D_Assumptions!$I47</f>
        <v>1141810.3</v>
      </c>
      <c r="K41" s="4">
        <f>L30*D_Assumptions!$D$9*D_Assumptions!$G47*D_Assumptions!$I47</f>
        <v>0</v>
      </c>
      <c r="L41" s="4">
        <f>M30*D_Assumptions!$D$9*D_Assumptions!$G47*D_Assumptions!$I47</f>
        <v>0</v>
      </c>
      <c r="M41" s="4">
        <f>N30*D_Assumptions!$D$9*D_Assumptions!$G47*D_Assumptions!$I47</f>
        <v>0</v>
      </c>
      <c r="N41" s="4">
        <f>O30*D_Assumptions!$D$9*D_Assumptions!$G47*D_Assumptions!$I47</f>
        <v>0</v>
      </c>
      <c r="O41" s="4">
        <f>P30*D_Assumptions!$D$9*D_Assumptions!$G47*D_Assumptions!$I47</f>
        <v>0</v>
      </c>
      <c r="P41" s="4">
        <f>Q30*D_Assumptions!$D$9*D_Assumptions!$G47*D_Assumptions!$I47</f>
        <v>0</v>
      </c>
      <c r="R41" s="1" t="b">
        <f>ABS(SUM(E41:P41)-D_Assumptions!$D$9*D_Assumptions!G47*D_Assumptions!I47)&lt;D_Assumptions!$D$89</f>
        <v>1</v>
      </c>
    </row>
    <row r="42" spans="2:18" x14ac:dyDescent="0.35">
      <c r="B42" t="s">
        <v>55</v>
      </c>
      <c r="C42" t="s">
        <v>13</v>
      </c>
      <c r="E42" s="4">
        <f>F31*D_Assumptions!$D$9*D_Assumptions!$G48*D_Assumptions!$I48</f>
        <v>0</v>
      </c>
      <c r="F42" s="4">
        <f>G31*D_Assumptions!$D$9*D_Assumptions!$G48*D_Assumptions!$I48</f>
        <v>0</v>
      </c>
      <c r="G42" s="4">
        <f>H31*D_Assumptions!$D$9*D_Assumptions!$G48*D_Assumptions!$I48</f>
        <v>1798585.4000000001</v>
      </c>
      <c r="H42" s="4">
        <f>I31*D_Assumptions!$D$9*D_Assumptions!$G48*D_Assumptions!$I48</f>
        <v>0</v>
      </c>
      <c r="I42" s="4">
        <f>J31*D_Assumptions!$D$9*D_Assumptions!$G48*D_Assumptions!$I48</f>
        <v>0</v>
      </c>
      <c r="J42" s="4">
        <f>K31*D_Assumptions!$D$9*D_Assumptions!$G48*D_Assumptions!$I48</f>
        <v>0</v>
      </c>
      <c r="K42" s="4">
        <f>L31*D_Assumptions!$D$9*D_Assumptions!$G48*D_Assumptions!$I48</f>
        <v>0</v>
      </c>
      <c r="L42" s="4">
        <f>M31*D_Assumptions!$D$9*D_Assumptions!$G48*D_Assumptions!$I48</f>
        <v>0</v>
      </c>
      <c r="M42" s="4">
        <f>N31*D_Assumptions!$D$9*D_Assumptions!$G48*D_Assumptions!$I48</f>
        <v>0</v>
      </c>
      <c r="N42" s="4">
        <f>O31*D_Assumptions!$D$9*D_Assumptions!$G48*D_Assumptions!$I48</f>
        <v>0</v>
      </c>
      <c r="O42" s="4">
        <f>P31*D_Assumptions!$D$9*D_Assumptions!$G48*D_Assumptions!$I48</f>
        <v>0</v>
      </c>
      <c r="P42" s="4">
        <f>Q31*D_Assumptions!$D$9*D_Assumptions!$G48*D_Assumptions!$I48</f>
        <v>0</v>
      </c>
      <c r="R42" s="1" t="b">
        <f>ABS(SUM(E42:P42)-D_Assumptions!$D$9*D_Assumptions!G48*D_Assumptions!I48)&lt;D_Assumptions!$D$89</f>
        <v>1</v>
      </c>
    </row>
    <row r="43" spans="2:18" x14ac:dyDescent="0.35">
      <c r="B43" t="s">
        <v>56</v>
      </c>
      <c r="C43" t="s">
        <v>13</v>
      </c>
      <c r="E43" s="4">
        <f>F32*D_Assumptions!$D$9*D_Assumptions!$G49*D_Assumptions!$I49</f>
        <v>0</v>
      </c>
      <c r="F43" s="4">
        <f>G32*D_Assumptions!$D$9*D_Assumptions!$G49*D_Assumptions!$I49</f>
        <v>0</v>
      </c>
      <c r="G43" s="4">
        <f>H32*D_Assumptions!$D$9*D_Assumptions!$G49*D_Assumptions!$I49</f>
        <v>0</v>
      </c>
      <c r="H43" s="4">
        <f>I32*D_Assumptions!$D$9*D_Assumptions!$G49*D_Assumptions!$I49</f>
        <v>1680500.7000000002</v>
      </c>
      <c r="I43" s="4">
        <f>J32*D_Assumptions!$D$9*D_Assumptions!$G49*D_Assumptions!$I49</f>
        <v>0</v>
      </c>
      <c r="J43" s="4">
        <f>K32*D_Assumptions!$D$9*D_Assumptions!$G49*D_Assumptions!$I49</f>
        <v>0</v>
      </c>
      <c r="K43" s="4">
        <f>L32*D_Assumptions!$D$9*D_Assumptions!$G49*D_Assumptions!$I49</f>
        <v>0</v>
      </c>
      <c r="L43" s="4">
        <f>M32*D_Assumptions!$D$9*D_Assumptions!$G49*D_Assumptions!$I49</f>
        <v>0</v>
      </c>
      <c r="M43" s="4">
        <f>N32*D_Assumptions!$D$9*D_Assumptions!$G49*D_Assumptions!$I49</f>
        <v>0</v>
      </c>
      <c r="N43" s="4">
        <f>O32*D_Assumptions!$D$9*D_Assumptions!$G49*D_Assumptions!$I49</f>
        <v>0</v>
      </c>
      <c r="O43" s="4">
        <f>P32*D_Assumptions!$D$9*D_Assumptions!$G49*D_Assumptions!$I49</f>
        <v>0</v>
      </c>
      <c r="P43" s="4">
        <f>Q32*D_Assumptions!$D$9*D_Assumptions!$G49*D_Assumptions!$I49</f>
        <v>0</v>
      </c>
      <c r="R43" s="1" t="b">
        <f>ABS(SUM(E43:P43)-D_Assumptions!$D$9*D_Assumptions!G49*D_Assumptions!I49)&lt;D_Assumptions!$D$89</f>
        <v>1</v>
      </c>
    </row>
    <row r="44" spans="2:18" x14ac:dyDescent="0.35">
      <c r="B44" s="5" t="s">
        <v>57</v>
      </c>
      <c r="C44" s="5" t="s">
        <v>13</v>
      </c>
      <c r="D44" s="5"/>
      <c r="E44" s="36">
        <f>F33*D_Assumptions!$D$9*D_Assumptions!$G50*D_Assumptions!$I50</f>
        <v>844857</v>
      </c>
      <c r="F44" s="36">
        <f>G33*D_Assumptions!$D$9*D_Assumptions!$G50*D_Assumptions!$I50</f>
        <v>0</v>
      </c>
      <c r="G44" s="36">
        <f>H33*D_Assumptions!$D$9*D_Assumptions!$G50*D_Assumptions!$I50</f>
        <v>0</v>
      </c>
      <c r="H44" s="36">
        <f>I33*D_Assumptions!$D$9*D_Assumptions!$G50*D_Assumptions!$I50</f>
        <v>0</v>
      </c>
      <c r="I44" s="36">
        <f>J33*D_Assumptions!$D$9*D_Assumptions!$G50*D_Assumptions!$I50</f>
        <v>0</v>
      </c>
      <c r="J44" s="36">
        <f>K33*D_Assumptions!$D$9*D_Assumptions!$G50*D_Assumptions!$I50</f>
        <v>0</v>
      </c>
      <c r="K44" s="36">
        <f>L33*D_Assumptions!$D$9*D_Assumptions!$G50*D_Assumptions!$I50</f>
        <v>0</v>
      </c>
      <c r="L44" s="36">
        <f>M33*D_Assumptions!$D$9*D_Assumptions!$G50*D_Assumptions!$I50</f>
        <v>0</v>
      </c>
      <c r="M44" s="36">
        <f>N33*D_Assumptions!$D$9*D_Assumptions!$G50*D_Assumptions!$I50</f>
        <v>0</v>
      </c>
      <c r="N44" s="36">
        <f>O33*D_Assumptions!$D$9*D_Assumptions!$G50*D_Assumptions!$I50</f>
        <v>0</v>
      </c>
      <c r="O44" s="36">
        <f>P33*D_Assumptions!$D$9*D_Assumptions!$G50*D_Assumptions!$I50</f>
        <v>0</v>
      </c>
      <c r="P44" s="36">
        <f>Q33*D_Assumptions!$D$9*D_Assumptions!$G50*D_Assumptions!$I50</f>
        <v>0</v>
      </c>
      <c r="R44" s="1" t="b">
        <f>ABS(SUM(E44:P44)-D_Assumptions!$D$9*D_Assumptions!G50*D_Assumptions!I50)&lt;D_Assumptions!$D$89</f>
        <v>1</v>
      </c>
    </row>
    <row r="45" spans="2:18" x14ac:dyDescent="0.35">
      <c r="B45" s="24" t="s">
        <v>102</v>
      </c>
      <c r="C45" s="1"/>
      <c r="D45" s="1"/>
      <c r="E45" s="19">
        <f>SUM(E35:E44)</f>
        <v>7294566.9000000004</v>
      </c>
      <c r="F45" s="19">
        <f t="shared" ref="F45" si="14">SUM(F35:F44)</f>
        <v>2714888</v>
      </c>
      <c r="G45" s="19">
        <f t="shared" ref="G45" si="15">SUM(G35:G44)</f>
        <v>3477107.9000000004</v>
      </c>
      <c r="H45" s="19">
        <f t="shared" ref="H45" si="16">SUM(H35:H44)</f>
        <v>4316968.6000000006</v>
      </c>
      <c r="I45" s="19">
        <f t="shared" ref="I45" si="17">SUM(I35:I44)</f>
        <v>0</v>
      </c>
      <c r="J45" s="19">
        <f t="shared" ref="J45" si="18">SUM(J35:J44)</f>
        <v>1900957.4000000001</v>
      </c>
      <c r="K45" s="19">
        <f t="shared" ref="K45" si="19">SUM(K35:K44)</f>
        <v>0</v>
      </c>
      <c r="L45" s="19">
        <f t="shared" ref="L45" si="20">SUM(L35:L44)</f>
        <v>0</v>
      </c>
      <c r="M45" s="19">
        <f t="shared" ref="M45" si="21">SUM(M35:M44)</f>
        <v>0</v>
      </c>
      <c r="N45" s="19">
        <f t="shared" ref="N45" si="22">SUM(N35:N44)</f>
        <v>0</v>
      </c>
      <c r="O45" s="19">
        <f t="shared" ref="O45" si="23">SUM(O35:O44)</f>
        <v>0</v>
      </c>
      <c r="P45" s="19">
        <f t="shared" ref="P45" si="24">SUM(P35:P44)</f>
        <v>0</v>
      </c>
    </row>
    <row r="46" spans="2:18" x14ac:dyDescent="0.35">
      <c r="B46" s="24"/>
      <c r="C46" s="1"/>
      <c r="D46" s="1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2:18" x14ac:dyDescent="0.35">
      <c r="B47" t="s">
        <v>48</v>
      </c>
      <c r="C47" t="s">
        <v>13</v>
      </c>
      <c r="E47" s="37">
        <f>-1*SUM($E35:$P35)*D_Assumptions!E54</f>
        <v>0</v>
      </c>
      <c r="F47" s="37">
        <f>-1*SUM($E35:$P35)*D_Assumptions!F54</f>
        <v>0</v>
      </c>
      <c r="G47" s="37">
        <f>-1*SUM($E35:$P35)*D_Assumptions!G54</f>
        <v>0</v>
      </c>
      <c r="H47" s="37">
        <f>-1*SUM($E35:$P35)*D_Assumptions!H54</f>
        <v>0</v>
      </c>
      <c r="I47" s="37">
        <f>-1*SUM($E35:$P35)*D_Assumptions!I54</f>
        <v>0</v>
      </c>
      <c r="J47" s="37">
        <f>-1*SUM($E35:$P35)*D_Assumptions!J54</f>
        <v>0</v>
      </c>
      <c r="K47" s="37">
        <f>-1*SUM($E35:$P35)*D_Assumptions!K54</f>
        <v>-75914.710000000006</v>
      </c>
      <c r="L47" s="37">
        <f>-1*SUM($E35:$P35)*D_Assumptions!L54</f>
        <v>-151829.42000000001</v>
      </c>
      <c r="M47" s="37">
        <f>-1*SUM($E35:$P35)*D_Assumptions!M54</f>
        <v>-189786.77500000002</v>
      </c>
      <c r="N47" s="37">
        <f>-1*SUM($E35:$P35)*D_Assumptions!N54</f>
        <v>-189786.77500000002</v>
      </c>
      <c r="O47" s="37">
        <f>-1*SUM($E35:$P35)*D_Assumptions!O54</f>
        <v>-151829.42000000001</v>
      </c>
      <c r="P47" s="37">
        <f>-1*SUM($E35:$P35)*D_Assumptions!P54</f>
        <v>0</v>
      </c>
      <c r="R47" s="1" t="b">
        <f>ABS(SUM(E47:P47)+D_Assumptions!$D$9*D_Assumptions!G41*D_Assumptions!Q54*D_Assumptions!I41)&lt;D_Assumptions!$D$89</f>
        <v>1</v>
      </c>
    </row>
    <row r="48" spans="2:18" x14ac:dyDescent="0.35">
      <c r="B48" t="s">
        <v>49</v>
      </c>
      <c r="C48" t="s">
        <v>13</v>
      </c>
      <c r="E48" s="37">
        <f>-1*SUM($E36:$P36)*D_Assumptions!E55</f>
        <v>0</v>
      </c>
      <c r="F48" s="37">
        <f>-1*SUM($E36:$P36)*D_Assumptions!F55</f>
        <v>-104770.63</v>
      </c>
      <c r="G48" s="37">
        <f>-1*SUM($E36:$P36)*D_Assumptions!G55</f>
        <v>-209541.26</v>
      </c>
      <c r="H48" s="37">
        <f>-1*SUM($E36:$P36)*D_Assumptions!H55</f>
        <v>-314311.89</v>
      </c>
      <c r="I48" s="37">
        <f>-1*SUM($E36:$P36)*D_Assumptions!I55</f>
        <v>-419082.52</v>
      </c>
      <c r="J48" s="37">
        <f>-1*SUM($E36:$P36)*D_Assumptions!J55</f>
        <v>-419082.52</v>
      </c>
      <c r="K48" s="37">
        <f>-1*SUM($E36:$P36)*D_Assumptions!K55</f>
        <v>-419082.52</v>
      </c>
      <c r="L48" s="37">
        <f>-1*SUM($E36:$P36)*D_Assumptions!L55</f>
        <v>-209541.26</v>
      </c>
      <c r="M48" s="37">
        <f>-1*SUM($E36:$P36)*D_Assumptions!M55</f>
        <v>0</v>
      </c>
      <c r="N48" s="37">
        <f>-1*SUM($E36:$P36)*D_Assumptions!N55</f>
        <v>0</v>
      </c>
      <c r="O48" s="37">
        <f>-1*SUM($E36:$P36)*D_Assumptions!O55</f>
        <v>0</v>
      </c>
      <c r="P48" s="37">
        <f>-1*SUM($E36:$P36)*D_Assumptions!P55</f>
        <v>0</v>
      </c>
      <c r="R48" s="1" t="b">
        <f>ABS(SUM(E48:P48)+D_Assumptions!$D$9*D_Assumptions!G42*D_Assumptions!Q55*D_Assumptions!I42)&lt;D_Assumptions!$D$89</f>
        <v>1</v>
      </c>
    </row>
    <row r="49" spans="2:18" x14ac:dyDescent="0.35">
      <c r="B49" t="s">
        <v>50</v>
      </c>
      <c r="C49" t="s">
        <v>13</v>
      </c>
      <c r="E49" s="37">
        <f>-1*SUM($E37:$P37)*D_Assumptions!E56</f>
        <v>0</v>
      </c>
      <c r="F49" s="37">
        <f>-1*SUM($E37:$P37)*D_Assumptions!F56</f>
        <v>0</v>
      </c>
      <c r="G49" s="37">
        <f>-1*SUM($E37:$P37)*D_Assumptions!G56</f>
        <v>0</v>
      </c>
      <c r="H49" s="37">
        <f>-1*SUM($E37:$P37)*D_Assumptions!H56</f>
        <v>-83926.125</v>
      </c>
      <c r="I49" s="37">
        <f>-1*SUM($E37:$P37)*D_Assumptions!I56</f>
        <v>-167852.25</v>
      </c>
      <c r="J49" s="37">
        <f>-1*SUM($E37:$P37)*D_Assumptions!J56</f>
        <v>-251778.375</v>
      </c>
      <c r="K49" s="37">
        <f>-1*SUM($E37:$P37)*D_Assumptions!K56</f>
        <v>-335704.5</v>
      </c>
      <c r="L49" s="37">
        <f>-1*SUM($E37:$P37)*D_Assumptions!L56</f>
        <v>-335704.5</v>
      </c>
      <c r="M49" s="37">
        <f>-1*SUM($E37:$P37)*D_Assumptions!M56</f>
        <v>-335704.5</v>
      </c>
      <c r="N49" s="37">
        <f>-1*SUM($E37:$P37)*D_Assumptions!N56</f>
        <v>-167852.25</v>
      </c>
      <c r="O49" s="37">
        <f>-1*SUM($E37:$P37)*D_Assumptions!O56</f>
        <v>0</v>
      </c>
      <c r="P49" s="37">
        <f>-1*SUM($E37:$P37)*D_Assumptions!P56</f>
        <v>0</v>
      </c>
      <c r="R49" s="1" t="b">
        <f>ABS(SUM(E49:P49)+D_Assumptions!$D$9*D_Assumptions!G43*D_Assumptions!Q56*D_Assumptions!I43)&lt;D_Assumptions!$D$89</f>
        <v>1</v>
      </c>
    </row>
    <row r="50" spans="2:18" x14ac:dyDescent="0.35">
      <c r="B50" t="s">
        <v>51</v>
      </c>
      <c r="C50" t="s">
        <v>13</v>
      </c>
      <c r="E50" s="37">
        <f>-1*SUM($E38:$P38)*D_Assumptions!E57</f>
        <v>0</v>
      </c>
      <c r="F50" s="37">
        <f>-1*SUM($E38:$P38)*D_Assumptions!F57</f>
        <v>0</v>
      </c>
      <c r="G50" s="37">
        <f>-1*SUM($E38:$P38)*D_Assumptions!G57</f>
        <v>0</v>
      </c>
      <c r="H50" s="37">
        <f>-1*SUM($E38:$P38)*D_Assumptions!H57</f>
        <v>0</v>
      </c>
      <c r="I50" s="37">
        <f>-1*SUM($E38:$P38)*D_Assumptions!I57</f>
        <v>-131823.39500000002</v>
      </c>
      <c r="J50" s="37">
        <f>-1*SUM($E38:$P38)*D_Assumptions!J57</f>
        <v>-263646.79000000004</v>
      </c>
      <c r="K50" s="37">
        <f>-1*SUM($E38:$P38)*D_Assumptions!K57</f>
        <v>-395470.18500000006</v>
      </c>
      <c r="L50" s="37">
        <f>-1*SUM($E38:$P38)*D_Assumptions!L57</f>
        <v>-527293.58000000007</v>
      </c>
      <c r="M50" s="37">
        <f>-1*SUM($E38:$P38)*D_Assumptions!M57</f>
        <v>-527293.58000000007</v>
      </c>
      <c r="N50" s="37">
        <f>-1*SUM($E38:$P38)*D_Assumptions!N57</f>
        <v>-527293.58000000007</v>
      </c>
      <c r="O50" s="37">
        <f>-1*SUM($E38:$P38)*D_Assumptions!O57</f>
        <v>-263646.79000000004</v>
      </c>
      <c r="P50" s="37">
        <f>-1*SUM($E38:$P38)*D_Assumptions!P57</f>
        <v>0</v>
      </c>
      <c r="R50" s="1" t="b">
        <f>ABS(SUM(E50:P50)+D_Assumptions!$D$9*D_Assumptions!G44*D_Assumptions!Q57*D_Assumptions!I44)&lt;D_Assumptions!$D$89</f>
        <v>1</v>
      </c>
    </row>
    <row r="51" spans="2:18" x14ac:dyDescent="0.35">
      <c r="B51" t="s">
        <v>52</v>
      </c>
      <c r="C51" t="s">
        <v>13</v>
      </c>
      <c r="E51" s="37">
        <f>-1*SUM($E39:$P39)*D_Assumptions!E58</f>
        <v>0</v>
      </c>
      <c r="F51" s="37">
        <f>-1*SUM($E39:$P39)*D_Assumptions!F58</f>
        <v>0</v>
      </c>
      <c r="G51" s="37">
        <f>-1*SUM($E39:$P39)*D_Assumptions!G58</f>
        <v>-135744.4</v>
      </c>
      <c r="H51" s="37">
        <f>-1*SUM($E39:$P39)*D_Assumptions!H58</f>
        <v>-271488.8</v>
      </c>
      <c r="I51" s="37">
        <f>-1*SUM($E39:$P39)*D_Assumptions!I58</f>
        <v>-407233.2</v>
      </c>
      <c r="J51" s="37">
        <f>-1*SUM($E39:$P39)*D_Assumptions!J58</f>
        <v>-542977.6</v>
      </c>
      <c r="K51" s="37">
        <f>-1*SUM($E39:$P39)*D_Assumptions!K58</f>
        <v>-542977.6</v>
      </c>
      <c r="L51" s="37">
        <f>-1*SUM($E39:$P39)*D_Assumptions!L58</f>
        <v>-542977.6</v>
      </c>
      <c r="M51" s="37">
        <f>-1*SUM($E39:$P39)*D_Assumptions!M58</f>
        <v>-271488.8</v>
      </c>
      <c r="N51" s="37">
        <f>-1*SUM($E39:$P39)*D_Assumptions!N58</f>
        <v>0</v>
      </c>
      <c r="O51" s="37">
        <f>-1*SUM($E39:$P39)*D_Assumptions!O58</f>
        <v>0</v>
      </c>
      <c r="P51" s="37">
        <f>-1*SUM($E39:$P39)*D_Assumptions!P58</f>
        <v>0</v>
      </c>
      <c r="R51" s="1" t="b">
        <f>ABS(SUM(E51:P51)+D_Assumptions!$D$9*D_Assumptions!G45*D_Assumptions!Q58*D_Assumptions!I45)&lt;D_Assumptions!$D$89</f>
        <v>1</v>
      </c>
    </row>
    <row r="52" spans="2:18" x14ac:dyDescent="0.35">
      <c r="B52" t="s">
        <v>53</v>
      </c>
      <c r="C52" t="s">
        <v>13</v>
      </c>
      <c r="E52" s="37">
        <f>-1*SUM($E40:$P40)*D_Assumptions!E59</f>
        <v>0</v>
      </c>
      <c r="F52" s="37">
        <f>-1*SUM($E40:$P40)*D_Assumptions!F59</f>
        <v>-217714.86499999999</v>
      </c>
      <c r="G52" s="37">
        <f>-1*SUM($E40:$P40)*D_Assumptions!G59</f>
        <v>-348343.78399999999</v>
      </c>
      <c r="H52" s="37">
        <f>-1*SUM($E40:$P40)*D_Assumptions!H59</f>
        <v>-435429.73</v>
      </c>
      <c r="I52" s="37">
        <f>-1*SUM($E40:$P40)*D_Assumptions!I59</f>
        <v>-653144.59499999997</v>
      </c>
      <c r="J52" s="37">
        <f>-1*SUM($E40:$P40)*D_Assumptions!J59</f>
        <v>-653144.59499999997</v>
      </c>
      <c r="K52" s="37">
        <f>-1*SUM($E40:$P40)*D_Assumptions!K59</f>
        <v>-653144.59499999997</v>
      </c>
      <c r="L52" s="37">
        <f>-1*SUM($E40:$P40)*D_Assumptions!L59</f>
        <v>-653144.59499999997</v>
      </c>
      <c r="M52" s="37">
        <f>-1*SUM($E40:$P40)*D_Assumptions!M59</f>
        <v>-653144.59499999997</v>
      </c>
      <c r="N52" s="37">
        <f>-1*SUM($E40:$P40)*D_Assumptions!N59</f>
        <v>-87085.945999999996</v>
      </c>
      <c r="O52" s="37">
        <f>-1*SUM($E40:$P40)*D_Assumptions!O59</f>
        <v>0</v>
      </c>
      <c r="P52" s="37">
        <f>-1*SUM($E40:$P40)*D_Assumptions!P59</f>
        <v>0</v>
      </c>
      <c r="R52" s="1" t="b">
        <f>ABS(SUM(E52:P52)+D_Assumptions!$D$9*D_Assumptions!G46*D_Assumptions!Q59*D_Assumptions!I46)&lt;D_Assumptions!$D$89</f>
        <v>1</v>
      </c>
    </row>
    <row r="53" spans="2:18" x14ac:dyDescent="0.35">
      <c r="B53" t="s">
        <v>54</v>
      </c>
      <c r="C53" t="s">
        <v>13</v>
      </c>
      <c r="E53" s="37">
        <f>-1*SUM($E41:$P41)*D_Assumptions!E60</f>
        <v>0</v>
      </c>
      <c r="F53" s="37">
        <f>-1*SUM($E41:$P41)*D_Assumptions!F60</f>
        <v>0</v>
      </c>
      <c r="G53" s="37">
        <f>-1*SUM($E41:$P41)*D_Assumptions!G60</f>
        <v>0</v>
      </c>
      <c r="H53" s="37">
        <f>-1*SUM($E41:$P41)*D_Assumptions!H60</f>
        <v>0</v>
      </c>
      <c r="I53" s="37">
        <f>-1*SUM($E41:$P41)*D_Assumptions!I60</f>
        <v>0</v>
      </c>
      <c r="J53" s="37">
        <f>-1*SUM($E41:$P41)*D_Assumptions!J60</f>
        <v>0</v>
      </c>
      <c r="K53" s="37">
        <f>-1*SUM($E41:$P41)*D_Assumptions!K60</f>
        <v>-114181.03000000001</v>
      </c>
      <c r="L53" s="37">
        <f>-1*SUM($E41:$P41)*D_Assumptions!L60</f>
        <v>-228362.06000000003</v>
      </c>
      <c r="M53" s="37">
        <f>-1*SUM($E41:$P41)*D_Assumptions!M60</f>
        <v>-285452.57500000001</v>
      </c>
      <c r="N53" s="37">
        <f>-1*SUM($E41:$P41)*D_Assumptions!N60</f>
        <v>-285452.57500000001</v>
      </c>
      <c r="O53" s="37">
        <f>-1*SUM($E41:$P41)*D_Assumptions!O60</f>
        <v>-228362.06000000003</v>
      </c>
      <c r="P53" s="37">
        <f>-1*SUM($E41:$P41)*D_Assumptions!P60</f>
        <v>0</v>
      </c>
      <c r="R53" s="1" t="b">
        <f>ABS(SUM(E53:P53)+D_Assumptions!$D$9*D_Assumptions!G47*D_Assumptions!Q60*D_Assumptions!I47)&lt;D_Assumptions!$D$89</f>
        <v>1</v>
      </c>
    </row>
    <row r="54" spans="2:18" x14ac:dyDescent="0.35">
      <c r="B54" t="s">
        <v>55</v>
      </c>
      <c r="C54" t="s">
        <v>13</v>
      </c>
      <c r="E54" s="37">
        <f>-1*SUM($E42:$P42)*D_Assumptions!E61</f>
        <v>0</v>
      </c>
      <c r="F54" s="37">
        <f>-1*SUM($E42:$P42)*D_Assumptions!F61</f>
        <v>0</v>
      </c>
      <c r="G54" s="37">
        <f>-1*SUM($E42:$P42)*D_Assumptions!G61</f>
        <v>0</v>
      </c>
      <c r="H54" s="37">
        <f>-1*SUM($E42:$P42)*D_Assumptions!H61</f>
        <v>-89929.270000000019</v>
      </c>
      <c r="I54" s="37">
        <f>-1*SUM($E42:$P42)*D_Assumptions!I61</f>
        <v>-179858.54000000004</v>
      </c>
      <c r="J54" s="37">
        <f>-1*SUM($E42:$P42)*D_Assumptions!J61</f>
        <v>-269787.81</v>
      </c>
      <c r="K54" s="37">
        <f>-1*SUM($E42:$P42)*D_Assumptions!K61</f>
        <v>-359717.08000000007</v>
      </c>
      <c r="L54" s="37">
        <f>-1*SUM($E42:$P42)*D_Assumptions!L61</f>
        <v>-359717.08000000007</v>
      </c>
      <c r="M54" s="37">
        <f>-1*SUM($E42:$P42)*D_Assumptions!M61</f>
        <v>-359717.08000000007</v>
      </c>
      <c r="N54" s="37">
        <f>-1*SUM($E42:$P42)*D_Assumptions!N61</f>
        <v>-179858.54000000004</v>
      </c>
      <c r="O54" s="37">
        <f>-1*SUM($E42:$P42)*D_Assumptions!O61</f>
        <v>0</v>
      </c>
      <c r="P54" s="37">
        <f>-1*SUM($E42:$P42)*D_Assumptions!P61</f>
        <v>0</v>
      </c>
      <c r="R54" s="1" t="b">
        <f>ABS(SUM(E54:P54)+D_Assumptions!$D$9*D_Assumptions!G48*D_Assumptions!Q61*D_Assumptions!I48)&lt;D_Assumptions!$D$89</f>
        <v>1</v>
      </c>
    </row>
    <row r="55" spans="2:18" x14ac:dyDescent="0.35">
      <c r="B55" t="s">
        <v>56</v>
      </c>
      <c r="C55" t="s">
        <v>13</v>
      </c>
      <c r="E55" s="37">
        <f>-1*SUM($E43:$P43)*D_Assumptions!E62</f>
        <v>0</v>
      </c>
      <c r="F55" s="37">
        <f>-1*SUM($E43:$P43)*D_Assumptions!F62</f>
        <v>0</v>
      </c>
      <c r="G55" s="37">
        <f>-1*SUM($E43:$P43)*D_Assumptions!G62</f>
        <v>0</v>
      </c>
      <c r="H55" s="37">
        <f>-1*SUM($E43:$P43)*D_Assumptions!H62</f>
        <v>0</v>
      </c>
      <c r="I55" s="37">
        <f>-1*SUM($E43:$P43)*D_Assumptions!I62</f>
        <v>-84025.035000000018</v>
      </c>
      <c r="J55" s="37">
        <f>-1*SUM($E43:$P43)*D_Assumptions!J62</f>
        <v>-168050.07000000004</v>
      </c>
      <c r="K55" s="37">
        <f>-1*SUM($E43:$P43)*D_Assumptions!K62</f>
        <v>-252075.10500000001</v>
      </c>
      <c r="L55" s="37">
        <f>-1*SUM($E43:$P43)*D_Assumptions!L62</f>
        <v>-336100.14000000007</v>
      </c>
      <c r="M55" s="37">
        <f>-1*SUM($E43:$P43)*D_Assumptions!M62</f>
        <v>-336100.14000000007</v>
      </c>
      <c r="N55" s="37">
        <f>-1*SUM($E43:$P43)*D_Assumptions!N62</f>
        <v>-336100.14000000007</v>
      </c>
      <c r="O55" s="37">
        <f>-1*SUM($E43:$P43)*D_Assumptions!O62</f>
        <v>-168050.07000000004</v>
      </c>
      <c r="P55" s="37">
        <f>-1*SUM($E43:$P43)*D_Assumptions!P62</f>
        <v>0</v>
      </c>
      <c r="R55" s="1" t="b">
        <f>ABS(SUM(E55:P55)+D_Assumptions!$D$9*D_Assumptions!G49*D_Assumptions!Q62*D_Assumptions!I49)&lt;D_Assumptions!$D$89</f>
        <v>1</v>
      </c>
    </row>
    <row r="56" spans="2:18" x14ac:dyDescent="0.35">
      <c r="B56" s="5" t="s">
        <v>57</v>
      </c>
      <c r="C56" s="5" t="s">
        <v>13</v>
      </c>
      <c r="D56" s="5"/>
      <c r="E56" s="38">
        <f>-1*SUM($E44:$P44)*D_Assumptions!E63</f>
        <v>0</v>
      </c>
      <c r="F56" s="38">
        <f>-1*SUM($E44:$P44)*D_Assumptions!F63</f>
        <v>-84485.700000000012</v>
      </c>
      <c r="G56" s="38">
        <f>-1*SUM($E44:$P44)*D_Assumptions!G63</f>
        <v>-168971.40000000002</v>
      </c>
      <c r="H56" s="38">
        <f>-1*SUM($E44:$P44)*D_Assumptions!H63</f>
        <v>-211214.25</v>
      </c>
      <c r="I56" s="38">
        <f>-1*SUM($E44:$P44)*D_Assumptions!I63</f>
        <v>-211214.25</v>
      </c>
      <c r="J56" s="38">
        <f>-1*SUM($E44:$P44)*D_Assumptions!J63</f>
        <v>-168971.40000000002</v>
      </c>
      <c r="K56" s="38">
        <f>-1*SUM($E44:$P44)*D_Assumptions!K63</f>
        <v>0</v>
      </c>
      <c r="L56" s="38">
        <f>-1*SUM($E44:$P44)*D_Assumptions!L63</f>
        <v>0</v>
      </c>
      <c r="M56" s="38">
        <f>-1*SUM($E44:$P44)*D_Assumptions!M63</f>
        <v>0</v>
      </c>
      <c r="N56" s="38">
        <f>-1*SUM($E44:$P44)*D_Assumptions!N63</f>
        <v>0</v>
      </c>
      <c r="O56" s="38">
        <f>-1*SUM($E44:$P44)*D_Assumptions!O63</f>
        <v>0</v>
      </c>
      <c r="P56" s="38">
        <f>-1*SUM($E44:$P44)*D_Assumptions!P63</f>
        <v>0</v>
      </c>
      <c r="R56" s="1" t="b">
        <f>ABS(SUM(E56:P56)+D_Assumptions!$D$9*D_Assumptions!G50*D_Assumptions!Q63*D_Assumptions!I50)&lt;D_Assumptions!$D$89</f>
        <v>1</v>
      </c>
    </row>
    <row r="57" spans="2:18" x14ac:dyDescent="0.35">
      <c r="B57" s="24" t="s">
        <v>104</v>
      </c>
      <c r="C57" s="1"/>
      <c r="D57" s="1"/>
      <c r="E57" s="39">
        <f>SUM(E47:E56)</f>
        <v>0</v>
      </c>
      <c r="F57" s="39">
        <f t="shared" ref="F57" si="25">SUM(F47:F56)</f>
        <v>-406971.19500000001</v>
      </c>
      <c r="G57" s="39">
        <f t="shared" ref="G57" si="26">SUM(G47:G56)</f>
        <v>-862600.84400000004</v>
      </c>
      <c r="H57" s="39">
        <f t="shared" ref="H57" si="27">SUM(H47:H56)</f>
        <v>-1406300.0649999999</v>
      </c>
      <c r="I57" s="39">
        <f t="shared" ref="I57" si="28">SUM(I47:I56)</f>
        <v>-2254233.7850000001</v>
      </c>
      <c r="J57" s="39">
        <f t="shared" ref="J57" si="29">SUM(J47:J56)</f>
        <v>-2737439.1599999997</v>
      </c>
      <c r="K57" s="39">
        <f t="shared" ref="K57" si="30">SUM(K47:K56)</f>
        <v>-3148267.3250000002</v>
      </c>
      <c r="L57" s="39">
        <f t="shared" ref="L57" si="31">SUM(L47:L56)</f>
        <v>-3344670.2350000003</v>
      </c>
      <c r="M57" s="39">
        <f t="shared" ref="M57" si="32">SUM(M47:M56)</f>
        <v>-2958688.0450000004</v>
      </c>
      <c r="N57" s="39">
        <f t="shared" ref="N57" si="33">SUM(N47:N56)</f>
        <v>-1773429.8060000003</v>
      </c>
      <c r="O57" s="39">
        <f t="shared" ref="O57" si="34">SUM(O47:O56)</f>
        <v>-811888.3400000002</v>
      </c>
      <c r="P57" s="39">
        <f t="shared" ref="P57" si="35">SUM(P47:P56)</f>
        <v>0</v>
      </c>
    </row>
    <row r="58" spans="2:18" x14ac:dyDescent="0.35">
      <c r="B58" s="24"/>
      <c r="C58" s="1"/>
      <c r="D58" s="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2:18" x14ac:dyDescent="0.35">
      <c r="B59" s="40" t="s">
        <v>105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5"/>
      <c r="R59" t="b">
        <f>AND(R62:R71,R75)</f>
        <v>1</v>
      </c>
    </row>
    <row r="61" spans="2:18" x14ac:dyDescent="0.35">
      <c r="B61" s="1" t="s">
        <v>106</v>
      </c>
    </row>
    <row r="62" spans="2:18" x14ac:dyDescent="0.35">
      <c r="B62" t="s">
        <v>48</v>
      </c>
      <c r="C62" t="s">
        <v>13</v>
      </c>
      <c r="E62" s="37">
        <f>E9*D_Assumptions!$D$10*D_Assumptions!$I41</f>
        <v>0</v>
      </c>
      <c r="F62" s="37">
        <f>F9*D_Assumptions!$D$10*D_Assumptions!$I41</f>
        <v>0</v>
      </c>
      <c r="G62" s="37">
        <f>G9*D_Assumptions!$D$10*D_Assumptions!$I41</f>
        <v>0</v>
      </c>
      <c r="H62" s="37">
        <f>H9*D_Assumptions!$D$10*D_Assumptions!$I41</f>
        <v>0</v>
      </c>
      <c r="I62" s="37">
        <f>I9*D_Assumptions!$D$10*D_Assumptions!$I41</f>
        <v>0</v>
      </c>
      <c r="J62" s="37">
        <f>J9*D_Assumptions!$D$10*D_Assumptions!$I41</f>
        <v>0</v>
      </c>
      <c r="K62" s="37">
        <f>K9*D_Assumptions!$D$10*D_Assumptions!$I41</f>
        <v>75914.710000000006</v>
      </c>
      <c r="L62" s="37">
        <f>L9*D_Assumptions!$D$10*D_Assumptions!$I41</f>
        <v>151829.42000000001</v>
      </c>
      <c r="M62" s="37">
        <f>M9*D_Assumptions!$D$10*D_Assumptions!$I41</f>
        <v>189786.77500000002</v>
      </c>
      <c r="N62" s="37">
        <f>N9*D_Assumptions!$D$10*D_Assumptions!$I41</f>
        <v>189786.77500000002</v>
      </c>
      <c r="O62" s="37">
        <f>O9*D_Assumptions!$D$10*D_Assumptions!$I41</f>
        <v>151829.42000000001</v>
      </c>
      <c r="P62" s="37">
        <f>P9*D_Assumptions!$D$10*D_Assumptions!$I41</f>
        <v>0</v>
      </c>
      <c r="R62" s="1" t="b">
        <f>ABS(SUM(E62:P62)-D_Assumptions!$D$10*D_Assumptions!G41*D_Assumptions!Q54*D_Assumptions!I41)&lt;D_Assumptions!$D$89</f>
        <v>1</v>
      </c>
    </row>
    <row r="63" spans="2:18" x14ac:dyDescent="0.35">
      <c r="B63" t="s">
        <v>49</v>
      </c>
      <c r="C63" t="s">
        <v>13</v>
      </c>
      <c r="E63" s="37">
        <f>E10*D_Assumptions!$D$10*D_Assumptions!$I42</f>
        <v>0</v>
      </c>
      <c r="F63" s="37">
        <f>F10*D_Assumptions!$D$10*D_Assumptions!$I42</f>
        <v>104770.63</v>
      </c>
      <c r="G63" s="37">
        <f>G10*D_Assumptions!$D$10*D_Assumptions!$I42</f>
        <v>209541.26</v>
      </c>
      <c r="H63" s="37">
        <f>H10*D_Assumptions!$D$10*D_Assumptions!$I42</f>
        <v>314311.89</v>
      </c>
      <c r="I63" s="37">
        <f>I10*D_Assumptions!$D$10*D_Assumptions!$I42</f>
        <v>419082.52</v>
      </c>
      <c r="J63" s="37">
        <f>J10*D_Assumptions!$D$10*D_Assumptions!$I42</f>
        <v>419082.52</v>
      </c>
      <c r="K63" s="37">
        <f>K10*D_Assumptions!$D$10*D_Assumptions!$I42</f>
        <v>419082.52</v>
      </c>
      <c r="L63" s="37">
        <f>L10*D_Assumptions!$D$10*D_Assumptions!$I42</f>
        <v>209541.26</v>
      </c>
      <c r="M63" s="37">
        <f>M10*D_Assumptions!$D$10*D_Assumptions!$I42</f>
        <v>0</v>
      </c>
      <c r="N63" s="37">
        <f>N10*D_Assumptions!$D$10*D_Assumptions!$I42</f>
        <v>0</v>
      </c>
      <c r="O63" s="37">
        <f>O10*D_Assumptions!$D$10*D_Assumptions!$I42</f>
        <v>0</v>
      </c>
      <c r="P63" s="37">
        <f>P10*D_Assumptions!$D$10*D_Assumptions!$I42</f>
        <v>0</v>
      </c>
      <c r="R63" s="1" t="b">
        <f>ABS(SUM(E63:P63)-D_Assumptions!$D$10*D_Assumptions!G42*D_Assumptions!Q55*D_Assumptions!I42)&lt;D_Assumptions!$D$89</f>
        <v>1</v>
      </c>
    </row>
    <row r="64" spans="2:18" x14ac:dyDescent="0.35">
      <c r="B64" t="s">
        <v>50</v>
      </c>
      <c r="C64" t="s">
        <v>13</v>
      </c>
      <c r="E64" s="37">
        <f>E11*D_Assumptions!$D$10*D_Assumptions!$I43</f>
        <v>0</v>
      </c>
      <c r="F64" s="37">
        <f>F11*D_Assumptions!$D$10*D_Assumptions!$I43</f>
        <v>0</v>
      </c>
      <c r="G64" s="37">
        <f>G11*D_Assumptions!$D$10*D_Assumptions!$I43</f>
        <v>0</v>
      </c>
      <c r="H64" s="37">
        <f>H11*D_Assumptions!$D$10*D_Assumptions!$I43</f>
        <v>83926.125</v>
      </c>
      <c r="I64" s="37">
        <f>I11*D_Assumptions!$D$10*D_Assumptions!$I43</f>
        <v>167852.25</v>
      </c>
      <c r="J64" s="37">
        <f>J11*D_Assumptions!$D$10*D_Assumptions!$I43</f>
        <v>251778.375</v>
      </c>
      <c r="K64" s="37">
        <f>K11*D_Assumptions!$D$10*D_Assumptions!$I43</f>
        <v>335704.5</v>
      </c>
      <c r="L64" s="37">
        <f>L11*D_Assumptions!$D$10*D_Assumptions!$I43</f>
        <v>335704.5</v>
      </c>
      <c r="M64" s="37">
        <f>M11*D_Assumptions!$D$10*D_Assumptions!$I43</f>
        <v>335704.5</v>
      </c>
      <c r="N64" s="37">
        <f>N11*D_Assumptions!$D$10*D_Assumptions!$I43</f>
        <v>167852.25</v>
      </c>
      <c r="O64" s="37">
        <f>O11*D_Assumptions!$D$10*D_Assumptions!$I43</f>
        <v>0</v>
      </c>
      <c r="P64" s="37">
        <f>P11*D_Assumptions!$D$10*D_Assumptions!$I43</f>
        <v>0</v>
      </c>
      <c r="R64" s="1" t="b">
        <f>ABS(SUM(E64:P64)-D_Assumptions!$D$10*D_Assumptions!G43*D_Assumptions!Q56*D_Assumptions!I43)&lt;D_Assumptions!$D$89</f>
        <v>1</v>
      </c>
    </row>
    <row r="65" spans="2:18" x14ac:dyDescent="0.35">
      <c r="B65" t="s">
        <v>51</v>
      </c>
      <c r="C65" t="s">
        <v>13</v>
      </c>
      <c r="E65" s="37">
        <f>E12*D_Assumptions!$D$10*D_Assumptions!$I44</f>
        <v>0</v>
      </c>
      <c r="F65" s="37">
        <f>F12*D_Assumptions!$D$10*D_Assumptions!$I44</f>
        <v>0</v>
      </c>
      <c r="G65" s="37">
        <f>G12*D_Assumptions!$D$10*D_Assumptions!$I44</f>
        <v>0</v>
      </c>
      <c r="H65" s="37">
        <f>H12*D_Assumptions!$D$10*D_Assumptions!$I44</f>
        <v>0</v>
      </c>
      <c r="I65" s="37">
        <f>I12*D_Assumptions!$D$10*D_Assumptions!$I44</f>
        <v>131823.39500000002</v>
      </c>
      <c r="J65" s="37">
        <f>J12*D_Assumptions!$D$10*D_Assumptions!$I44</f>
        <v>263646.79000000004</v>
      </c>
      <c r="K65" s="37">
        <f>K12*D_Assumptions!$D$10*D_Assumptions!$I44</f>
        <v>395470.185</v>
      </c>
      <c r="L65" s="37">
        <f>L12*D_Assumptions!$D$10*D_Assumptions!$I44</f>
        <v>527293.58000000007</v>
      </c>
      <c r="M65" s="37">
        <f>M12*D_Assumptions!$D$10*D_Assumptions!$I44</f>
        <v>527293.58000000007</v>
      </c>
      <c r="N65" s="37">
        <f>N12*D_Assumptions!$D$10*D_Assumptions!$I44</f>
        <v>527293.58000000007</v>
      </c>
      <c r="O65" s="37">
        <f>O12*D_Assumptions!$D$10*D_Assumptions!$I44</f>
        <v>263646.79000000004</v>
      </c>
      <c r="P65" s="37">
        <f>P12*D_Assumptions!$D$10*D_Assumptions!$I44</f>
        <v>0</v>
      </c>
      <c r="R65" s="1" t="b">
        <f>ABS(SUM(E65:P65)-D_Assumptions!$D$10*D_Assumptions!G44*D_Assumptions!Q57*D_Assumptions!I44)&lt;D_Assumptions!$D$89</f>
        <v>1</v>
      </c>
    </row>
    <row r="66" spans="2:18" x14ac:dyDescent="0.35">
      <c r="B66" t="s">
        <v>52</v>
      </c>
      <c r="C66" t="s">
        <v>13</v>
      </c>
      <c r="E66" s="37">
        <f>E13*D_Assumptions!$D$10*D_Assumptions!$I45</f>
        <v>0</v>
      </c>
      <c r="F66" s="37">
        <f>F13*D_Assumptions!$D$10*D_Assumptions!$I45</f>
        <v>0</v>
      </c>
      <c r="G66" s="37">
        <f>G13*D_Assumptions!$D$10*D_Assumptions!$I45</f>
        <v>135744.4</v>
      </c>
      <c r="H66" s="37">
        <f>H13*D_Assumptions!$D$10*D_Assumptions!$I45</f>
        <v>271488.8</v>
      </c>
      <c r="I66" s="37">
        <f>I13*D_Assumptions!$D$10*D_Assumptions!$I45</f>
        <v>407233.2</v>
      </c>
      <c r="J66" s="37">
        <f>J13*D_Assumptions!$D$10*D_Assumptions!$I45</f>
        <v>542977.6</v>
      </c>
      <c r="K66" s="37">
        <f>K13*D_Assumptions!$D$10*D_Assumptions!$I45</f>
        <v>542977.6</v>
      </c>
      <c r="L66" s="37">
        <f>L13*D_Assumptions!$D$10*D_Assumptions!$I45</f>
        <v>542977.6</v>
      </c>
      <c r="M66" s="37">
        <f>M13*D_Assumptions!$D$10*D_Assumptions!$I45</f>
        <v>271488.8</v>
      </c>
      <c r="N66" s="37">
        <f>N13*D_Assumptions!$D$10*D_Assumptions!$I45</f>
        <v>0</v>
      </c>
      <c r="O66" s="37">
        <f>O13*D_Assumptions!$D$10*D_Assumptions!$I45</f>
        <v>0</v>
      </c>
      <c r="P66" s="37">
        <f>P13*D_Assumptions!$D$10*D_Assumptions!$I45</f>
        <v>0</v>
      </c>
      <c r="R66" s="1" t="b">
        <f>ABS(SUM(E66:P66)-D_Assumptions!$D$10*D_Assumptions!G45*D_Assumptions!Q58*D_Assumptions!I45)&lt;D_Assumptions!$D$89</f>
        <v>1</v>
      </c>
    </row>
    <row r="67" spans="2:18" x14ac:dyDescent="0.35">
      <c r="B67" t="s">
        <v>53</v>
      </c>
      <c r="C67" t="s">
        <v>13</v>
      </c>
      <c r="E67" s="37">
        <f>E14*D_Assumptions!$D$10*D_Assumptions!$I46</f>
        <v>0</v>
      </c>
      <c r="F67" s="37">
        <f>F14*D_Assumptions!$D$10*D_Assumptions!$I46</f>
        <v>217714.86499999999</v>
      </c>
      <c r="G67" s="37">
        <f>G14*D_Assumptions!$D$10*D_Assumptions!$I46</f>
        <v>348343.78399999999</v>
      </c>
      <c r="H67" s="37">
        <f>H14*D_Assumptions!$D$10*D_Assumptions!$I46</f>
        <v>435429.73</v>
      </c>
      <c r="I67" s="37">
        <f>I14*D_Assumptions!$D$10*D_Assumptions!$I46</f>
        <v>653144.59500000009</v>
      </c>
      <c r="J67" s="37">
        <f>J14*D_Assumptions!$D$10*D_Assumptions!$I46</f>
        <v>653144.59500000009</v>
      </c>
      <c r="K67" s="37">
        <f>K14*D_Assumptions!$D$10*D_Assumptions!$I46</f>
        <v>653144.59500000009</v>
      </c>
      <c r="L67" s="37">
        <f>L14*D_Assumptions!$D$10*D_Assumptions!$I46</f>
        <v>653144.59500000009</v>
      </c>
      <c r="M67" s="37">
        <f>M14*D_Assumptions!$D$10*D_Assumptions!$I46</f>
        <v>653144.59500000009</v>
      </c>
      <c r="N67" s="37">
        <f>N14*D_Assumptions!$D$10*D_Assumptions!$I46</f>
        <v>87085.945999999996</v>
      </c>
      <c r="O67" s="37">
        <f>O14*D_Assumptions!$D$10*D_Assumptions!$I46</f>
        <v>0</v>
      </c>
      <c r="P67" s="37">
        <f>P14*D_Assumptions!$D$10*D_Assumptions!$I46</f>
        <v>0</v>
      </c>
      <c r="R67" s="1" t="b">
        <f>ABS(SUM(E67:P67)-D_Assumptions!$D$10*D_Assumptions!G46*D_Assumptions!Q59*D_Assumptions!I46)&lt;D_Assumptions!$D$89</f>
        <v>1</v>
      </c>
    </row>
    <row r="68" spans="2:18" x14ac:dyDescent="0.35">
      <c r="B68" t="s">
        <v>54</v>
      </c>
      <c r="C68" t="s">
        <v>13</v>
      </c>
      <c r="E68" s="37">
        <f>E15*D_Assumptions!$D$10*D_Assumptions!$I47</f>
        <v>0</v>
      </c>
      <c r="F68" s="37">
        <f>F15*D_Assumptions!$D$10*D_Assumptions!$I47</f>
        <v>0</v>
      </c>
      <c r="G68" s="37">
        <f>G15*D_Assumptions!$D$10*D_Assumptions!$I47</f>
        <v>0</v>
      </c>
      <c r="H68" s="37">
        <f>H15*D_Assumptions!$D$10*D_Assumptions!$I47</f>
        <v>0</v>
      </c>
      <c r="I68" s="37">
        <f>I15*D_Assumptions!$D$10*D_Assumptions!$I47</f>
        <v>0</v>
      </c>
      <c r="J68" s="37">
        <f>J15*D_Assumptions!$D$10*D_Assumptions!$I47</f>
        <v>0</v>
      </c>
      <c r="K68" s="37">
        <f>K15*D_Assumptions!$D$10*D_Assumptions!$I47</f>
        <v>114181.03000000001</v>
      </c>
      <c r="L68" s="37">
        <f>L15*D_Assumptions!$D$10*D_Assumptions!$I47</f>
        <v>228362.06000000003</v>
      </c>
      <c r="M68" s="37">
        <f>M15*D_Assumptions!$D$10*D_Assumptions!$I47</f>
        <v>285452.57500000001</v>
      </c>
      <c r="N68" s="37">
        <f>N15*D_Assumptions!$D$10*D_Assumptions!$I47</f>
        <v>285452.57500000001</v>
      </c>
      <c r="O68" s="37">
        <f>O15*D_Assumptions!$D$10*D_Assumptions!$I47</f>
        <v>228362.06000000003</v>
      </c>
      <c r="P68" s="37">
        <f>P15*D_Assumptions!$D$10*D_Assumptions!$I47</f>
        <v>0</v>
      </c>
      <c r="R68" s="1" t="b">
        <f>ABS(SUM(E68:P68)-D_Assumptions!$D$10*D_Assumptions!G47*D_Assumptions!Q60*D_Assumptions!I47)&lt;D_Assumptions!$D$89</f>
        <v>1</v>
      </c>
    </row>
    <row r="69" spans="2:18" x14ac:dyDescent="0.35">
      <c r="B69" t="s">
        <v>55</v>
      </c>
      <c r="C69" t="s">
        <v>13</v>
      </c>
      <c r="E69" s="37">
        <f>E16*D_Assumptions!$D$10*D_Assumptions!$I48</f>
        <v>0</v>
      </c>
      <c r="F69" s="37">
        <f>F16*D_Assumptions!$D$10*D_Assumptions!$I48</f>
        <v>0</v>
      </c>
      <c r="G69" s="37">
        <f>G16*D_Assumptions!$D$10*D_Assumptions!$I48</f>
        <v>0</v>
      </c>
      <c r="H69" s="37">
        <f>H16*D_Assumptions!$D$10*D_Assumptions!$I48</f>
        <v>89929.270000000019</v>
      </c>
      <c r="I69" s="37">
        <f>I16*D_Assumptions!$D$10*D_Assumptions!$I48</f>
        <v>179858.54000000004</v>
      </c>
      <c r="J69" s="37">
        <f>J16*D_Assumptions!$D$10*D_Assumptions!$I48</f>
        <v>269787.81</v>
      </c>
      <c r="K69" s="37">
        <f>K16*D_Assumptions!$D$10*D_Assumptions!$I48</f>
        <v>359717.08000000007</v>
      </c>
      <c r="L69" s="37">
        <f>L16*D_Assumptions!$D$10*D_Assumptions!$I48</f>
        <v>359717.08000000007</v>
      </c>
      <c r="M69" s="37">
        <f>M16*D_Assumptions!$D$10*D_Assumptions!$I48</f>
        <v>359717.08000000007</v>
      </c>
      <c r="N69" s="37">
        <f>N16*D_Assumptions!$D$10*D_Assumptions!$I48</f>
        <v>179858.54000000004</v>
      </c>
      <c r="O69" s="37">
        <f>O16*D_Assumptions!$D$10*D_Assumptions!$I48</f>
        <v>0</v>
      </c>
      <c r="P69" s="37">
        <f>P16*D_Assumptions!$D$10*D_Assumptions!$I48</f>
        <v>0</v>
      </c>
      <c r="R69" s="1" t="b">
        <f>ABS(SUM(E69:P69)-D_Assumptions!$D$10*D_Assumptions!G48*D_Assumptions!Q61*D_Assumptions!I48)&lt;D_Assumptions!$D$89</f>
        <v>1</v>
      </c>
    </row>
    <row r="70" spans="2:18" x14ac:dyDescent="0.35">
      <c r="B70" t="s">
        <v>56</v>
      </c>
      <c r="C70" t="s">
        <v>13</v>
      </c>
      <c r="E70" s="37">
        <f>E17*D_Assumptions!$D$10*D_Assumptions!$I49</f>
        <v>0</v>
      </c>
      <c r="F70" s="37">
        <f>F17*D_Assumptions!$D$10*D_Assumptions!$I49</f>
        <v>0</v>
      </c>
      <c r="G70" s="37">
        <f>G17*D_Assumptions!$D$10*D_Assumptions!$I49</f>
        <v>0</v>
      </c>
      <c r="H70" s="37">
        <f>H17*D_Assumptions!$D$10*D_Assumptions!$I49</f>
        <v>0</v>
      </c>
      <c r="I70" s="37">
        <f>I17*D_Assumptions!$D$10*D_Assumptions!$I49</f>
        <v>84025.035000000018</v>
      </c>
      <c r="J70" s="37">
        <f>J17*D_Assumptions!$D$10*D_Assumptions!$I49</f>
        <v>168050.07000000004</v>
      </c>
      <c r="K70" s="37">
        <f>K17*D_Assumptions!$D$10*D_Assumptions!$I49</f>
        <v>252075.10499999998</v>
      </c>
      <c r="L70" s="37">
        <f>L17*D_Assumptions!$D$10*D_Assumptions!$I49</f>
        <v>336100.14000000007</v>
      </c>
      <c r="M70" s="37">
        <f>M17*D_Assumptions!$D$10*D_Assumptions!$I49</f>
        <v>336100.14000000007</v>
      </c>
      <c r="N70" s="37">
        <f>N17*D_Assumptions!$D$10*D_Assumptions!$I49</f>
        <v>336100.14000000007</v>
      </c>
      <c r="O70" s="37">
        <f>O17*D_Assumptions!$D$10*D_Assumptions!$I49</f>
        <v>168050.07000000004</v>
      </c>
      <c r="P70" s="37">
        <f>P17*D_Assumptions!$D$10*D_Assumptions!$I49</f>
        <v>0</v>
      </c>
      <c r="R70" s="1" t="b">
        <f>ABS(SUM(E70:P70)-D_Assumptions!$D$10*D_Assumptions!G49*D_Assumptions!Q62*D_Assumptions!I49)&lt;D_Assumptions!$D$89</f>
        <v>1</v>
      </c>
    </row>
    <row r="71" spans="2:18" x14ac:dyDescent="0.35">
      <c r="B71" s="5" t="s">
        <v>57</v>
      </c>
      <c r="C71" s="5" t="s">
        <v>13</v>
      </c>
      <c r="D71" s="5"/>
      <c r="E71" s="38">
        <f>E18*D_Assumptions!$D$10*D_Assumptions!$I50</f>
        <v>0</v>
      </c>
      <c r="F71" s="38">
        <f>F18*D_Assumptions!$D$10*D_Assumptions!$I50</f>
        <v>84485.700000000012</v>
      </c>
      <c r="G71" s="38">
        <f>G18*D_Assumptions!$D$10*D_Assumptions!$I50</f>
        <v>168971.40000000002</v>
      </c>
      <c r="H71" s="38">
        <f>H18*D_Assumptions!$D$10*D_Assumptions!$I50</f>
        <v>211214.25</v>
      </c>
      <c r="I71" s="38">
        <f>I18*D_Assumptions!$D$10*D_Assumptions!$I50</f>
        <v>211214.25</v>
      </c>
      <c r="J71" s="38">
        <f>J18*D_Assumptions!$D$10*D_Assumptions!$I50</f>
        <v>168971.40000000002</v>
      </c>
      <c r="K71" s="38">
        <f>K18*D_Assumptions!$D$10*D_Assumptions!$I50</f>
        <v>0</v>
      </c>
      <c r="L71" s="38">
        <f>L18*D_Assumptions!$D$10*D_Assumptions!$I50</f>
        <v>0</v>
      </c>
      <c r="M71" s="38">
        <f>M18*D_Assumptions!$D$10*D_Assumptions!$I50</f>
        <v>0</v>
      </c>
      <c r="N71" s="38">
        <f>N18*D_Assumptions!$D$10*D_Assumptions!$I50</f>
        <v>0</v>
      </c>
      <c r="O71" s="38">
        <f>O18*D_Assumptions!$D$10*D_Assumptions!$I50</f>
        <v>0</v>
      </c>
      <c r="P71" s="38">
        <f>P18*D_Assumptions!$D$10*D_Assumptions!$I50</f>
        <v>0</v>
      </c>
      <c r="R71" s="1" t="b">
        <f>ABS(SUM(E71:P71)-D_Assumptions!$D$10*D_Assumptions!G50*D_Assumptions!Q63*D_Assumptions!I50)&lt;D_Assumptions!$D$89</f>
        <v>1</v>
      </c>
    </row>
    <row r="72" spans="2:18" x14ac:dyDescent="0.35">
      <c r="B72" s="24" t="s">
        <v>108</v>
      </c>
      <c r="C72" s="1"/>
      <c r="D72" s="1"/>
      <c r="E72" s="39">
        <f>SUM(E62:E71)</f>
        <v>0</v>
      </c>
      <c r="F72" s="39">
        <f t="shared" ref="F72" si="36">SUM(F62:F71)</f>
        <v>406971.19500000001</v>
      </c>
      <c r="G72" s="39">
        <f t="shared" ref="G72" si="37">SUM(G62:G71)</f>
        <v>862600.84400000004</v>
      </c>
      <c r="H72" s="39">
        <f t="shared" ref="H72" si="38">SUM(H62:H71)</f>
        <v>1406300.0649999999</v>
      </c>
      <c r="I72" s="39">
        <f t="shared" ref="I72" si="39">SUM(I62:I71)</f>
        <v>2254233.7850000001</v>
      </c>
      <c r="J72" s="39">
        <f t="shared" ref="J72" si="40">SUM(J62:J71)</f>
        <v>2737439.16</v>
      </c>
      <c r="K72" s="39">
        <f t="shared" ref="K72" si="41">SUM(K62:K71)</f>
        <v>3148267.3250000002</v>
      </c>
      <c r="L72" s="39">
        <f t="shared" ref="L72" si="42">SUM(L62:L71)</f>
        <v>3344670.2350000008</v>
      </c>
      <c r="M72" s="39">
        <f t="shared" ref="M72" si="43">SUM(M62:M71)</f>
        <v>2958688.0450000004</v>
      </c>
      <c r="N72" s="39">
        <f t="shared" ref="N72" si="44">SUM(N62:N71)</f>
        <v>1773429.8060000003</v>
      </c>
      <c r="O72" s="39">
        <f t="shared" ref="O72" si="45">SUM(O62:O71)</f>
        <v>811888.3400000002</v>
      </c>
      <c r="P72" s="39">
        <f t="shared" ref="P72" si="46">SUM(P62:P71)</f>
        <v>0</v>
      </c>
    </row>
    <row r="73" spans="2:18" x14ac:dyDescent="0.35">
      <c r="B73" s="24"/>
      <c r="C73" s="1"/>
      <c r="D73" s="1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 spans="2:18" x14ac:dyDescent="0.35">
      <c r="B74" s="24" t="s">
        <v>107</v>
      </c>
      <c r="C74" s="1"/>
      <c r="D74" s="1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 spans="2:18" x14ac:dyDescent="0.35">
      <c r="B75" s="43" t="s">
        <v>109</v>
      </c>
      <c r="C75" t="s">
        <v>13</v>
      </c>
      <c r="D75" s="1"/>
      <c r="E75" s="39">
        <f>D_Assumptions!E14*D_Assumptions!$D$70</f>
        <v>0</v>
      </c>
      <c r="F75" s="39">
        <f>D_Assumptions!F14*D_Assumptions!$D$70</f>
        <v>0</v>
      </c>
      <c r="G75" s="39">
        <f>D_Assumptions!G14*D_Assumptions!$D$70</f>
        <v>0</v>
      </c>
      <c r="H75" s="39">
        <f>D_Assumptions!H14*D_Assumptions!$D$70</f>
        <v>0</v>
      </c>
      <c r="I75" s="39">
        <f>D_Assumptions!I14*D_Assumptions!$D$70</f>
        <v>0</v>
      </c>
      <c r="J75" s="39">
        <f>D_Assumptions!J14*D_Assumptions!$D$70</f>
        <v>2500000</v>
      </c>
      <c r="K75" s="39">
        <f>D_Assumptions!K14*D_Assumptions!$D$70</f>
        <v>0</v>
      </c>
      <c r="L75" s="39">
        <f>D_Assumptions!L14*D_Assumptions!$D$70</f>
        <v>0</v>
      </c>
      <c r="M75" s="39">
        <f>D_Assumptions!M14*D_Assumptions!$D$70</f>
        <v>0</v>
      </c>
      <c r="N75" s="39">
        <f>D_Assumptions!N14*D_Assumptions!$D$70</f>
        <v>0</v>
      </c>
      <c r="O75" s="39">
        <f>D_Assumptions!O14*D_Assumptions!$D$70</f>
        <v>0</v>
      </c>
      <c r="P75" s="39">
        <f>D_Assumptions!P14*D_Assumptions!$D$70</f>
        <v>0</v>
      </c>
      <c r="R75" s="1" t="b">
        <f>ABS(SUM(E75:P75)-D_Assumptions!$D$70*SUM(D_Assumptions!E14:P14))&lt;D_Assumptions!$D$89</f>
        <v>1</v>
      </c>
    </row>
    <row r="77" spans="2:18" x14ac:dyDescent="0.35">
      <c r="B77" s="40" t="s">
        <v>110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5"/>
      <c r="R77" t="b">
        <f>AND(R80:R89)</f>
        <v>1</v>
      </c>
    </row>
    <row r="79" spans="2:18" x14ac:dyDescent="0.35">
      <c r="B79" s="1" t="s">
        <v>112</v>
      </c>
    </row>
    <row r="80" spans="2:18" x14ac:dyDescent="0.35">
      <c r="B80" t="s">
        <v>48</v>
      </c>
      <c r="C80" t="s">
        <v>13</v>
      </c>
      <c r="E80" s="37">
        <f t="shared" ref="E80:P80" si="47">E9+E47-E62</f>
        <v>0</v>
      </c>
      <c r="F80" s="37">
        <f t="shared" si="47"/>
        <v>0</v>
      </c>
      <c r="G80" s="37">
        <f t="shared" si="47"/>
        <v>0</v>
      </c>
      <c r="H80" s="37">
        <f t="shared" si="47"/>
        <v>0</v>
      </c>
      <c r="I80" s="37">
        <f t="shared" si="47"/>
        <v>0</v>
      </c>
      <c r="J80" s="37">
        <f t="shared" si="47"/>
        <v>0</v>
      </c>
      <c r="K80" s="37">
        <f t="shared" si="47"/>
        <v>607317.68000000017</v>
      </c>
      <c r="L80" s="37">
        <f t="shared" si="47"/>
        <v>1214635.3600000003</v>
      </c>
      <c r="M80" s="37">
        <f t="shared" si="47"/>
        <v>1518294.2000000002</v>
      </c>
      <c r="N80" s="37">
        <f t="shared" si="47"/>
        <v>1518294.2000000002</v>
      </c>
      <c r="O80" s="37">
        <f t="shared" si="47"/>
        <v>1214635.3600000003</v>
      </c>
      <c r="P80" s="37">
        <f t="shared" si="47"/>
        <v>0</v>
      </c>
      <c r="R80" s="1" t="b">
        <f>ABS(SUM(E80:P80)-D_Assumptions!G41*D_Assumptions!Q54*(1-D_Assumptions!D$9-D_Assumptions!D$10)*D_Assumptions!I41)&lt;D_Assumptions!$D$89</f>
        <v>1</v>
      </c>
    </row>
    <row r="81" spans="2:18" x14ac:dyDescent="0.35">
      <c r="B81" t="s">
        <v>49</v>
      </c>
      <c r="C81" t="s">
        <v>13</v>
      </c>
      <c r="E81" s="37">
        <f t="shared" ref="E81:P81" si="48">E10+E48-E63</f>
        <v>0</v>
      </c>
      <c r="F81" s="37">
        <f t="shared" si="48"/>
        <v>838165.04</v>
      </c>
      <c r="G81" s="37">
        <f t="shared" si="48"/>
        <v>1676330.08</v>
      </c>
      <c r="H81" s="37">
        <f t="shared" si="48"/>
        <v>2514495.1199999996</v>
      </c>
      <c r="I81" s="37">
        <f t="shared" si="48"/>
        <v>3352660.16</v>
      </c>
      <c r="J81" s="37">
        <f t="shared" si="48"/>
        <v>3352660.16</v>
      </c>
      <c r="K81" s="37">
        <f t="shared" si="48"/>
        <v>3352660.16</v>
      </c>
      <c r="L81" s="37">
        <f t="shared" si="48"/>
        <v>1676330.08</v>
      </c>
      <c r="M81" s="37">
        <f t="shared" si="48"/>
        <v>0</v>
      </c>
      <c r="N81" s="37">
        <f t="shared" si="48"/>
        <v>0</v>
      </c>
      <c r="O81" s="37">
        <f t="shared" si="48"/>
        <v>0</v>
      </c>
      <c r="P81" s="37">
        <f t="shared" si="48"/>
        <v>0</v>
      </c>
      <c r="R81" s="1" t="b">
        <f>ABS(SUM(E81:P81)-D_Assumptions!G42*D_Assumptions!Q55*(1-D_Assumptions!D$9-D_Assumptions!D$10)*D_Assumptions!I42)&lt;D_Assumptions!$D$89</f>
        <v>1</v>
      </c>
    </row>
    <row r="82" spans="2:18" x14ac:dyDescent="0.35">
      <c r="B82" t="s">
        <v>50</v>
      </c>
      <c r="C82" t="s">
        <v>13</v>
      </c>
      <c r="E82" s="37">
        <f t="shared" ref="E82:P82" si="49">E11+E49-E64</f>
        <v>0</v>
      </c>
      <c r="F82" s="37">
        <f t="shared" si="49"/>
        <v>0</v>
      </c>
      <c r="G82" s="37">
        <f t="shared" si="49"/>
        <v>0</v>
      </c>
      <c r="H82" s="37">
        <f t="shared" si="49"/>
        <v>671409</v>
      </c>
      <c r="I82" s="37">
        <f t="shared" si="49"/>
        <v>1342818</v>
      </c>
      <c r="J82" s="37">
        <f t="shared" si="49"/>
        <v>2014227</v>
      </c>
      <c r="K82" s="37">
        <f t="shared" si="49"/>
        <v>2685636</v>
      </c>
      <c r="L82" s="37">
        <f t="shared" si="49"/>
        <v>2685636</v>
      </c>
      <c r="M82" s="37">
        <f t="shared" si="49"/>
        <v>2685636</v>
      </c>
      <c r="N82" s="37">
        <f t="shared" si="49"/>
        <v>1342818</v>
      </c>
      <c r="O82" s="37">
        <f t="shared" si="49"/>
        <v>0</v>
      </c>
      <c r="P82" s="37">
        <f t="shared" si="49"/>
        <v>0</v>
      </c>
      <c r="R82" s="1" t="b">
        <f>ABS(SUM(E82:P82)-D_Assumptions!G43*D_Assumptions!Q56*(1-D_Assumptions!D$9-D_Assumptions!D$10)*D_Assumptions!I43)&lt;D_Assumptions!$D$89</f>
        <v>1</v>
      </c>
    </row>
    <row r="83" spans="2:18" x14ac:dyDescent="0.35">
      <c r="B83" t="s">
        <v>51</v>
      </c>
      <c r="C83" t="s">
        <v>13</v>
      </c>
      <c r="E83" s="37">
        <f t="shared" ref="E83:P83" si="50">E12+E50-E65</f>
        <v>0</v>
      </c>
      <c r="F83" s="37">
        <f t="shared" si="50"/>
        <v>0</v>
      </c>
      <c r="G83" s="37">
        <f t="shared" si="50"/>
        <v>0</v>
      </c>
      <c r="H83" s="37">
        <f t="shared" si="50"/>
        <v>0</v>
      </c>
      <c r="I83" s="37">
        <f t="shared" si="50"/>
        <v>1054587.1600000001</v>
      </c>
      <c r="J83" s="37">
        <f t="shared" si="50"/>
        <v>2109174.3200000003</v>
      </c>
      <c r="K83" s="37">
        <f t="shared" si="50"/>
        <v>3163761.4799999995</v>
      </c>
      <c r="L83" s="37">
        <f t="shared" si="50"/>
        <v>4218348.6400000006</v>
      </c>
      <c r="M83" s="37">
        <f t="shared" si="50"/>
        <v>4218348.6400000006</v>
      </c>
      <c r="N83" s="37">
        <f t="shared" si="50"/>
        <v>4218348.6400000006</v>
      </c>
      <c r="O83" s="37">
        <f t="shared" si="50"/>
        <v>2109174.3200000003</v>
      </c>
      <c r="P83" s="37">
        <f t="shared" si="50"/>
        <v>0</v>
      </c>
      <c r="R83" s="1" t="b">
        <f>ABS(SUM(E83:P83)-D_Assumptions!G44*D_Assumptions!Q57*(1-D_Assumptions!D$9-D_Assumptions!D$10)*D_Assumptions!I44)&lt;D_Assumptions!$D$89</f>
        <v>1</v>
      </c>
    </row>
    <row r="84" spans="2:18" x14ac:dyDescent="0.35">
      <c r="B84" t="s">
        <v>52</v>
      </c>
      <c r="C84" t="s">
        <v>13</v>
      </c>
      <c r="E84" s="37">
        <f t="shared" ref="E84:P84" si="51">E13+E51-E66</f>
        <v>0</v>
      </c>
      <c r="F84" s="37">
        <f t="shared" si="51"/>
        <v>0</v>
      </c>
      <c r="G84" s="37">
        <f t="shared" si="51"/>
        <v>1085955.2000000002</v>
      </c>
      <c r="H84" s="37">
        <f t="shared" si="51"/>
        <v>2171910.4000000004</v>
      </c>
      <c r="I84" s="37">
        <f t="shared" si="51"/>
        <v>3257865.5999999996</v>
      </c>
      <c r="J84" s="37">
        <f t="shared" si="51"/>
        <v>4343820.8000000007</v>
      </c>
      <c r="K84" s="37">
        <f t="shared" si="51"/>
        <v>4343820.8000000007</v>
      </c>
      <c r="L84" s="37">
        <f t="shared" si="51"/>
        <v>4343820.8000000007</v>
      </c>
      <c r="M84" s="37">
        <f t="shared" si="51"/>
        <v>2171910.4000000004</v>
      </c>
      <c r="N84" s="37">
        <f t="shared" si="51"/>
        <v>0</v>
      </c>
      <c r="O84" s="37">
        <f t="shared" si="51"/>
        <v>0</v>
      </c>
      <c r="P84" s="37">
        <f t="shared" si="51"/>
        <v>0</v>
      </c>
      <c r="R84" s="1" t="b">
        <f>ABS(SUM(E84:P84)-D_Assumptions!G45*D_Assumptions!Q58*(1-D_Assumptions!D$9-D_Assumptions!D$10)*D_Assumptions!I45)&lt;D_Assumptions!$D$89</f>
        <v>1</v>
      </c>
    </row>
    <row r="85" spans="2:18" x14ac:dyDescent="0.35">
      <c r="B85" t="s">
        <v>53</v>
      </c>
      <c r="C85" t="s">
        <v>13</v>
      </c>
      <c r="E85" s="37">
        <f t="shared" ref="E85:P85" si="52">E14+E52-E67</f>
        <v>0</v>
      </c>
      <c r="F85" s="37">
        <f t="shared" si="52"/>
        <v>1741718.92</v>
      </c>
      <c r="G85" s="37">
        <f t="shared" si="52"/>
        <v>2786750.2719999999</v>
      </c>
      <c r="H85" s="37">
        <f t="shared" si="52"/>
        <v>3483437.84</v>
      </c>
      <c r="I85" s="37">
        <f t="shared" si="52"/>
        <v>5225156.7600000007</v>
      </c>
      <c r="J85" s="37">
        <f t="shared" si="52"/>
        <v>5225156.7600000007</v>
      </c>
      <c r="K85" s="37">
        <f t="shared" si="52"/>
        <v>5225156.7600000007</v>
      </c>
      <c r="L85" s="37">
        <f t="shared" si="52"/>
        <v>5225156.7600000007</v>
      </c>
      <c r="M85" s="37">
        <f t="shared" si="52"/>
        <v>5225156.7600000007</v>
      </c>
      <c r="N85" s="37">
        <f t="shared" si="52"/>
        <v>696687.56799999997</v>
      </c>
      <c r="O85" s="37">
        <f t="shared" si="52"/>
        <v>0</v>
      </c>
      <c r="P85" s="37">
        <f t="shared" si="52"/>
        <v>0</v>
      </c>
      <c r="R85" s="1" t="b">
        <f>ABS(SUM(E85:P85)-D_Assumptions!G46*D_Assumptions!Q59*(1-D_Assumptions!D$9-D_Assumptions!D$10)*D_Assumptions!I46)&lt;D_Assumptions!$D$89</f>
        <v>1</v>
      </c>
    </row>
    <row r="86" spans="2:18" x14ac:dyDescent="0.35">
      <c r="B86" t="s">
        <v>54</v>
      </c>
      <c r="C86" t="s">
        <v>13</v>
      </c>
      <c r="E86" s="37">
        <f t="shared" ref="E86:P86" si="53">E15+E53-E68</f>
        <v>0</v>
      </c>
      <c r="F86" s="37">
        <f t="shared" si="53"/>
        <v>0</v>
      </c>
      <c r="G86" s="37">
        <f t="shared" si="53"/>
        <v>0</v>
      </c>
      <c r="H86" s="37">
        <f t="shared" si="53"/>
        <v>0</v>
      </c>
      <c r="I86" s="37">
        <f t="shared" si="53"/>
        <v>0</v>
      </c>
      <c r="J86" s="37">
        <f t="shared" si="53"/>
        <v>0</v>
      </c>
      <c r="K86" s="37">
        <f t="shared" si="53"/>
        <v>913448.24</v>
      </c>
      <c r="L86" s="37">
        <f t="shared" si="53"/>
        <v>1826896.48</v>
      </c>
      <c r="M86" s="37">
        <f t="shared" si="53"/>
        <v>2283620.5999999996</v>
      </c>
      <c r="N86" s="37">
        <f t="shared" si="53"/>
        <v>2283620.5999999996</v>
      </c>
      <c r="O86" s="37">
        <f t="shared" si="53"/>
        <v>1826896.48</v>
      </c>
      <c r="P86" s="37">
        <f t="shared" si="53"/>
        <v>0</v>
      </c>
      <c r="R86" s="1" t="b">
        <f>ABS(SUM(E86:P86)-D_Assumptions!G47*D_Assumptions!Q60*(1-D_Assumptions!D$9-D_Assumptions!D$10)*D_Assumptions!I47)&lt;D_Assumptions!$D$89</f>
        <v>1</v>
      </c>
    </row>
    <row r="87" spans="2:18" x14ac:dyDescent="0.35">
      <c r="B87" t="s">
        <v>55</v>
      </c>
      <c r="C87" t="s">
        <v>13</v>
      </c>
      <c r="E87" s="37">
        <f t="shared" ref="E87:P87" si="54">E16+E54-E69</f>
        <v>0</v>
      </c>
      <c r="F87" s="37">
        <f t="shared" si="54"/>
        <v>0</v>
      </c>
      <c r="G87" s="37">
        <f t="shared" si="54"/>
        <v>0</v>
      </c>
      <c r="H87" s="37">
        <f t="shared" si="54"/>
        <v>719434.16</v>
      </c>
      <c r="I87" s="37">
        <f t="shared" si="54"/>
        <v>1438868.32</v>
      </c>
      <c r="J87" s="37">
        <f t="shared" si="54"/>
        <v>2158302.48</v>
      </c>
      <c r="K87" s="37">
        <f t="shared" si="54"/>
        <v>2877736.64</v>
      </c>
      <c r="L87" s="37">
        <f t="shared" si="54"/>
        <v>2877736.64</v>
      </c>
      <c r="M87" s="37">
        <f t="shared" si="54"/>
        <v>2877736.64</v>
      </c>
      <c r="N87" s="37">
        <f t="shared" si="54"/>
        <v>1438868.32</v>
      </c>
      <c r="O87" s="37">
        <f t="shared" si="54"/>
        <v>0</v>
      </c>
      <c r="P87" s="37">
        <f t="shared" si="54"/>
        <v>0</v>
      </c>
      <c r="R87" s="1" t="b">
        <f>ABS(SUM(E87:P87)-D_Assumptions!G48*D_Assumptions!Q61*(1-D_Assumptions!D$9-D_Assumptions!D$10)*D_Assumptions!I48)&lt;D_Assumptions!$D$89</f>
        <v>1</v>
      </c>
    </row>
    <row r="88" spans="2:18" x14ac:dyDescent="0.35">
      <c r="B88" t="s">
        <v>56</v>
      </c>
      <c r="C88" t="s">
        <v>13</v>
      </c>
      <c r="E88" s="37">
        <f t="shared" ref="E88:P88" si="55">E17+E55-E70</f>
        <v>0</v>
      </c>
      <c r="F88" s="37">
        <f t="shared" si="55"/>
        <v>0</v>
      </c>
      <c r="G88" s="37">
        <f t="shared" si="55"/>
        <v>0</v>
      </c>
      <c r="H88" s="37">
        <f t="shared" si="55"/>
        <v>0</v>
      </c>
      <c r="I88" s="37">
        <f t="shared" si="55"/>
        <v>672200.28</v>
      </c>
      <c r="J88" s="37">
        <f t="shared" si="55"/>
        <v>1344400.56</v>
      </c>
      <c r="K88" s="37">
        <f t="shared" si="55"/>
        <v>2016600.8399999999</v>
      </c>
      <c r="L88" s="37">
        <f t="shared" si="55"/>
        <v>2688801.12</v>
      </c>
      <c r="M88" s="37">
        <f t="shared" si="55"/>
        <v>2688801.12</v>
      </c>
      <c r="N88" s="37">
        <f t="shared" si="55"/>
        <v>2688801.12</v>
      </c>
      <c r="O88" s="37">
        <f t="shared" si="55"/>
        <v>1344400.56</v>
      </c>
      <c r="P88" s="37">
        <f t="shared" si="55"/>
        <v>0</v>
      </c>
      <c r="R88" s="1" t="b">
        <f>ABS(SUM(E88:P88)-D_Assumptions!G49*D_Assumptions!Q62*(1-D_Assumptions!D$9-D_Assumptions!D$10)*D_Assumptions!I49)&lt;D_Assumptions!$D$89</f>
        <v>1</v>
      </c>
    </row>
    <row r="89" spans="2:18" x14ac:dyDescent="0.35">
      <c r="B89" s="5" t="s">
        <v>57</v>
      </c>
      <c r="C89" s="5" t="s">
        <v>13</v>
      </c>
      <c r="D89" s="5"/>
      <c r="E89" s="38">
        <f t="shared" ref="E89:P89" si="56">E18+E56-E71</f>
        <v>0</v>
      </c>
      <c r="F89" s="38">
        <f t="shared" si="56"/>
        <v>675885.60000000009</v>
      </c>
      <c r="G89" s="38">
        <f t="shared" si="56"/>
        <v>1351771.2000000002</v>
      </c>
      <c r="H89" s="38">
        <f t="shared" si="56"/>
        <v>1689714</v>
      </c>
      <c r="I89" s="38">
        <f t="shared" si="56"/>
        <v>1689714</v>
      </c>
      <c r="J89" s="38">
        <f t="shared" si="56"/>
        <v>1351771.2000000002</v>
      </c>
      <c r="K89" s="38">
        <f t="shared" si="56"/>
        <v>0</v>
      </c>
      <c r="L89" s="38">
        <f t="shared" si="56"/>
        <v>0</v>
      </c>
      <c r="M89" s="38">
        <f t="shared" si="56"/>
        <v>0</v>
      </c>
      <c r="N89" s="38">
        <f t="shared" si="56"/>
        <v>0</v>
      </c>
      <c r="O89" s="38">
        <f t="shared" si="56"/>
        <v>0</v>
      </c>
      <c r="P89" s="38">
        <f t="shared" si="56"/>
        <v>0</v>
      </c>
      <c r="R89" s="1" t="b">
        <f>ABS(SUM(E89:P89)-D_Assumptions!G50*D_Assumptions!Q63*(1-D_Assumptions!D$9-D_Assumptions!D$10)*D_Assumptions!I50)&lt;D_Assumptions!$D$89</f>
        <v>1</v>
      </c>
    </row>
    <row r="90" spans="2:18" x14ac:dyDescent="0.35">
      <c r="B90" s="24" t="s">
        <v>115</v>
      </c>
      <c r="C90" s="1"/>
      <c r="D90" s="1"/>
      <c r="E90" s="39">
        <f>SUM(E80:E89)</f>
        <v>0</v>
      </c>
      <c r="F90" s="39">
        <f t="shared" ref="F90" si="57">SUM(F80:F89)</f>
        <v>3255769.56</v>
      </c>
      <c r="G90" s="39">
        <f t="shared" ref="G90" si="58">SUM(G80:G89)</f>
        <v>6900806.7520000003</v>
      </c>
      <c r="H90" s="39">
        <f t="shared" ref="H90" si="59">SUM(H80:H89)</f>
        <v>11250400.52</v>
      </c>
      <c r="I90" s="39">
        <f t="shared" ref="I90" si="60">SUM(I80:I89)</f>
        <v>18033870.280000001</v>
      </c>
      <c r="J90" s="39">
        <f t="shared" ref="J90" si="61">SUM(J80:J89)</f>
        <v>21899513.280000001</v>
      </c>
      <c r="K90" s="39">
        <f t="shared" ref="K90" si="62">SUM(K80:K89)</f>
        <v>25186138.600000001</v>
      </c>
      <c r="L90" s="39">
        <f t="shared" ref="L90" si="63">SUM(L80:L89)</f>
        <v>26757361.880000006</v>
      </c>
      <c r="M90" s="39">
        <f t="shared" ref="M90" si="64">SUM(M80:M89)</f>
        <v>23669504.360000003</v>
      </c>
      <c r="N90" s="39">
        <f t="shared" ref="N90" si="65">SUM(N80:N89)</f>
        <v>14187438.448000003</v>
      </c>
      <c r="O90" s="39">
        <f t="shared" ref="O90" si="66">SUM(O80:O89)</f>
        <v>6495106.7200000007</v>
      </c>
      <c r="P90" s="39">
        <f t="shared" ref="P90" si="67">SUM(P80:P89)</f>
        <v>0</v>
      </c>
    </row>
    <row r="92" spans="2:18" x14ac:dyDescent="0.35">
      <c r="B92" s="1" t="s">
        <v>113</v>
      </c>
    </row>
    <row r="93" spans="2:18" x14ac:dyDescent="0.35">
      <c r="B93" t="s">
        <v>48</v>
      </c>
      <c r="C93" t="s">
        <v>13</v>
      </c>
      <c r="E93" s="37">
        <f ca="1">IFERROR(OFFSET(E80,0,-1*D_Assumptions!$D$11),0)</f>
        <v>0</v>
      </c>
      <c r="F93" s="37">
        <f ca="1">IFERROR(OFFSET(F80,0,-1*D_Assumptions!$D$11),0)</f>
        <v>0</v>
      </c>
      <c r="G93" s="37">
        <f ca="1">IFERROR(OFFSET(G80,0,-1*D_Assumptions!$D$11),0)</f>
        <v>0</v>
      </c>
      <c r="H93" s="37">
        <f ca="1">IFERROR(OFFSET(H80,0,-1*D_Assumptions!$D$11),0)</f>
        <v>0</v>
      </c>
      <c r="I93" s="37">
        <f ca="1">IFERROR(OFFSET(I80,0,-1*D_Assumptions!$D$11),0)</f>
        <v>0</v>
      </c>
      <c r="J93" s="37">
        <f ca="1">IFERROR(OFFSET(J80,0,-1*D_Assumptions!$D$11),0)</f>
        <v>0</v>
      </c>
      <c r="K93" s="37">
        <f ca="1">IFERROR(OFFSET(K80,0,-1*D_Assumptions!$D$11),0)</f>
        <v>0</v>
      </c>
      <c r="L93" s="37">
        <f ca="1">IFERROR(OFFSET(L80,0,-1*D_Assumptions!$D$11),0)</f>
        <v>607317.68000000017</v>
      </c>
      <c r="M93" s="37">
        <f ca="1">IFERROR(OFFSET(M80,0,-1*D_Assumptions!$D$11),0)</f>
        <v>1214635.3600000003</v>
      </c>
      <c r="N93" s="37">
        <f ca="1">IFERROR(OFFSET(N80,0,-1*D_Assumptions!$D$11),0)</f>
        <v>1518294.2000000002</v>
      </c>
      <c r="O93" s="37">
        <f ca="1">IFERROR(OFFSET(O80,0,-1*D_Assumptions!$D$11),0)</f>
        <v>1518294.2000000002</v>
      </c>
      <c r="P93" s="37">
        <f ca="1">IFERROR(OFFSET(P80,0,-1*D_Assumptions!$D$11),0)</f>
        <v>1214635.3600000003</v>
      </c>
    </row>
    <row r="94" spans="2:18" x14ac:dyDescent="0.35">
      <c r="B94" t="s">
        <v>49</v>
      </c>
      <c r="C94" t="s">
        <v>13</v>
      </c>
      <c r="E94" s="37">
        <f ca="1">IFERROR(OFFSET(E81,0,-1*D_Assumptions!$D$11),0)</f>
        <v>0</v>
      </c>
      <c r="F94" s="37">
        <f ca="1">IFERROR(OFFSET(F81,0,-1*D_Assumptions!$D$11),0)</f>
        <v>0</v>
      </c>
      <c r="G94" s="37">
        <f ca="1">IFERROR(OFFSET(G81,0,-1*D_Assumptions!$D$11),0)</f>
        <v>838165.04</v>
      </c>
      <c r="H94" s="37">
        <f ca="1">IFERROR(OFFSET(H81,0,-1*D_Assumptions!$D$11),0)</f>
        <v>1676330.08</v>
      </c>
      <c r="I94" s="37">
        <f ca="1">IFERROR(OFFSET(I81,0,-1*D_Assumptions!$D$11),0)</f>
        <v>2514495.1199999996</v>
      </c>
      <c r="J94" s="37">
        <f ca="1">IFERROR(OFFSET(J81,0,-1*D_Assumptions!$D$11),0)</f>
        <v>3352660.16</v>
      </c>
      <c r="K94" s="37">
        <f ca="1">IFERROR(OFFSET(K81,0,-1*D_Assumptions!$D$11),0)</f>
        <v>3352660.16</v>
      </c>
      <c r="L94" s="37">
        <f ca="1">IFERROR(OFFSET(L81,0,-1*D_Assumptions!$D$11),0)</f>
        <v>3352660.16</v>
      </c>
      <c r="M94" s="37">
        <f ca="1">IFERROR(OFFSET(M81,0,-1*D_Assumptions!$D$11),0)</f>
        <v>1676330.08</v>
      </c>
      <c r="N94" s="37">
        <f ca="1">IFERROR(OFFSET(N81,0,-1*D_Assumptions!$D$11),0)</f>
        <v>0</v>
      </c>
      <c r="O94" s="37">
        <f ca="1">IFERROR(OFFSET(O81,0,-1*D_Assumptions!$D$11),0)</f>
        <v>0</v>
      </c>
      <c r="P94" s="37">
        <f ca="1">IFERROR(OFFSET(P81,0,-1*D_Assumptions!$D$11),0)</f>
        <v>0</v>
      </c>
    </row>
    <row r="95" spans="2:18" x14ac:dyDescent="0.35">
      <c r="B95" t="s">
        <v>50</v>
      </c>
      <c r="C95" t="s">
        <v>13</v>
      </c>
      <c r="E95" s="37">
        <f ca="1">IFERROR(OFFSET(E82,0,-1*D_Assumptions!$D$11),0)</f>
        <v>0</v>
      </c>
      <c r="F95" s="37">
        <f ca="1">IFERROR(OFFSET(F82,0,-1*D_Assumptions!$D$11),0)</f>
        <v>0</v>
      </c>
      <c r="G95" s="37">
        <f ca="1">IFERROR(OFFSET(G82,0,-1*D_Assumptions!$D$11),0)</f>
        <v>0</v>
      </c>
      <c r="H95" s="37">
        <f ca="1">IFERROR(OFFSET(H82,0,-1*D_Assumptions!$D$11),0)</f>
        <v>0</v>
      </c>
      <c r="I95" s="37">
        <f ca="1">IFERROR(OFFSET(I82,0,-1*D_Assumptions!$D$11),0)</f>
        <v>671409</v>
      </c>
      <c r="J95" s="37">
        <f ca="1">IFERROR(OFFSET(J82,0,-1*D_Assumptions!$D$11),0)</f>
        <v>1342818</v>
      </c>
      <c r="K95" s="37">
        <f ca="1">IFERROR(OFFSET(K82,0,-1*D_Assumptions!$D$11),0)</f>
        <v>2014227</v>
      </c>
      <c r="L95" s="37">
        <f ca="1">IFERROR(OFFSET(L82,0,-1*D_Assumptions!$D$11),0)</f>
        <v>2685636</v>
      </c>
      <c r="M95" s="37">
        <f ca="1">IFERROR(OFFSET(M82,0,-1*D_Assumptions!$D$11),0)</f>
        <v>2685636</v>
      </c>
      <c r="N95" s="37">
        <f ca="1">IFERROR(OFFSET(N82,0,-1*D_Assumptions!$D$11),0)</f>
        <v>2685636</v>
      </c>
      <c r="O95" s="37">
        <f ca="1">IFERROR(OFFSET(O82,0,-1*D_Assumptions!$D$11),0)</f>
        <v>1342818</v>
      </c>
      <c r="P95" s="37">
        <f ca="1">IFERROR(OFFSET(P82,0,-1*D_Assumptions!$D$11),0)</f>
        <v>0</v>
      </c>
    </row>
    <row r="96" spans="2:18" x14ac:dyDescent="0.35">
      <c r="B96" t="s">
        <v>51</v>
      </c>
      <c r="C96" t="s">
        <v>13</v>
      </c>
      <c r="E96" s="37">
        <f ca="1">IFERROR(OFFSET(E83,0,-1*D_Assumptions!$D$11),0)</f>
        <v>0</v>
      </c>
      <c r="F96" s="37">
        <f ca="1">IFERROR(OFFSET(F83,0,-1*D_Assumptions!$D$11),0)</f>
        <v>0</v>
      </c>
      <c r="G96" s="37">
        <f ca="1">IFERROR(OFFSET(G83,0,-1*D_Assumptions!$D$11),0)</f>
        <v>0</v>
      </c>
      <c r="H96" s="37">
        <f ca="1">IFERROR(OFFSET(H83,0,-1*D_Assumptions!$D$11),0)</f>
        <v>0</v>
      </c>
      <c r="I96" s="37">
        <f ca="1">IFERROR(OFFSET(I83,0,-1*D_Assumptions!$D$11),0)</f>
        <v>0</v>
      </c>
      <c r="J96" s="37">
        <f ca="1">IFERROR(OFFSET(J83,0,-1*D_Assumptions!$D$11),0)</f>
        <v>1054587.1600000001</v>
      </c>
      <c r="K96" s="37">
        <f ca="1">IFERROR(OFFSET(K83,0,-1*D_Assumptions!$D$11),0)</f>
        <v>2109174.3200000003</v>
      </c>
      <c r="L96" s="37">
        <f ca="1">IFERROR(OFFSET(L83,0,-1*D_Assumptions!$D$11),0)</f>
        <v>3163761.4799999995</v>
      </c>
      <c r="M96" s="37">
        <f ca="1">IFERROR(OFFSET(M83,0,-1*D_Assumptions!$D$11),0)</f>
        <v>4218348.6400000006</v>
      </c>
      <c r="N96" s="37">
        <f ca="1">IFERROR(OFFSET(N83,0,-1*D_Assumptions!$D$11),0)</f>
        <v>4218348.6400000006</v>
      </c>
      <c r="O96" s="37">
        <f ca="1">IFERROR(OFFSET(O83,0,-1*D_Assumptions!$D$11),0)</f>
        <v>4218348.6400000006</v>
      </c>
      <c r="P96" s="37">
        <f ca="1">IFERROR(OFFSET(P83,0,-1*D_Assumptions!$D$11),0)</f>
        <v>2109174.3200000003</v>
      </c>
    </row>
    <row r="97" spans="2:18" x14ac:dyDescent="0.35">
      <c r="B97" t="s">
        <v>52</v>
      </c>
      <c r="C97" t="s">
        <v>13</v>
      </c>
      <c r="E97" s="37">
        <f ca="1">IFERROR(OFFSET(E84,0,-1*D_Assumptions!$D$11),0)</f>
        <v>0</v>
      </c>
      <c r="F97" s="37">
        <f ca="1">IFERROR(OFFSET(F84,0,-1*D_Assumptions!$D$11),0)</f>
        <v>0</v>
      </c>
      <c r="G97" s="37">
        <f ca="1">IFERROR(OFFSET(G84,0,-1*D_Assumptions!$D$11),0)</f>
        <v>0</v>
      </c>
      <c r="H97" s="37">
        <f ca="1">IFERROR(OFFSET(H84,0,-1*D_Assumptions!$D$11),0)</f>
        <v>1085955.2000000002</v>
      </c>
      <c r="I97" s="37">
        <f ca="1">IFERROR(OFFSET(I84,0,-1*D_Assumptions!$D$11),0)</f>
        <v>2171910.4000000004</v>
      </c>
      <c r="J97" s="37">
        <f ca="1">IFERROR(OFFSET(J84,0,-1*D_Assumptions!$D$11),0)</f>
        <v>3257865.5999999996</v>
      </c>
      <c r="K97" s="37">
        <f ca="1">IFERROR(OFFSET(K84,0,-1*D_Assumptions!$D$11),0)</f>
        <v>4343820.8000000007</v>
      </c>
      <c r="L97" s="37">
        <f ca="1">IFERROR(OFFSET(L84,0,-1*D_Assumptions!$D$11),0)</f>
        <v>4343820.8000000007</v>
      </c>
      <c r="M97" s="37">
        <f ca="1">IFERROR(OFFSET(M84,0,-1*D_Assumptions!$D$11),0)</f>
        <v>4343820.8000000007</v>
      </c>
      <c r="N97" s="37">
        <f ca="1">IFERROR(OFFSET(N84,0,-1*D_Assumptions!$D$11),0)</f>
        <v>2171910.4000000004</v>
      </c>
      <c r="O97" s="37">
        <f ca="1">IFERROR(OFFSET(O84,0,-1*D_Assumptions!$D$11),0)</f>
        <v>0</v>
      </c>
      <c r="P97" s="37">
        <f ca="1">IFERROR(OFFSET(P84,0,-1*D_Assumptions!$D$11),0)</f>
        <v>0</v>
      </c>
    </row>
    <row r="98" spans="2:18" x14ac:dyDescent="0.35">
      <c r="B98" t="s">
        <v>53</v>
      </c>
      <c r="C98" t="s">
        <v>13</v>
      </c>
      <c r="E98" s="37">
        <f ca="1">IFERROR(OFFSET(E85,0,-1*D_Assumptions!$D$11),0)</f>
        <v>0</v>
      </c>
      <c r="F98" s="37">
        <f ca="1">IFERROR(OFFSET(F85,0,-1*D_Assumptions!$D$11),0)</f>
        <v>0</v>
      </c>
      <c r="G98" s="37">
        <f ca="1">IFERROR(OFFSET(G85,0,-1*D_Assumptions!$D$11),0)</f>
        <v>1741718.92</v>
      </c>
      <c r="H98" s="37">
        <f ca="1">IFERROR(OFFSET(H85,0,-1*D_Assumptions!$D$11),0)</f>
        <v>2786750.2719999999</v>
      </c>
      <c r="I98" s="37">
        <f ca="1">IFERROR(OFFSET(I85,0,-1*D_Assumptions!$D$11),0)</f>
        <v>3483437.84</v>
      </c>
      <c r="J98" s="37">
        <f ca="1">IFERROR(OFFSET(J85,0,-1*D_Assumptions!$D$11),0)</f>
        <v>5225156.7600000007</v>
      </c>
      <c r="K98" s="37">
        <f ca="1">IFERROR(OFFSET(K85,0,-1*D_Assumptions!$D$11),0)</f>
        <v>5225156.7600000007</v>
      </c>
      <c r="L98" s="37">
        <f ca="1">IFERROR(OFFSET(L85,0,-1*D_Assumptions!$D$11),0)</f>
        <v>5225156.7600000007</v>
      </c>
      <c r="M98" s="37">
        <f ca="1">IFERROR(OFFSET(M85,0,-1*D_Assumptions!$D$11),0)</f>
        <v>5225156.7600000007</v>
      </c>
      <c r="N98" s="37">
        <f ca="1">IFERROR(OFFSET(N85,0,-1*D_Assumptions!$D$11),0)</f>
        <v>5225156.7600000007</v>
      </c>
      <c r="O98" s="37">
        <f ca="1">IFERROR(OFFSET(O85,0,-1*D_Assumptions!$D$11),0)</f>
        <v>696687.56799999997</v>
      </c>
      <c r="P98" s="37">
        <f ca="1">IFERROR(OFFSET(P85,0,-1*D_Assumptions!$D$11),0)</f>
        <v>0</v>
      </c>
    </row>
    <row r="99" spans="2:18" x14ac:dyDescent="0.35">
      <c r="B99" t="s">
        <v>54</v>
      </c>
      <c r="C99" t="s">
        <v>13</v>
      </c>
      <c r="E99" s="37">
        <f ca="1">IFERROR(OFFSET(E86,0,-1*D_Assumptions!$D$11),0)</f>
        <v>0</v>
      </c>
      <c r="F99" s="37">
        <f ca="1">IFERROR(OFFSET(F86,0,-1*D_Assumptions!$D$11),0)</f>
        <v>0</v>
      </c>
      <c r="G99" s="37">
        <f ca="1">IFERROR(OFFSET(G86,0,-1*D_Assumptions!$D$11),0)</f>
        <v>0</v>
      </c>
      <c r="H99" s="37">
        <f ca="1">IFERROR(OFFSET(H86,0,-1*D_Assumptions!$D$11),0)</f>
        <v>0</v>
      </c>
      <c r="I99" s="37">
        <f ca="1">IFERROR(OFFSET(I86,0,-1*D_Assumptions!$D$11),0)</f>
        <v>0</v>
      </c>
      <c r="J99" s="37">
        <f ca="1">IFERROR(OFFSET(J86,0,-1*D_Assumptions!$D$11),0)</f>
        <v>0</v>
      </c>
      <c r="K99" s="37">
        <f ca="1">IFERROR(OFFSET(K86,0,-1*D_Assumptions!$D$11),0)</f>
        <v>0</v>
      </c>
      <c r="L99" s="37">
        <f ca="1">IFERROR(OFFSET(L86,0,-1*D_Assumptions!$D$11),0)</f>
        <v>913448.24</v>
      </c>
      <c r="M99" s="37">
        <f ca="1">IFERROR(OFFSET(M86,0,-1*D_Assumptions!$D$11),0)</f>
        <v>1826896.48</v>
      </c>
      <c r="N99" s="37">
        <f ca="1">IFERROR(OFFSET(N86,0,-1*D_Assumptions!$D$11),0)</f>
        <v>2283620.5999999996</v>
      </c>
      <c r="O99" s="37">
        <f ca="1">IFERROR(OFFSET(O86,0,-1*D_Assumptions!$D$11),0)</f>
        <v>2283620.5999999996</v>
      </c>
      <c r="P99" s="37">
        <f ca="1">IFERROR(OFFSET(P86,0,-1*D_Assumptions!$D$11),0)</f>
        <v>1826896.48</v>
      </c>
    </row>
    <row r="100" spans="2:18" x14ac:dyDescent="0.35">
      <c r="B100" t="s">
        <v>55</v>
      </c>
      <c r="C100" t="s">
        <v>13</v>
      </c>
      <c r="E100" s="37">
        <f ca="1">IFERROR(OFFSET(E87,0,-1*D_Assumptions!$D$11),0)</f>
        <v>0</v>
      </c>
      <c r="F100" s="37">
        <f ca="1">IFERROR(OFFSET(F87,0,-1*D_Assumptions!$D$11),0)</f>
        <v>0</v>
      </c>
      <c r="G100" s="37">
        <f ca="1">IFERROR(OFFSET(G87,0,-1*D_Assumptions!$D$11),0)</f>
        <v>0</v>
      </c>
      <c r="H100" s="37">
        <f ca="1">IFERROR(OFFSET(H87,0,-1*D_Assumptions!$D$11),0)</f>
        <v>0</v>
      </c>
      <c r="I100" s="37">
        <f ca="1">IFERROR(OFFSET(I87,0,-1*D_Assumptions!$D$11),0)</f>
        <v>719434.16</v>
      </c>
      <c r="J100" s="37">
        <f ca="1">IFERROR(OFFSET(J87,0,-1*D_Assumptions!$D$11),0)</f>
        <v>1438868.32</v>
      </c>
      <c r="K100" s="37">
        <f ca="1">IFERROR(OFFSET(K87,0,-1*D_Assumptions!$D$11),0)</f>
        <v>2158302.48</v>
      </c>
      <c r="L100" s="37">
        <f ca="1">IFERROR(OFFSET(L87,0,-1*D_Assumptions!$D$11),0)</f>
        <v>2877736.64</v>
      </c>
      <c r="M100" s="37">
        <f ca="1">IFERROR(OFFSET(M87,0,-1*D_Assumptions!$D$11),0)</f>
        <v>2877736.64</v>
      </c>
      <c r="N100" s="37">
        <f ca="1">IFERROR(OFFSET(N87,0,-1*D_Assumptions!$D$11),0)</f>
        <v>2877736.64</v>
      </c>
      <c r="O100" s="37">
        <f ca="1">IFERROR(OFFSET(O87,0,-1*D_Assumptions!$D$11),0)</f>
        <v>1438868.32</v>
      </c>
      <c r="P100" s="37">
        <f ca="1">IFERROR(OFFSET(P87,0,-1*D_Assumptions!$D$11),0)</f>
        <v>0</v>
      </c>
    </row>
    <row r="101" spans="2:18" x14ac:dyDescent="0.35">
      <c r="B101" t="s">
        <v>56</v>
      </c>
      <c r="C101" t="s">
        <v>13</v>
      </c>
      <c r="E101" s="37">
        <f ca="1">IFERROR(OFFSET(E88,0,-1*D_Assumptions!$D$11),0)</f>
        <v>0</v>
      </c>
      <c r="F101" s="37">
        <f ca="1">IFERROR(OFFSET(F88,0,-1*D_Assumptions!$D$11),0)</f>
        <v>0</v>
      </c>
      <c r="G101" s="37">
        <f ca="1">IFERROR(OFFSET(G88,0,-1*D_Assumptions!$D$11),0)</f>
        <v>0</v>
      </c>
      <c r="H101" s="37">
        <f ca="1">IFERROR(OFFSET(H88,0,-1*D_Assumptions!$D$11),0)</f>
        <v>0</v>
      </c>
      <c r="I101" s="37">
        <f ca="1">IFERROR(OFFSET(I88,0,-1*D_Assumptions!$D$11),0)</f>
        <v>0</v>
      </c>
      <c r="J101" s="37">
        <f ca="1">IFERROR(OFFSET(J88,0,-1*D_Assumptions!$D$11),0)</f>
        <v>672200.28</v>
      </c>
      <c r="K101" s="37">
        <f ca="1">IFERROR(OFFSET(K88,0,-1*D_Assumptions!$D$11),0)</f>
        <v>1344400.56</v>
      </c>
      <c r="L101" s="37">
        <f ca="1">IFERROR(OFFSET(L88,0,-1*D_Assumptions!$D$11),0)</f>
        <v>2016600.8399999999</v>
      </c>
      <c r="M101" s="37">
        <f ca="1">IFERROR(OFFSET(M88,0,-1*D_Assumptions!$D$11),0)</f>
        <v>2688801.12</v>
      </c>
      <c r="N101" s="37">
        <f ca="1">IFERROR(OFFSET(N88,0,-1*D_Assumptions!$D$11),0)</f>
        <v>2688801.12</v>
      </c>
      <c r="O101" s="37">
        <f ca="1">IFERROR(OFFSET(O88,0,-1*D_Assumptions!$D$11),0)</f>
        <v>2688801.12</v>
      </c>
      <c r="P101" s="37">
        <f ca="1">IFERROR(OFFSET(P88,0,-1*D_Assumptions!$D$11),0)</f>
        <v>1344400.56</v>
      </c>
    </row>
    <row r="102" spans="2:18" x14ac:dyDescent="0.35">
      <c r="B102" s="5" t="s">
        <v>57</v>
      </c>
      <c r="C102" s="5" t="s">
        <v>13</v>
      </c>
      <c r="D102" s="5"/>
      <c r="E102" s="38">
        <f ca="1">IFERROR(OFFSET(E89,0,-1*D_Assumptions!$D$11),0)</f>
        <v>0</v>
      </c>
      <c r="F102" s="38">
        <f ca="1">IFERROR(OFFSET(F89,0,-1*D_Assumptions!$D$11),0)</f>
        <v>0</v>
      </c>
      <c r="G102" s="38">
        <f ca="1">IFERROR(OFFSET(G89,0,-1*D_Assumptions!$D$11),0)</f>
        <v>675885.60000000009</v>
      </c>
      <c r="H102" s="38">
        <f ca="1">IFERROR(OFFSET(H89,0,-1*D_Assumptions!$D$11),0)</f>
        <v>1351771.2000000002</v>
      </c>
      <c r="I102" s="38">
        <f ca="1">IFERROR(OFFSET(I89,0,-1*D_Assumptions!$D$11),0)</f>
        <v>1689714</v>
      </c>
      <c r="J102" s="38">
        <f ca="1">IFERROR(OFFSET(J89,0,-1*D_Assumptions!$D$11),0)</f>
        <v>1689714</v>
      </c>
      <c r="K102" s="38">
        <f ca="1">IFERROR(OFFSET(K89,0,-1*D_Assumptions!$D$11),0)</f>
        <v>1351771.2000000002</v>
      </c>
      <c r="L102" s="38">
        <f ca="1">IFERROR(OFFSET(L89,0,-1*D_Assumptions!$D$11),0)</f>
        <v>0</v>
      </c>
      <c r="M102" s="38">
        <f ca="1">IFERROR(OFFSET(M89,0,-1*D_Assumptions!$D$11),0)</f>
        <v>0</v>
      </c>
      <c r="N102" s="38">
        <f ca="1">IFERROR(OFFSET(N89,0,-1*D_Assumptions!$D$11),0)</f>
        <v>0</v>
      </c>
      <c r="O102" s="38">
        <f ca="1">IFERROR(OFFSET(O89,0,-1*D_Assumptions!$D$11),0)</f>
        <v>0</v>
      </c>
      <c r="P102" s="38">
        <f ca="1">IFERROR(OFFSET(P89,0,-1*D_Assumptions!$D$11),0)</f>
        <v>0</v>
      </c>
    </row>
    <row r="103" spans="2:18" x14ac:dyDescent="0.35">
      <c r="B103" s="24" t="s">
        <v>114</v>
      </c>
      <c r="C103" s="1"/>
      <c r="D103" s="1"/>
      <c r="E103" s="39">
        <f ca="1">SUM(E93:E102)</f>
        <v>0</v>
      </c>
      <c r="F103" s="39">
        <f t="shared" ref="F103" ca="1" si="68">SUM(F93:F102)</f>
        <v>0</v>
      </c>
      <c r="G103" s="39">
        <f t="shared" ref="G103" ca="1" si="69">SUM(G93:G102)</f>
        <v>3255769.56</v>
      </c>
      <c r="H103" s="39">
        <f t="shared" ref="H103" ca="1" si="70">SUM(H93:H102)</f>
        <v>6900806.7520000003</v>
      </c>
      <c r="I103" s="39">
        <f t="shared" ref="I103" ca="1" si="71">SUM(I93:I102)</f>
        <v>11250400.52</v>
      </c>
      <c r="J103" s="39">
        <f t="shared" ref="J103" ca="1" si="72">SUM(J93:J102)</f>
        <v>18033870.280000001</v>
      </c>
      <c r="K103" s="39">
        <f t="shared" ref="K103" ca="1" si="73">SUM(K93:K102)</f>
        <v>21899513.280000001</v>
      </c>
      <c r="L103" s="39">
        <f t="shared" ref="L103" ca="1" si="74">SUM(L93:L102)</f>
        <v>25186138.600000001</v>
      </c>
      <c r="M103" s="39">
        <f t="shared" ref="M103" ca="1" si="75">SUM(M93:M102)</f>
        <v>26757361.880000006</v>
      </c>
      <c r="N103" s="39">
        <f t="shared" ref="N103" ca="1" si="76">SUM(N93:N102)</f>
        <v>23669504.360000003</v>
      </c>
      <c r="O103" s="39">
        <f t="shared" ref="O103" ca="1" si="77">SUM(O93:O102)</f>
        <v>14187438.448000003</v>
      </c>
      <c r="P103" s="39">
        <f t="shared" ref="P103" ca="1" si="78">SUM(P93:P102)</f>
        <v>6495106.7200000007</v>
      </c>
    </row>
    <row r="104" spans="2:18" x14ac:dyDescent="0.35">
      <c r="B104" s="24"/>
      <c r="C104" s="1"/>
      <c r="D104" s="1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 spans="2:18" x14ac:dyDescent="0.35">
      <c r="B105" s="40" t="s">
        <v>101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5"/>
      <c r="R105" t="b">
        <f>AND(R109:R118,R123:R132)</f>
        <v>1</v>
      </c>
    </row>
    <row r="107" spans="2:18" x14ac:dyDescent="0.35">
      <c r="B107" t="s">
        <v>90</v>
      </c>
    </row>
    <row r="109" spans="2:18" x14ac:dyDescent="0.35">
      <c r="B109" t="s">
        <v>48</v>
      </c>
      <c r="C109" t="s">
        <v>13</v>
      </c>
      <c r="E109" s="37">
        <f>-1*D_Assumptions!$D41*D_Assumptions!$I41*D_Assumptions!E54</f>
        <v>0</v>
      </c>
      <c r="F109" s="37">
        <f>-1*D_Assumptions!$D41*D_Assumptions!$I41*D_Assumptions!F54</f>
        <v>0</v>
      </c>
      <c r="G109" s="37">
        <f>-1*D_Assumptions!$D41*D_Assumptions!$I41*D_Assumptions!G54</f>
        <v>0</v>
      </c>
      <c r="H109" s="37">
        <f>-1*D_Assumptions!$D41*D_Assumptions!$I41*D_Assumptions!H54</f>
        <v>0</v>
      </c>
      <c r="I109" s="37">
        <f>-1*D_Assumptions!$D41*D_Assumptions!$I41*D_Assumptions!I54</f>
        <v>0</v>
      </c>
      <c r="J109" s="37">
        <f>-1*D_Assumptions!$D41*D_Assumptions!$I41*D_Assumptions!J54</f>
        <v>0</v>
      </c>
      <c r="K109" s="37">
        <f>-1*D_Assumptions!$D41*D_Assumptions!$I41*D_Assumptions!K54</f>
        <v>-289097.60000000003</v>
      </c>
      <c r="L109" s="37">
        <f>-1*D_Assumptions!$D41*D_Assumptions!$I41*D_Assumptions!L54</f>
        <v>-578195.20000000007</v>
      </c>
      <c r="M109" s="37">
        <f>-1*D_Assumptions!$D41*D_Assumptions!$I41*D_Assumptions!M54</f>
        <v>-722744</v>
      </c>
      <c r="N109" s="37">
        <f>-1*D_Assumptions!$D41*D_Assumptions!$I41*D_Assumptions!N54</f>
        <v>-722744</v>
      </c>
      <c r="O109" s="37">
        <f>-1*D_Assumptions!$D41*D_Assumptions!$I41*D_Assumptions!O54</f>
        <v>-578195.20000000007</v>
      </c>
      <c r="P109" s="37">
        <f>-1*D_Assumptions!$D41*D_Assumptions!$I41*D_Assumptions!P54</f>
        <v>0</v>
      </c>
      <c r="R109" s="1" t="b">
        <f>ABS(SUM(E109:P109)+D_Assumptions!Q54*D_Assumptions!D41*D_Assumptions!I41)&lt;D_Assumptions!$D$89</f>
        <v>1</v>
      </c>
    </row>
    <row r="110" spans="2:18" x14ac:dyDescent="0.35">
      <c r="B110" t="s">
        <v>49</v>
      </c>
      <c r="C110" t="s">
        <v>13</v>
      </c>
      <c r="E110" s="37">
        <f>-1*D_Assumptions!$D42*D_Assumptions!$I42*D_Assumptions!E55</f>
        <v>0</v>
      </c>
      <c r="F110" s="37">
        <f>-1*D_Assumptions!$D42*D_Assumptions!$I42*D_Assumptions!F55</f>
        <v>-421817.05000000005</v>
      </c>
      <c r="G110" s="37">
        <f>-1*D_Assumptions!$D42*D_Assumptions!$I42*D_Assumptions!G55</f>
        <v>-843634.10000000009</v>
      </c>
      <c r="H110" s="37">
        <f>-1*D_Assumptions!$D42*D_Assumptions!$I42*D_Assumptions!H55</f>
        <v>-1265451.1499999999</v>
      </c>
      <c r="I110" s="37">
        <f>-1*D_Assumptions!$D42*D_Assumptions!$I42*D_Assumptions!I55</f>
        <v>-1687268.2000000002</v>
      </c>
      <c r="J110" s="37">
        <f>-1*D_Assumptions!$D42*D_Assumptions!$I42*D_Assumptions!J55</f>
        <v>-1687268.2000000002</v>
      </c>
      <c r="K110" s="37">
        <f>-1*D_Assumptions!$D42*D_Assumptions!$I42*D_Assumptions!K55</f>
        <v>-1687268.2000000002</v>
      </c>
      <c r="L110" s="37">
        <f>-1*D_Assumptions!$D42*D_Assumptions!$I42*D_Assumptions!L55</f>
        <v>-843634.10000000009</v>
      </c>
      <c r="M110" s="37">
        <f>-1*D_Assumptions!$D42*D_Assumptions!$I42*D_Assumptions!M55</f>
        <v>0</v>
      </c>
      <c r="N110" s="37">
        <f>-1*D_Assumptions!$D42*D_Assumptions!$I42*D_Assumptions!N55</f>
        <v>0</v>
      </c>
      <c r="O110" s="37">
        <f>-1*D_Assumptions!$D42*D_Assumptions!$I42*D_Assumptions!O55</f>
        <v>0</v>
      </c>
      <c r="P110" s="37">
        <f>-1*D_Assumptions!$D42*D_Assumptions!$I42*D_Assumptions!P55</f>
        <v>0</v>
      </c>
      <c r="R110" s="1" t="b">
        <f>ABS(SUM(E110:P110)+D_Assumptions!Q55*D_Assumptions!D42*D_Assumptions!I42)&lt;D_Assumptions!$D$89</f>
        <v>1</v>
      </c>
    </row>
    <row r="111" spans="2:18" x14ac:dyDescent="0.35">
      <c r="B111" t="s">
        <v>50</v>
      </c>
      <c r="C111" t="s">
        <v>13</v>
      </c>
      <c r="E111" s="37">
        <f>-1*D_Assumptions!$D43*D_Assumptions!$I43*D_Assumptions!E56</f>
        <v>0</v>
      </c>
      <c r="F111" s="37">
        <f>-1*D_Assumptions!$D43*D_Assumptions!$I43*D_Assumptions!F56</f>
        <v>0</v>
      </c>
      <c r="G111" s="37">
        <f>-1*D_Assumptions!$D43*D_Assumptions!$I43*D_Assumptions!G56</f>
        <v>0</v>
      </c>
      <c r="H111" s="37">
        <f>-1*D_Assumptions!$D43*D_Assumptions!$I43*D_Assumptions!H56</f>
        <v>-353946.05000000005</v>
      </c>
      <c r="I111" s="37">
        <f>-1*D_Assumptions!$D43*D_Assumptions!$I43*D_Assumptions!I56</f>
        <v>-707892.10000000009</v>
      </c>
      <c r="J111" s="37">
        <f>-1*D_Assumptions!$D43*D_Assumptions!$I43*D_Assumptions!J56</f>
        <v>-1061838.1499999999</v>
      </c>
      <c r="K111" s="37">
        <f>-1*D_Assumptions!$D43*D_Assumptions!$I43*D_Assumptions!K56</f>
        <v>-1415784.2000000002</v>
      </c>
      <c r="L111" s="37">
        <f>-1*D_Assumptions!$D43*D_Assumptions!$I43*D_Assumptions!L56</f>
        <v>-1415784.2000000002</v>
      </c>
      <c r="M111" s="37">
        <f>-1*D_Assumptions!$D43*D_Assumptions!$I43*D_Assumptions!M56</f>
        <v>-1415784.2000000002</v>
      </c>
      <c r="N111" s="37">
        <f>-1*D_Assumptions!$D43*D_Assumptions!$I43*D_Assumptions!N56</f>
        <v>-707892.10000000009</v>
      </c>
      <c r="O111" s="37">
        <f>-1*D_Assumptions!$D43*D_Assumptions!$I43*D_Assumptions!O56</f>
        <v>0</v>
      </c>
      <c r="P111" s="37">
        <f>-1*D_Assumptions!$D43*D_Assumptions!$I43*D_Assumptions!P56</f>
        <v>0</v>
      </c>
      <c r="R111" s="1" t="b">
        <f>ABS(SUM(E111:P111)+D_Assumptions!Q56*D_Assumptions!D43*D_Assumptions!I43)&lt;D_Assumptions!$D$89</f>
        <v>1</v>
      </c>
    </row>
    <row r="112" spans="2:18" x14ac:dyDescent="0.35">
      <c r="B112" t="s">
        <v>51</v>
      </c>
      <c r="C112" t="s">
        <v>13</v>
      </c>
      <c r="E112" s="37">
        <f>-1*D_Assumptions!$D44*D_Assumptions!$I44*D_Assumptions!E57</f>
        <v>0</v>
      </c>
      <c r="F112" s="37">
        <f>-1*D_Assumptions!$D44*D_Assumptions!$I44*D_Assumptions!F57</f>
        <v>0</v>
      </c>
      <c r="G112" s="37">
        <f>-1*D_Assumptions!$D44*D_Assumptions!$I44*D_Assumptions!G57</f>
        <v>0</v>
      </c>
      <c r="H112" s="37">
        <f>-1*D_Assumptions!$D44*D_Assumptions!$I44*D_Assumptions!H57</f>
        <v>0</v>
      </c>
      <c r="I112" s="37">
        <f>-1*D_Assumptions!$D44*D_Assumptions!$I44*D_Assumptions!I57</f>
        <v>-477179.2</v>
      </c>
      <c r="J112" s="37">
        <f>-1*D_Assumptions!$D44*D_Assumptions!$I44*D_Assumptions!J57</f>
        <v>-954358.4</v>
      </c>
      <c r="K112" s="37">
        <f>-1*D_Assumptions!$D44*D_Assumptions!$I44*D_Assumptions!K57</f>
        <v>-1431537.5999999999</v>
      </c>
      <c r="L112" s="37">
        <f>-1*D_Assumptions!$D44*D_Assumptions!$I44*D_Assumptions!L57</f>
        <v>-1908716.8</v>
      </c>
      <c r="M112" s="37">
        <f>-1*D_Assumptions!$D44*D_Assumptions!$I44*D_Assumptions!M57</f>
        <v>-1908716.8</v>
      </c>
      <c r="N112" s="37">
        <f>-1*D_Assumptions!$D44*D_Assumptions!$I44*D_Assumptions!N57</f>
        <v>-1908716.8</v>
      </c>
      <c r="O112" s="37">
        <f>-1*D_Assumptions!$D44*D_Assumptions!$I44*D_Assumptions!O57</f>
        <v>-954358.4</v>
      </c>
      <c r="P112" s="37">
        <f>-1*D_Assumptions!$D44*D_Assumptions!$I44*D_Assumptions!P57</f>
        <v>0</v>
      </c>
      <c r="R112" s="1" t="b">
        <f>ABS(SUM(E112:P112)+D_Assumptions!Q57*D_Assumptions!D44*D_Assumptions!I44)&lt;D_Assumptions!$D$89</f>
        <v>1</v>
      </c>
    </row>
    <row r="113" spans="2:18" x14ac:dyDescent="0.35">
      <c r="B113" t="s">
        <v>52</v>
      </c>
      <c r="C113" t="s">
        <v>13</v>
      </c>
      <c r="E113" s="37">
        <f>-1*D_Assumptions!$D45*D_Assumptions!$I45*D_Assumptions!E58</f>
        <v>0</v>
      </c>
      <c r="F113" s="37">
        <f>-1*D_Assumptions!$D45*D_Assumptions!$I45*D_Assumptions!F58</f>
        <v>0</v>
      </c>
      <c r="G113" s="37">
        <f>-1*D_Assumptions!$D45*D_Assumptions!$I45*D_Assumptions!G58</f>
        <v>-531893.35</v>
      </c>
      <c r="H113" s="37">
        <f>-1*D_Assumptions!$D45*D_Assumptions!$I45*D_Assumptions!H58</f>
        <v>-1063786.7</v>
      </c>
      <c r="I113" s="37">
        <f>-1*D_Assumptions!$D45*D_Assumptions!$I45*D_Assumptions!I58</f>
        <v>-1595680.05</v>
      </c>
      <c r="J113" s="37">
        <f>-1*D_Assumptions!$D45*D_Assumptions!$I45*D_Assumptions!J58</f>
        <v>-2127573.4</v>
      </c>
      <c r="K113" s="37">
        <f>-1*D_Assumptions!$D45*D_Assumptions!$I45*D_Assumptions!K58</f>
        <v>-2127573.4</v>
      </c>
      <c r="L113" s="37">
        <f>-1*D_Assumptions!$D45*D_Assumptions!$I45*D_Assumptions!L58</f>
        <v>-2127573.4</v>
      </c>
      <c r="M113" s="37">
        <f>-1*D_Assumptions!$D45*D_Assumptions!$I45*D_Assumptions!M58</f>
        <v>-1063786.7</v>
      </c>
      <c r="N113" s="37">
        <f>-1*D_Assumptions!$D45*D_Assumptions!$I45*D_Assumptions!N58</f>
        <v>0</v>
      </c>
      <c r="O113" s="37">
        <f>-1*D_Assumptions!$D45*D_Assumptions!$I45*D_Assumptions!O58</f>
        <v>0</v>
      </c>
      <c r="P113" s="37">
        <f>-1*D_Assumptions!$D45*D_Assumptions!$I45*D_Assumptions!P58</f>
        <v>0</v>
      </c>
      <c r="R113" s="1" t="b">
        <f>ABS(SUM(E113:P113)+D_Assumptions!Q58*D_Assumptions!D45*D_Assumptions!I45)&lt;D_Assumptions!$D$89</f>
        <v>1</v>
      </c>
    </row>
    <row r="114" spans="2:18" x14ac:dyDescent="0.35">
      <c r="B114" t="s">
        <v>53</v>
      </c>
      <c r="C114" t="s">
        <v>13</v>
      </c>
      <c r="E114" s="37">
        <f>-1*D_Assumptions!$D46*D_Assumptions!$I46*D_Assumptions!E59</f>
        <v>0</v>
      </c>
      <c r="F114" s="37">
        <f>-1*D_Assumptions!$D46*D_Assumptions!$I46*D_Assumptions!F59</f>
        <v>-846754.9</v>
      </c>
      <c r="G114" s="37">
        <f>-1*D_Assumptions!$D46*D_Assumptions!$I46*D_Assumptions!G59</f>
        <v>-1354807.84</v>
      </c>
      <c r="H114" s="37">
        <f>-1*D_Assumptions!$D46*D_Assumptions!$I46*D_Assumptions!H59</f>
        <v>-1693509.8</v>
      </c>
      <c r="I114" s="37">
        <f>-1*D_Assumptions!$D46*D_Assumptions!$I46*D_Assumptions!I59</f>
        <v>-2540264.6999999997</v>
      </c>
      <c r="J114" s="37">
        <f>-1*D_Assumptions!$D46*D_Assumptions!$I46*D_Assumptions!J59</f>
        <v>-2540264.6999999997</v>
      </c>
      <c r="K114" s="37">
        <f>-1*D_Assumptions!$D46*D_Assumptions!$I46*D_Assumptions!K59</f>
        <v>-2540264.6999999997</v>
      </c>
      <c r="L114" s="37">
        <f>-1*D_Assumptions!$D46*D_Assumptions!$I46*D_Assumptions!L59</f>
        <v>-2540264.6999999997</v>
      </c>
      <c r="M114" s="37">
        <f>-1*D_Assumptions!$D46*D_Assumptions!$I46*D_Assumptions!M59</f>
        <v>-2540264.6999999997</v>
      </c>
      <c r="N114" s="37">
        <f>-1*D_Assumptions!$D46*D_Assumptions!$I46*D_Assumptions!N59</f>
        <v>-338701.96</v>
      </c>
      <c r="O114" s="37">
        <f>-1*D_Assumptions!$D46*D_Assumptions!$I46*D_Assumptions!O59</f>
        <v>0</v>
      </c>
      <c r="P114" s="37">
        <f>-1*D_Assumptions!$D46*D_Assumptions!$I46*D_Assumptions!P59</f>
        <v>0</v>
      </c>
      <c r="R114" s="1" t="b">
        <f>ABS(SUM(E114:P114)+D_Assumptions!Q59*D_Assumptions!D46*D_Assumptions!I46)&lt;D_Assumptions!$D$89</f>
        <v>1</v>
      </c>
    </row>
    <row r="115" spans="2:18" x14ac:dyDescent="0.35">
      <c r="B115" t="s">
        <v>54</v>
      </c>
      <c r="C115" t="s">
        <v>13</v>
      </c>
      <c r="E115" s="37">
        <f>-1*D_Assumptions!$D47*D_Assumptions!$I47*D_Assumptions!E60</f>
        <v>0</v>
      </c>
      <c r="F115" s="37">
        <f>-1*D_Assumptions!$D47*D_Assumptions!$I47*D_Assumptions!F60</f>
        <v>0</v>
      </c>
      <c r="G115" s="37">
        <f>-1*D_Assumptions!$D47*D_Assumptions!$I47*D_Assumptions!G60</f>
        <v>0</v>
      </c>
      <c r="H115" s="37">
        <f>-1*D_Assumptions!$D47*D_Assumptions!$I47*D_Assumptions!H60</f>
        <v>0</v>
      </c>
      <c r="I115" s="37">
        <f>-1*D_Assumptions!$D47*D_Assumptions!$I47*D_Assumptions!I60</f>
        <v>0</v>
      </c>
      <c r="J115" s="37">
        <f>-1*D_Assumptions!$D47*D_Assumptions!$I47*D_Assumptions!J60</f>
        <v>0</v>
      </c>
      <c r="K115" s="37">
        <f>-1*D_Assumptions!$D47*D_Assumptions!$I47*D_Assumptions!K60</f>
        <v>-419331.30000000005</v>
      </c>
      <c r="L115" s="37">
        <f>-1*D_Assumptions!$D47*D_Assumptions!$I47*D_Assumptions!L60</f>
        <v>-838662.60000000009</v>
      </c>
      <c r="M115" s="37">
        <f>-1*D_Assumptions!$D47*D_Assumptions!$I47*D_Assumptions!M60</f>
        <v>-1048328.25</v>
      </c>
      <c r="N115" s="37">
        <f>-1*D_Assumptions!$D47*D_Assumptions!$I47*D_Assumptions!N60</f>
        <v>-1048328.25</v>
      </c>
      <c r="O115" s="37">
        <f>-1*D_Assumptions!$D47*D_Assumptions!$I47*D_Assumptions!O60</f>
        <v>-838662.60000000009</v>
      </c>
      <c r="P115" s="37">
        <f>-1*D_Assumptions!$D47*D_Assumptions!$I47*D_Assumptions!P60</f>
        <v>0</v>
      </c>
      <c r="R115" s="1" t="b">
        <f>ABS(SUM(E115:P115)+D_Assumptions!Q60*D_Assumptions!D47*D_Assumptions!I47)&lt;D_Assumptions!$D$89</f>
        <v>1</v>
      </c>
    </row>
    <row r="116" spans="2:18" x14ac:dyDescent="0.35">
      <c r="B116" t="s">
        <v>55</v>
      </c>
      <c r="C116" t="s">
        <v>13</v>
      </c>
      <c r="E116" s="37">
        <f>-1*D_Assumptions!$D48*D_Assumptions!$I48*D_Assumptions!E61</f>
        <v>0</v>
      </c>
      <c r="F116" s="37">
        <f>-1*D_Assumptions!$D48*D_Assumptions!$I48*D_Assumptions!F61</f>
        <v>0</v>
      </c>
      <c r="G116" s="37">
        <f>-1*D_Assumptions!$D48*D_Assumptions!$I48*D_Assumptions!G61</f>
        <v>0</v>
      </c>
      <c r="H116" s="37">
        <f>-1*D_Assumptions!$D48*D_Assumptions!$I48*D_Assumptions!H61</f>
        <v>-468686.95</v>
      </c>
      <c r="I116" s="37">
        <f>-1*D_Assumptions!$D48*D_Assumptions!$I48*D_Assumptions!I61</f>
        <v>-937373.9</v>
      </c>
      <c r="J116" s="37">
        <f>-1*D_Assumptions!$D48*D_Assumptions!$I48*D_Assumptions!J61</f>
        <v>-1406060.8499999999</v>
      </c>
      <c r="K116" s="37">
        <f>-1*D_Assumptions!$D48*D_Assumptions!$I48*D_Assumptions!K61</f>
        <v>-1874747.8</v>
      </c>
      <c r="L116" s="37">
        <f>-1*D_Assumptions!$D48*D_Assumptions!$I48*D_Assumptions!L61</f>
        <v>-1874747.8</v>
      </c>
      <c r="M116" s="37">
        <f>-1*D_Assumptions!$D48*D_Assumptions!$I48*D_Assumptions!M61</f>
        <v>-1874747.8</v>
      </c>
      <c r="N116" s="37">
        <f>-1*D_Assumptions!$D48*D_Assumptions!$I48*D_Assumptions!N61</f>
        <v>-937373.9</v>
      </c>
      <c r="O116" s="37">
        <f>-1*D_Assumptions!$D48*D_Assumptions!$I48*D_Assumptions!O61</f>
        <v>0</v>
      </c>
      <c r="P116" s="37">
        <f>-1*D_Assumptions!$D48*D_Assumptions!$I48*D_Assumptions!P61</f>
        <v>0</v>
      </c>
      <c r="R116" s="1" t="b">
        <f>ABS(SUM(E116:P116)+D_Assumptions!Q61*D_Assumptions!D48*D_Assumptions!I48)&lt;D_Assumptions!$D$89</f>
        <v>1</v>
      </c>
    </row>
    <row r="117" spans="2:18" x14ac:dyDescent="0.35">
      <c r="B117" t="s">
        <v>56</v>
      </c>
      <c r="C117" t="s">
        <v>13</v>
      </c>
      <c r="E117" s="37">
        <f>-1*D_Assumptions!$D49*D_Assumptions!$I49*D_Assumptions!E62</f>
        <v>0</v>
      </c>
      <c r="F117" s="37">
        <f>-1*D_Assumptions!$D49*D_Assumptions!$I49*D_Assumptions!F62</f>
        <v>0</v>
      </c>
      <c r="G117" s="37">
        <f>-1*D_Assumptions!$D49*D_Assumptions!$I49*D_Assumptions!G62</f>
        <v>0</v>
      </c>
      <c r="H117" s="37">
        <f>-1*D_Assumptions!$D49*D_Assumptions!$I49*D_Assumptions!H62</f>
        <v>0</v>
      </c>
      <c r="I117" s="37">
        <f>-1*D_Assumptions!$D49*D_Assumptions!$I49*D_Assumptions!I62</f>
        <v>-300553.65000000002</v>
      </c>
      <c r="J117" s="37">
        <f>-1*D_Assumptions!$D49*D_Assumptions!$I49*D_Assumptions!J62</f>
        <v>-601107.30000000005</v>
      </c>
      <c r="K117" s="37">
        <f>-1*D_Assumptions!$D49*D_Assumptions!$I49*D_Assumptions!K62</f>
        <v>-901660.95</v>
      </c>
      <c r="L117" s="37">
        <f>-1*D_Assumptions!$D49*D_Assumptions!$I49*D_Assumptions!L62</f>
        <v>-1202214.6000000001</v>
      </c>
      <c r="M117" s="37">
        <f>-1*D_Assumptions!$D49*D_Assumptions!$I49*D_Assumptions!M62</f>
        <v>-1202214.6000000001</v>
      </c>
      <c r="N117" s="37">
        <f>-1*D_Assumptions!$D49*D_Assumptions!$I49*D_Assumptions!N62</f>
        <v>-1202214.6000000001</v>
      </c>
      <c r="O117" s="37">
        <f>-1*D_Assumptions!$D49*D_Assumptions!$I49*D_Assumptions!O62</f>
        <v>-601107.30000000005</v>
      </c>
      <c r="P117" s="37">
        <f>-1*D_Assumptions!$D49*D_Assumptions!$I49*D_Assumptions!P62</f>
        <v>0</v>
      </c>
      <c r="R117" s="1" t="b">
        <f>ABS(SUM(E117:P117)+D_Assumptions!Q62*D_Assumptions!D49*D_Assumptions!I49)&lt;D_Assumptions!$D$89</f>
        <v>1</v>
      </c>
    </row>
    <row r="118" spans="2:18" x14ac:dyDescent="0.35">
      <c r="B118" s="5" t="s">
        <v>57</v>
      </c>
      <c r="C118" s="5" t="s">
        <v>13</v>
      </c>
      <c r="D118" s="5"/>
      <c r="E118" s="38">
        <f>-1*D_Assumptions!$D50*D_Assumptions!$I50*D_Assumptions!E63</f>
        <v>0</v>
      </c>
      <c r="F118" s="38">
        <f>-1*D_Assumptions!$D50*D_Assumptions!$I50*D_Assumptions!F63</f>
        <v>-392842.4</v>
      </c>
      <c r="G118" s="38">
        <f>-1*D_Assumptions!$D50*D_Assumptions!$I50*D_Assumptions!G63</f>
        <v>-785684.8</v>
      </c>
      <c r="H118" s="38">
        <f>-1*D_Assumptions!$D50*D_Assumptions!$I50*D_Assumptions!H63</f>
        <v>-982106</v>
      </c>
      <c r="I118" s="38">
        <f>-1*D_Assumptions!$D50*D_Assumptions!$I50*D_Assumptions!I63</f>
        <v>-982106</v>
      </c>
      <c r="J118" s="38">
        <f>-1*D_Assumptions!$D50*D_Assumptions!$I50*D_Assumptions!J63</f>
        <v>-785684.8</v>
      </c>
      <c r="K118" s="38">
        <f>-1*D_Assumptions!$D50*D_Assumptions!$I50*D_Assumptions!K63</f>
        <v>0</v>
      </c>
      <c r="L118" s="38">
        <f>-1*D_Assumptions!$D50*D_Assumptions!$I50*D_Assumptions!L63</f>
        <v>0</v>
      </c>
      <c r="M118" s="38">
        <f>-1*D_Assumptions!$D50*D_Assumptions!$I50*D_Assumptions!M63</f>
        <v>0</v>
      </c>
      <c r="N118" s="38">
        <f>-1*D_Assumptions!$D50*D_Assumptions!$I50*D_Assumptions!N63</f>
        <v>0</v>
      </c>
      <c r="O118" s="38">
        <f>-1*D_Assumptions!$D50*D_Assumptions!$I50*D_Assumptions!O63</f>
        <v>0</v>
      </c>
      <c r="P118" s="38">
        <f>-1*D_Assumptions!$D50*D_Assumptions!$I50*D_Assumptions!P63</f>
        <v>0</v>
      </c>
      <c r="R118" s="1" t="b">
        <f>ABS(SUM(E118:P118)+D_Assumptions!Q63*D_Assumptions!D50*D_Assumptions!I50)&lt;D_Assumptions!$D$89</f>
        <v>1</v>
      </c>
    </row>
    <row r="119" spans="2:18" x14ac:dyDescent="0.35">
      <c r="B119" s="24" t="s">
        <v>92</v>
      </c>
      <c r="C119" s="1"/>
      <c r="D119" s="1"/>
      <c r="E119" s="39">
        <f>SUM(E109:E118)</f>
        <v>0</v>
      </c>
      <c r="F119" s="39">
        <f t="shared" ref="F119" si="79">SUM(F109:F118)</f>
        <v>-1661414.35</v>
      </c>
      <c r="G119" s="39">
        <f t="shared" ref="G119" si="80">SUM(G109:G118)</f>
        <v>-3516020.09</v>
      </c>
      <c r="H119" s="39">
        <f t="shared" ref="H119" si="81">SUM(H109:H118)</f>
        <v>-5827486.6500000004</v>
      </c>
      <c r="I119" s="39">
        <f t="shared" ref="I119" si="82">SUM(I109:I118)</f>
        <v>-9228317.8000000007</v>
      </c>
      <c r="J119" s="39">
        <f t="shared" ref="J119" si="83">SUM(J109:J118)</f>
        <v>-11164155.800000001</v>
      </c>
      <c r="K119" s="39">
        <f t="shared" ref="K119" si="84">SUM(K109:K118)</f>
        <v>-12687265.75</v>
      </c>
      <c r="L119" s="39">
        <f t="shared" ref="L119" si="85">SUM(L109:L118)</f>
        <v>-13329793.4</v>
      </c>
      <c r="M119" s="39">
        <f t="shared" ref="M119" si="86">SUM(M109:M118)</f>
        <v>-11776587.050000001</v>
      </c>
      <c r="N119" s="39">
        <f t="shared" ref="N119" si="87">SUM(N109:N118)</f>
        <v>-6865971.6100000013</v>
      </c>
      <c r="O119" s="39">
        <f t="shared" ref="O119" si="88">SUM(O109:O118)</f>
        <v>-2972323.5</v>
      </c>
      <c r="P119" s="39">
        <f t="shared" ref="P119" si="89">SUM(P109:P118)</f>
        <v>0</v>
      </c>
    </row>
    <row r="121" spans="2:18" x14ac:dyDescent="0.35">
      <c r="B121" t="s">
        <v>91</v>
      </c>
    </row>
    <row r="123" spans="2:18" x14ac:dyDescent="0.35">
      <c r="B123" t="s">
        <v>48</v>
      </c>
      <c r="C123" t="s">
        <v>13</v>
      </c>
      <c r="E123" s="37">
        <f>-1*D_Assumptions!$E41*D_Assumptions!$I41*D_Assumptions!E54</f>
        <v>0</v>
      </c>
      <c r="F123" s="37">
        <f>-1*D_Assumptions!$E41*D_Assumptions!$I41*D_Assumptions!F54</f>
        <v>0</v>
      </c>
      <c r="G123" s="37">
        <f>-1*D_Assumptions!$E41*D_Assumptions!$I41*D_Assumptions!G54</f>
        <v>0</v>
      </c>
      <c r="H123" s="37">
        <f>-1*D_Assumptions!$E41*D_Assumptions!$I41*D_Assumptions!H54</f>
        <v>0</v>
      </c>
      <c r="I123" s="37">
        <f>-1*D_Assumptions!$E41*D_Assumptions!$I41*D_Assumptions!I54</f>
        <v>0</v>
      </c>
      <c r="J123" s="37">
        <f>-1*D_Assumptions!$E41*D_Assumptions!$I41*D_Assumptions!J54</f>
        <v>0</v>
      </c>
      <c r="K123" s="37">
        <f>-1*D_Assumptions!$E41*D_Assumptions!$I41*D_Assumptions!K54</f>
        <v>-339595.60000000003</v>
      </c>
      <c r="L123" s="37">
        <f>-1*D_Assumptions!$E41*D_Assumptions!$I41*D_Assumptions!L54</f>
        <v>-679191.20000000007</v>
      </c>
      <c r="M123" s="37">
        <f>-1*D_Assumptions!$E41*D_Assumptions!$I41*D_Assumptions!M54</f>
        <v>-848989</v>
      </c>
      <c r="N123" s="37">
        <f>-1*D_Assumptions!$E41*D_Assumptions!$I41*D_Assumptions!N54</f>
        <v>-848989</v>
      </c>
      <c r="O123" s="37">
        <f>-1*D_Assumptions!$E41*D_Assumptions!$I41*D_Assumptions!O54</f>
        <v>-679191.20000000007</v>
      </c>
      <c r="P123" s="37">
        <f>-1*D_Assumptions!$E41*D_Assumptions!$I41*D_Assumptions!P54</f>
        <v>0</v>
      </c>
      <c r="R123" s="1" t="b">
        <f>ABS(SUM(E123:P123)+D_Assumptions!Q54*D_Assumptions!E41*D_Assumptions!I41)&lt;D_Assumptions!$D$89</f>
        <v>1</v>
      </c>
    </row>
    <row r="124" spans="2:18" x14ac:dyDescent="0.35">
      <c r="B124" t="s">
        <v>49</v>
      </c>
      <c r="C124" t="s">
        <v>13</v>
      </c>
      <c r="E124" s="37">
        <f>-1*D_Assumptions!$E42*D_Assumptions!$I42*D_Assumptions!E55</f>
        <v>0</v>
      </c>
      <c r="F124" s="37">
        <f>-1*D_Assumptions!$E42*D_Assumptions!$I42*D_Assumptions!F55</f>
        <v>-445848.60000000003</v>
      </c>
      <c r="G124" s="37">
        <f>-1*D_Assumptions!$E42*D_Assumptions!$I42*D_Assumptions!G55</f>
        <v>-891697.20000000007</v>
      </c>
      <c r="H124" s="37">
        <f>-1*D_Assumptions!$E42*D_Assumptions!$I42*D_Assumptions!H55</f>
        <v>-1337545.8</v>
      </c>
      <c r="I124" s="37">
        <f>-1*D_Assumptions!$E42*D_Assumptions!$I42*D_Assumptions!I55</f>
        <v>-1783394.4000000001</v>
      </c>
      <c r="J124" s="37">
        <f>-1*D_Assumptions!$E42*D_Assumptions!$I42*D_Assumptions!J55</f>
        <v>-1783394.4000000001</v>
      </c>
      <c r="K124" s="37">
        <f>-1*D_Assumptions!$E42*D_Assumptions!$I42*D_Assumptions!K55</f>
        <v>-1783394.4000000001</v>
      </c>
      <c r="L124" s="37">
        <f>-1*D_Assumptions!$E42*D_Assumptions!$I42*D_Assumptions!L55</f>
        <v>-891697.20000000007</v>
      </c>
      <c r="M124" s="37">
        <f>-1*D_Assumptions!$E42*D_Assumptions!$I42*D_Assumptions!M55</f>
        <v>0</v>
      </c>
      <c r="N124" s="37">
        <f>-1*D_Assumptions!$E42*D_Assumptions!$I42*D_Assumptions!N55</f>
        <v>0</v>
      </c>
      <c r="O124" s="37">
        <f>-1*D_Assumptions!$E42*D_Assumptions!$I42*D_Assumptions!O55</f>
        <v>0</v>
      </c>
      <c r="P124" s="37">
        <f>-1*D_Assumptions!$E42*D_Assumptions!$I42*D_Assumptions!P55</f>
        <v>0</v>
      </c>
      <c r="R124" s="1" t="b">
        <f>ABS(SUM(E124:P124)+D_Assumptions!Q55*D_Assumptions!E42*D_Assumptions!I42)&lt;D_Assumptions!$D$89</f>
        <v>1</v>
      </c>
    </row>
    <row r="125" spans="2:18" x14ac:dyDescent="0.35">
      <c r="B125" t="s">
        <v>50</v>
      </c>
      <c r="C125" t="s">
        <v>13</v>
      </c>
      <c r="E125" s="37">
        <f>-1*D_Assumptions!$E43*D_Assumptions!$I43*D_Assumptions!E56</f>
        <v>0</v>
      </c>
      <c r="F125" s="37">
        <f>-1*D_Assumptions!$E43*D_Assumptions!$I43*D_Assumptions!F56</f>
        <v>0</v>
      </c>
      <c r="G125" s="37">
        <f>-1*D_Assumptions!$E43*D_Assumptions!$I43*D_Assumptions!G56</f>
        <v>0</v>
      </c>
      <c r="H125" s="37">
        <f>-1*D_Assumptions!$E43*D_Assumptions!$I43*D_Assumptions!H56</f>
        <v>-341094.35000000003</v>
      </c>
      <c r="I125" s="37">
        <f>-1*D_Assumptions!$E43*D_Assumptions!$I43*D_Assumptions!I56</f>
        <v>-682188.70000000007</v>
      </c>
      <c r="J125" s="37">
        <f>-1*D_Assumptions!$E43*D_Assumptions!$I43*D_Assumptions!J56</f>
        <v>-1023283.0499999999</v>
      </c>
      <c r="K125" s="37">
        <f>-1*D_Assumptions!$E43*D_Assumptions!$I43*D_Assumptions!K56</f>
        <v>-1364377.4000000001</v>
      </c>
      <c r="L125" s="37">
        <f>-1*D_Assumptions!$E43*D_Assumptions!$I43*D_Assumptions!L56</f>
        <v>-1364377.4000000001</v>
      </c>
      <c r="M125" s="37">
        <f>-1*D_Assumptions!$E43*D_Assumptions!$I43*D_Assumptions!M56</f>
        <v>-1364377.4000000001</v>
      </c>
      <c r="N125" s="37">
        <f>-1*D_Assumptions!$E43*D_Assumptions!$I43*D_Assumptions!N56</f>
        <v>-682188.70000000007</v>
      </c>
      <c r="O125" s="37">
        <f>-1*D_Assumptions!$E43*D_Assumptions!$I43*D_Assumptions!O56</f>
        <v>0</v>
      </c>
      <c r="P125" s="37">
        <f>-1*D_Assumptions!$E43*D_Assumptions!$I43*D_Assumptions!P56</f>
        <v>0</v>
      </c>
      <c r="R125" s="1" t="b">
        <f>ABS(SUM(E125:P125)+D_Assumptions!Q56*D_Assumptions!E43*D_Assumptions!I43)&lt;D_Assumptions!$D$89</f>
        <v>1</v>
      </c>
    </row>
    <row r="126" spans="2:18" x14ac:dyDescent="0.35">
      <c r="B126" t="s">
        <v>51</v>
      </c>
      <c r="C126" t="s">
        <v>13</v>
      </c>
      <c r="E126" s="37">
        <f>-1*D_Assumptions!$E44*D_Assumptions!$I44*D_Assumptions!E57</f>
        <v>0</v>
      </c>
      <c r="F126" s="37">
        <f>-1*D_Assumptions!$E44*D_Assumptions!$I44*D_Assumptions!F57</f>
        <v>0</v>
      </c>
      <c r="G126" s="37">
        <f>-1*D_Assumptions!$E44*D_Assumptions!$I44*D_Assumptions!G57</f>
        <v>0</v>
      </c>
      <c r="H126" s="37">
        <f>-1*D_Assumptions!$E44*D_Assumptions!$I44*D_Assumptions!H57</f>
        <v>0</v>
      </c>
      <c r="I126" s="37">
        <f>-1*D_Assumptions!$E44*D_Assumptions!$I44*D_Assumptions!I57</f>
        <v>-614525.95000000007</v>
      </c>
      <c r="J126" s="37">
        <f>-1*D_Assumptions!$E44*D_Assumptions!$I44*D_Assumptions!J57</f>
        <v>-1229051.9000000001</v>
      </c>
      <c r="K126" s="37">
        <f>-1*D_Assumptions!$E44*D_Assumptions!$I44*D_Assumptions!K57</f>
        <v>-1843577.8499999999</v>
      </c>
      <c r="L126" s="37">
        <f>-1*D_Assumptions!$E44*D_Assumptions!$I44*D_Assumptions!L57</f>
        <v>-2458103.8000000003</v>
      </c>
      <c r="M126" s="37">
        <f>-1*D_Assumptions!$E44*D_Assumptions!$I44*D_Assumptions!M57</f>
        <v>-2458103.8000000003</v>
      </c>
      <c r="N126" s="37">
        <f>-1*D_Assumptions!$E44*D_Assumptions!$I44*D_Assumptions!N57</f>
        <v>-2458103.8000000003</v>
      </c>
      <c r="O126" s="37">
        <f>-1*D_Assumptions!$E44*D_Assumptions!$I44*D_Assumptions!O57</f>
        <v>-1229051.9000000001</v>
      </c>
      <c r="P126" s="37">
        <f>-1*D_Assumptions!$E44*D_Assumptions!$I44*D_Assumptions!P57</f>
        <v>0</v>
      </c>
      <c r="R126" s="1" t="b">
        <f>ABS(SUM(E126:P126)+D_Assumptions!Q57*D_Assumptions!E44*D_Assumptions!I44)&lt;D_Assumptions!$D$89</f>
        <v>1</v>
      </c>
    </row>
    <row r="127" spans="2:18" x14ac:dyDescent="0.35">
      <c r="B127" t="s">
        <v>52</v>
      </c>
      <c r="C127" t="s">
        <v>13</v>
      </c>
      <c r="E127" s="37">
        <f>-1*D_Assumptions!$E45*D_Assumptions!$I45*D_Assumptions!E58</f>
        <v>0</v>
      </c>
      <c r="F127" s="37">
        <f>-1*D_Assumptions!$E45*D_Assumptions!$I45*D_Assumptions!F58</f>
        <v>0</v>
      </c>
      <c r="G127" s="37">
        <f>-1*D_Assumptions!$E45*D_Assumptions!$I45*D_Assumptions!G58</f>
        <v>-592283.85</v>
      </c>
      <c r="H127" s="37">
        <f>-1*D_Assumptions!$E45*D_Assumptions!$I45*D_Assumptions!H58</f>
        <v>-1184567.7</v>
      </c>
      <c r="I127" s="37">
        <f>-1*D_Assumptions!$E45*D_Assumptions!$I45*D_Assumptions!I58</f>
        <v>-1776851.55</v>
      </c>
      <c r="J127" s="37">
        <f>-1*D_Assumptions!$E45*D_Assumptions!$I45*D_Assumptions!J58</f>
        <v>-2369135.4</v>
      </c>
      <c r="K127" s="37">
        <f>-1*D_Assumptions!$E45*D_Assumptions!$I45*D_Assumptions!K58</f>
        <v>-2369135.4</v>
      </c>
      <c r="L127" s="37">
        <f>-1*D_Assumptions!$E45*D_Assumptions!$I45*D_Assumptions!L58</f>
        <v>-2369135.4</v>
      </c>
      <c r="M127" s="37">
        <f>-1*D_Assumptions!$E45*D_Assumptions!$I45*D_Assumptions!M58</f>
        <v>-1184567.7</v>
      </c>
      <c r="N127" s="37">
        <f>-1*D_Assumptions!$E45*D_Assumptions!$I45*D_Assumptions!N58</f>
        <v>0</v>
      </c>
      <c r="O127" s="37">
        <f>-1*D_Assumptions!$E45*D_Assumptions!$I45*D_Assumptions!O58</f>
        <v>0</v>
      </c>
      <c r="P127" s="37">
        <f>-1*D_Assumptions!$E45*D_Assumptions!$I45*D_Assumptions!P58</f>
        <v>0</v>
      </c>
      <c r="R127" s="1" t="b">
        <f>ABS(SUM(E127:P127)+D_Assumptions!Q58*D_Assumptions!E45*D_Assumptions!I45)&lt;D_Assumptions!$D$89</f>
        <v>1</v>
      </c>
    </row>
    <row r="128" spans="2:18" x14ac:dyDescent="0.35">
      <c r="B128" t="s">
        <v>53</v>
      </c>
      <c r="C128" t="s">
        <v>13</v>
      </c>
      <c r="E128" s="37">
        <f>-1*D_Assumptions!$E46*D_Assumptions!$I46*D_Assumptions!E59</f>
        <v>0</v>
      </c>
      <c r="F128" s="37">
        <f>-1*D_Assumptions!$E46*D_Assumptions!$I46*D_Assumptions!F59</f>
        <v>-956266.75</v>
      </c>
      <c r="G128" s="37">
        <f>-1*D_Assumptions!$E46*D_Assumptions!$I46*D_Assumptions!G59</f>
        <v>-1530026.8</v>
      </c>
      <c r="H128" s="37">
        <f>-1*D_Assumptions!$E46*D_Assumptions!$I46*D_Assumptions!H59</f>
        <v>-1912533.5</v>
      </c>
      <c r="I128" s="37">
        <f>-1*D_Assumptions!$E46*D_Assumptions!$I46*D_Assumptions!I59</f>
        <v>-2868800.25</v>
      </c>
      <c r="J128" s="37">
        <f>-1*D_Assumptions!$E46*D_Assumptions!$I46*D_Assumptions!J59</f>
        <v>-2868800.25</v>
      </c>
      <c r="K128" s="37">
        <f>-1*D_Assumptions!$E46*D_Assumptions!$I46*D_Assumptions!K59</f>
        <v>-2868800.25</v>
      </c>
      <c r="L128" s="37">
        <f>-1*D_Assumptions!$E46*D_Assumptions!$I46*D_Assumptions!L59</f>
        <v>-2868800.25</v>
      </c>
      <c r="M128" s="37">
        <f>-1*D_Assumptions!$E46*D_Assumptions!$I46*D_Assumptions!M59</f>
        <v>-2868800.25</v>
      </c>
      <c r="N128" s="37">
        <f>-1*D_Assumptions!$E46*D_Assumptions!$I46*D_Assumptions!N59</f>
        <v>-382506.7</v>
      </c>
      <c r="O128" s="37">
        <f>-1*D_Assumptions!$E46*D_Assumptions!$I46*D_Assumptions!O59</f>
        <v>0</v>
      </c>
      <c r="P128" s="37">
        <f>-1*D_Assumptions!$E46*D_Assumptions!$I46*D_Assumptions!P59</f>
        <v>0</v>
      </c>
      <c r="R128" s="1" t="b">
        <f>ABS(SUM(E128:P128)+D_Assumptions!Q59*D_Assumptions!E46*D_Assumptions!I46)&lt;D_Assumptions!$D$89</f>
        <v>1</v>
      </c>
    </row>
    <row r="129" spans="2:18" x14ac:dyDescent="0.35">
      <c r="B129" t="s">
        <v>54</v>
      </c>
      <c r="C129" t="s">
        <v>13</v>
      </c>
      <c r="E129" s="37">
        <f>-1*D_Assumptions!$E47*D_Assumptions!$I47*D_Assumptions!E60</f>
        <v>0</v>
      </c>
      <c r="F129" s="37">
        <f>-1*D_Assumptions!$E47*D_Assumptions!$I47*D_Assumptions!F60</f>
        <v>0</v>
      </c>
      <c r="G129" s="37">
        <f>-1*D_Assumptions!$E47*D_Assumptions!$I47*D_Assumptions!G60</f>
        <v>0</v>
      </c>
      <c r="H129" s="37">
        <f>-1*D_Assumptions!$E47*D_Assumptions!$I47*D_Assumptions!H60</f>
        <v>0</v>
      </c>
      <c r="I129" s="37">
        <f>-1*D_Assumptions!$E47*D_Assumptions!$I47*D_Assumptions!I60</f>
        <v>0</v>
      </c>
      <c r="J129" s="37">
        <f>-1*D_Assumptions!$E47*D_Assumptions!$I47*D_Assumptions!J60</f>
        <v>0</v>
      </c>
      <c r="K129" s="37">
        <f>-1*D_Assumptions!$E47*D_Assumptions!$I47*D_Assumptions!K60</f>
        <v>-526267.30000000005</v>
      </c>
      <c r="L129" s="37">
        <f>-1*D_Assumptions!$E47*D_Assumptions!$I47*D_Assumptions!L60</f>
        <v>-1052534.6000000001</v>
      </c>
      <c r="M129" s="37">
        <f>-1*D_Assumptions!$E47*D_Assumptions!$I47*D_Assumptions!M60</f>
        <v>-1315668.25</v>
      </c>
      <c r="N129" s="37">
        <f>-1*D_Assumptions!$E47*D_Assumptions!$I47*D_Assumptions!N60</f>
        <v>-1315668.25</v>
      </c>
      <c r="O129" s="37">
        <f>-1*D_Assumptions!$E47*D_Assumptions!$I47*D_Assumptions!O60</f>
        <v>-1052534.6000000001</v>
      </c>
      <c r="P129" s="37">
        <f>-1*D_Assumptions!$E47*D_Assumptions!$I47*D_Assumptions!P60</f>
        <v>0</v>
      </c>
      <c r="R129" s="1" t="b">
        <f>ABS(SUM(E129:P129)+D_Assumptions!Q60*D_Assumptions!E47*D_Assumptions!I47)&lt;D_Assumptions!$D$89</f>
        <v>1</v>
      </c>
    </row>
    <row r="130" spans="2:18" x14ac:dyDescent="0.35">
      <c r="B130" t="s">
        <v>55</v>
      </c>
      <c r="C130" t="s">
        <v>13</v>
      </c>
      <c r="E130" s="37">
        <f>-1*D_Assumptions!$E48*D_Assumptions!$I48*D_Assumptions!E61</f>
        <v>0</v>
      </c>
      <c r="F130" s="37">
        <f>-1*D_Assumptions!$E48*D_Assumptions!$I48*D_Assumptions!F61</f>
        <v>0</v>
      </c>
      <c r="G130" s="37">
        <f>-1*D_Assumptions!$E48*D_Assumptions!$I48*D_Assumptions!G61</f>
        <v>0</v>
      </c>
      <c r="H130" s="37">
        <f>-1*D_Assumptions!$E48*D_Assumptions!$I48*D_Assumptions!H61</f>
        <v>-276068.90000000002</v>
      </c>
      <c r="I130" s="37">
        <f>-1*D_Assumptions!$E48*D_Assumptions!$I48*D_Assumptions!I61</f>
        <v>-552137.80000000005</v>
      </c>
      <c r="J130" s="37">
        <f>-1*D_Assumptions!$E48*D_Assumptions!$I48*D_Assumptions!J61</f>
        <v>-828206.7</v>
      </c>
      <c r="K130" s="37">
        <f>-1*D_Assumptions!$E48*D_Assumptions!$I48*D_Assumptions!K61</f>
        <v>-1104275.6000000001</v>
      </c>
      <c r="L130" s="37">
        <f>-1*D_Assumptions!$E48*D_Assumptions!$I48*D_Assumptions!L61</f>
        <v>-1104275.6000000001</v>
      </c>
      <c r="M130" s="37">
        <f>-1*D_Assumptions!$E48*D_Assumptions!$I48*D_Assumptions!M61</f>
        <v>-1104275.6000000001</v>
      </c>
      <c r="N130" s="37">
        <f>-1*D_Assumptions!$E48*D_Assumptions!$I48*D_Assumptions!N61</f>
        <v>-552137.80000000005</v>
      </c>
      <c r="O130" s="37">
        <f>-1*D_Assumptions!$E48*D_Assumptions!$I48*D_Assumptions!O61</f>
        <v>0</v>
      </c>
      <c r="P130" s="37">
        <f>-1*D_Assumptions!$E48*D_Assumptions!$I48*D_Assumptions!P61</f>
        <v>0</v>
      </c>
      <c r="R130" s="1" t="b">
        <f>ABS(SUM(E130:P130)+D_Assumptions!Q61*D_Assumptions!E48*D_Assumptions!I48)&lt;D_Assumptions!$D$89</f>
        <v>1</v>
      </c>
    </row>
    <row r="131" spans="2:18" x14ac:dyDescent="0.35">
      <c r="B131" t="s">
        <v>56</v>
      </c>
      <c r="C131" t="s">
        <v>13</v>
      </c>
      <c r="E131" s="37">
        <f>-1*D_Assumptions!$E49*D_Assumptions!$I49*D_Assumptions!E62</f>
        <v>0</v>
      </c>
      <c r="F131" s="37">
        <f>-1*D_Assumptions!$E49*D_Assumptions!$I49*D_Assumptions!F62</f>
        <v>0</v>
      </c>
      <c r="G131" s="37">
        <f>-1*D_Assumptions!$E49*D_Assumptions!$I49*D_Assumptions!G62</f>
        <v>0</v>
      </c>
      <c r="H131" s="37">
        <f>-1*D_Assumptions!$E49*D_Assumptions!$I49*D_Assumptions!H62</f>
        <v>0</v>
      </c>
      <c r="I131" s="37">
        <f>-1*D_Assumptions!$E49*D_Assumptions!$I49*D_Assumptions!I62</f>
        <v>-395305.85000000003</v>
      </c>
      <c r="J131" s="37">
        <f>-1*D_Assumptions!$E49*D_Assumptions!$I49*D_Assumptions!J62</f>
        <v>-790611.70000000007</v>
      </c>
      <c r="K131" s="37">
        <f>-1*D_Assumptions!$E49*D_Assumptions!$I49*D_Assumptions!K62</f>
        <v>-1185917.55</v>
      </c>
      <c r="L131" s="37">
        <f>-1*D_Assumptions!$E49*D_Assumptions!$I49*D_Assumptions!L62</f>
        <v>-1581223.4000000001</v>
      </c>
      <c r="M131" s="37">
        <f>-1*D_Assumptions!$E49*D_Assumptions!$I49*D_Assumptions!M62</f>
        <v>-1581223.4000000001</v>
      </c>
      <c r="N131" s="37">
        <f>-1*D_Assumptions!$E49*D_Assumptions!$I49*D_Assumptions!N62</f>
        <v>-1581223.4000000001</v>
      </c>
      <c r="O131" s="37">
        <f>-1*D_Assumptions!$E49*D_Assumptions!$I49*D_Assumptions!O62</f>
        <v>-790611.70000000007</v>
      </c>
      <c r="P131" s="37">
        <f>-1*D_Assumptions!$E49*D_Assumptions!$I49*D_Assumptions!P62</f>
        <v>0</v>
      </c>
      <c r="R131" s="1" t="b">
        <f>ABS(SUM(E131:P131)+D_Assumptions!Q62*D_Assumptions!E49*D_Assumptions!I49)&lt;D_Assumptions!$D$89</f>
        <v>1</v>
      </c>
    </row>
    <row r="132" spans="2:18" x14ac:dyDescent="0.35">
      <c r="B132" s="5" t="s">
        <v>57</v>
      </c>
      <c r="C132" s="5" t="s">
        <v>13</v>
      </c>
      <c r="D132" s="5"/>
      <c r="E132" s="38">
        <f>-1*D_Assumptions!$E50*D_Assumptions!$I50*D_Assumptions!E63</f>
        <v>0</v>
      </c>
      <c r="F132" s="38">
        <f>-1*D_Assumptions!$E50*D_Assumptions!$I50*D_Assumptions!F63</f>
        <v>-306832.10000000003</v>
      </c>
      <c r="G132" s="38">
        <f>-1*D_Assumptions!$E50*D_Assumptions!$I50*D_Assumptions!G63</f>
        <v>-613664.20000000007</v>
      </c>
      <c r="H132" s="38">
        <f>-1*D_Assumptions!$E50*D_Assumptions!$I50*D_Assumptions!H63</f>
        <v>-767080.25</v>
      </c>
      <c r="I132" s="38">
        <f>-1*D_Assumptions!$E50*D_Assumptions!$I50*D_Assumptions!I63</f>
        <v>-767080.25</v>
      </c>
      <c r="J132" s="38">
        <f>-1*D_Assumptions!$E50*D_Assumptions!$I50*D_Assumptions!J63</f>
        <v>-613664.20000000007</v>
      </c>
      <c r="K132" s="38">
        <f>-1*D_Assumptions!$E50*D_Assumptions!$I50*D_Assumptions!K63</f>
        <v>0</v>
      </c>
      <c r="L132" s="38">
        <f>-1*D_Assumptions!$E50*D_Assumptions!$I50*D_Assumptions!L63</f>
        <v>0</v>
      </c>
      <c r="M132" s="38">
        <f>-1*D_Assumptions!$E50*D_Assumptions!$I50*D_Assumptions!M63</f>
        <v>0</v>
      </c>
      <c r="N132" s="38">
        <f>-1*D_Assumptions!$E50*D_Assumptions!$I50*D_Assumptions!N63</f>
        <v>0</v>
      </c>
      <c r="O132" s="38">
        <f>-1*D_Assumptions!$E50*D_Assumptions!$I50*D_Assumptions!O63</f>
        <v>0</v>
      </c>
      <c r="P132" s="38">
        <f>-1*D_Assumptions!$E50*D_Assumptions!$I50*D_Assumptions!P63</f>
        <v>0</v>
      </c>
      <c r="R132" s="1" t="b">
        <f>ABS(SUM(E132:P132)+D_Assumptions!Q63*D_Assumptions!E50*D_Assumptions!I50)&lt;D_Assumptions!$D$89</f>
        <v>1</v>
      </c>
    </row>
    <row r="133" spans="2:18" x14ac:dyDescent="0.35">
      <c r="B133" s="24" t="s">
        <v>93</v>
      </c>
      <c r="C133" s="1"/>
      <c r="D133" s="1"/>
      <c r="E133" s="39">
        <f>SUM(E123:E132)</f>
        <v>0</v>
      </c>
      <c r="F133" s="39">
        <f t="shared" ref="F133" si="90">SUM(F123:F132)</f>
        <v>-1708947.4500000002</v>
      </c>
      <c r="G133" s="39">
        <f t="shared" ref="G133" si="91">SUM(G123:G132)</f>
        <v>-3627672.0500000003</v>
      </c>
      <c r="H133" s="39">
        <f t="shared" ref="H133" si="92">SUM(H123:H132)</f>
        <v>-5818890.5</v>
      </c>
      <c r="I133" s="39">
        <f t="shared" ref="I133" si="93">SUM(I123:I132)</f>
        <v>-9440284.75</v>
      </c>
      <c r="J133" s="39">
        <f t="shared" ref="J133" si="94">SUM(J123:J132)</f>
        <v>-11506147.599999998</v>
      </c>
      <c r="K133" s="39">
        <f t="shared" ref="K133" si="95">SUM(K123:K132)</f>
        <v>-13385341.350000001</v>
      </c>
      <c r="L133" s="39">
        <f t="shared" ref="L133" si="96">SUM(L123:L132)</f>
        <v>-14369338.85</v>
      </c>
      <c r="M133" s="39">
        <f t="shared" ref="M133" si="97">SUM(M123:M132)</f>
        <v>-12726005.400000002</v>
      </c>
      <c r="N133" s="39">
        <f t="shared" ref="N133" si="98">SUM(N123:N132)</f>
        <v>-7820817.6500000004</v>
      </c>
      <c r="O133" s="39">
        <f t="shared" ref="O133" si="99">SUM(O123:O132)</f>
        <v>-3751389.4000000004</v>
      </c>
      <c r="P133" s="39">
        <f t="shared" ref="P133" si="100">SUM(P123:P132)</f>
        <v>0</v>
      </c>
    </row>
    <row r="135" spans="2:18" x14ac:dyDescent="0.35">
      <c r="B135" s="40" t="s">
        <v>130</v>
      </c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5"/>
    </row>
    <row r="137" spans="2:18" x14ac:dyDescent="0.35">
      <c r="B137" s="1" t="s">
        <v>131</v>
      </c>
      <c r="C137" s="19">
        <f>SUM(E19:P19)</f>
        <v>197044888.00000003</v>
      </c>
    </row>
    <row r="138" spans="2:18" x14ac:dyDescent="0.35">
      <c r="B138" t="s">
        <v>132</v>
      </c>
      <c r="C138" s="4">
        <f>VLOOKUP(C137,D_Assumptions!$C$28:$D$31,2,TRUE)</f>
        <v>20000000</v>
      </c>
    </row>
    <row r="139" spans="2:18" x14ac:dyDescent="0.35">
      <c r="C139" s="4"/>
    </row>
    <row r="140" spans="2:18" x14ac:dyDescent="0.35">
      <c r="B140" t="s">
        <v>133</v>
      </c>
      <c r="C140" s="4"/>
      <c r="E140">
        <f>(E3&lt;=D_Assumptions!$D25)*(E4&gt;=D_Assumptions!$D25)</f>
        <v>0</v>
      </c>
      <c r="F140">
        <f>(F3&lt;=D_Assumptions!$D25)*(F4&gt;=D_Assumptions!$D25)</f>
        <v>1</v>
      </c>
      <c r="G140">
        <f>(G3&lt;=D_Assumptions!$D25)*(G4&gt;=D_Assumptions!$D25)</f>
        <v>0</v>
      </c>
      <c r="H140">
        <f>(H3&lt;=D_Assumptions!$D25)*(H4&gt;=D_Assumptions!$D25)</f>
        <v>0</v>
      </c>
      <c r="I140">
        <f>(I3&lt;=D_Assumptions!$D25)*(I4&gt;=D_Assumptions!$D25)</f>
        <v>0</v>
      </c>
      <c r="J140">
        <f>(J3&lt;=D_Assumptions!$D25)*(J4&gt;=D_Assumptions!$D25)</f>
        <v>0</v>
      </c>
      <c r="K140">
        <f>(K3&lt;=D_Assumptions!$D25)*(K4&gt;=D_Assumptions!$D25)</f>
        <v>0</v>
      </c>
      <c r="L140">
        <f>(L3&lt;=D_Assumptions!$D25)*(L4&gt;=D_Assumptions!$D25)</f>
        <v>0</v>
      </c>
      <c r="M140">
        <f>(M3&lt;=D_Assumptions!$D25)*(M4&gt;=D_Assumptions!$D25)</f>
        <v>0</v>
      </c>
      <c r="N140">
        <f>(N3&lt;=D_Assumptions!$D25)*(N4&gt;=D_Assumptions!$D25)</f>
        <v>0</v>
      </c>
      <c r="O140">
        <f>(O3&lt;=D_Assumptions!$D25)*(O4&gt;=D_Assumptions!$D25)</f>
        <v>0</v>
      </c>
      <c r="P140">
        <f>(P3&lt;=D_Assumptions!$D25)*(P4&gt;=D_Assumptions!$D25)</f>
        <v>0</v>
      </c>
    </row>
    <row r="142" spans="2:18" x14ac:dyDescent="0.35">
      <c r="B142" s="40" t="s">
        <v>129</v>
      </c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5"/>
    </row>
    <row r="144" spans="2:18" x14ac:dyDescent="0.35">
      <c r="B144" t="s">
        <v>135</v>
      </c>
      <c r="C144" t="s">
        <v>13</v>
      </c>
      <c r="E144" s="4">
        <f>D_Assumptions!$D66/(D_Assumptions!$D34*D_Assumptions!$D$101)</f>
        <v>100000</v>
      </c>
      <c r="F144" s="4">
        <f>D_Assumptions!$D66/(D_Assumptions!$D34*D_Assumptions!$D$101)</f>
        <v>100000</v>
      </c>
      <c r="G144" s="4">
        <f>D_Assumptions!$D66/(D_Assumptions!$D34*D_Assumptions!$D$101)</f>
        <v>100000</v>
      </c>
      <c r="H144" s="4">
        <f>D_Assumptions!$D66/(D_Assumptions!$D34*D_Assumptions!$D$101)</f>
        <v>100000</v>
      </c>
      <c r="I144" s="4">
        <f>D_Assumptions!$D66/(D_Assumptions!$D34*D_Assumptions!$D$101)</f>
        <v>100000</v>
      </c>
      <c r="J144" s="4">
        <f>D_Assumptions!$D66/(D_Assumptions!$D34*D_Assumptions!$D$101)</f>
        <v>100000</v>
      </c>
      <c r="K144" s="4">
        <f>D_Assumptions!$D66/(D_Assumptions!$D34*D_Assumptions!$D$101)</f>
        <v>100000</v>
      </c>
      <c r="L144" s="4">
        <f>D_Assumptions!$D66/(D_Assumptions!$D34*D_Assumptions!$D$101)</f>
        <v>100000</v>
      </c>
      <c r="M144" s="4">
        <f>D_Assumptions!$D66/(D_Assumptions!$D34*D_Assumptions!$D$101)</f>
        <v>100000</v>
      </c>
      <c r="N144" s="4">
        <f>D_Assumptions!$D66/(D_Assumptions!$D34*D_Assumptions!$D$101)</f>
        <v>100000</v>
      </c>
      <c r="O144" s="4">
        <f>D_Assumptions!$D66/(D_Assumptions!$D34*D_Assumptions!$D$101)</f>
        <v>100000</v>
      </c>
      <c r="P144" s="4">
        <f>D_Assumptions!$D66/(D_Assumptions!$D34*D_Assumptions!$D$101)</f>
        <v>100000</v>
      </c>
    </row>
    <row r="145" spans="2:16" x14ac:dyDescent="0.35">
      <c r="B145" s="5" t="s">
        <v>134</v>
      </c>
      <c r="C145" s="5" t="s">
        <v>13</v>
      </c>
      <c r="D145" s="5"/>
      <c r="E145" s="36">
        <f>$C138*SUM($D140:D140)/(D_Assumptions!$D$101*D_Assumptions!$D$35)</f>
        <v>0</v>
      </c>
      <c r="F145" s="36">
        <f>$C138*SUM($D140:E140)/(D_Assumptions!$D$101*D_Assumptions!$D$35)</f>
        <v>0</v>
      </c>
      <c r="G145" s="36">
        <f>$C138*SUM($D140:F140)/(D_Assumptions!$D$101*D_Assumptions!$D$35)</f>
        <v>333333.33333333331</v>
      </c>
      <c r="H145" s="36">
        <f>$C138*SUM($D140:G140)/(D_Assumptions!$D$101*D_Assumptions!$D$35)</f>
        <v>333333.33333333331</v>
      </c>
      <c r="I145" s="36">
        <f>$C138*SUM($D140:H140)/(D_Assumptions!$D$101*D_Assumptions!$D$35)</f>
        <v>333333.33333333331</v>
      </c>
      <c r="J145" s="36">
        <f>$C138*SUM($D140:I140)/(D_Assumptions!$D$101*D_Assumptions!$D$35)</f>
        <v>333333.33333333331</v>
      </c>
      <c r="K145" s="36">
        <f>$C138*SUM($D140:J140)/(D_Assumptions!$D$101*D_Assumptions!$D$35)</f>
        <v>333333.33333333331</v>
      </c>
      <c r="L145" s="36">
        <f>$C138*SUM($D140:K140)/(D_Assumptions!$D$101*D_Assumptions!$D$35)</f>
        <v>333333.33333333331</v>
      </c>
      <c r="M145" s="36">
        <f>$C138*SUM($D140:L140)/(D_Assumptions!$D$101*D_Assumptions!$D$35)</f>
        <v>333333.33333333331</v>
      </c>
      <c r="N145" s="36">
        <f>$C138*SUM($D140:M140)/(D_Assumptions!$D$101*D_Assumptions!$D$35)</f>
        <v>333333.33333333331</v>
      </c>
      <c r="O145" s="36">
        <f>$C138*SUM($D140:N140)/(D_Assumptions!$D$101*D_Assumptions!$D$35)</f>
        <v>333333.33333333331</v>
      </c>
      <c r="P145" s="36">
        <f>$C138*SUM($D140:O140)/(D_Assumptions!$D$101*D_Assumptions!$D$35)</f>
        <v>333333.33333333331</v>
      </c>
    </row>
    <row r="146" spans="2:16" x14ac:dyDescent="0.35">
      <c r="B146" s="1" t="s">
        <v>138</v>
      </c>
      <c r="C146" s="1" t="s">
        <v>13</v>
      </c>
      <c r="D146" s="1"/>
      <c r="E146" s="19">
        <f>SUM(E144:E145)</f>
        <v>100000</v>
      </c>
      <c r="F146" s="19">
        <f t="shared" ref="F146:P146" si="101">SUM(F144:F145)</f>
        <v>100000</v>
      </c>
      <c r="G146" s="19">
        <f t="shared" si="101"/>
        <v>433333.33333333331</v>
      </c>
      <c r="H146" s="19">
        <f t="shared" si="101"/>
        <v>433333.33333333331</v>
      </c>
      <c r="I146" s="19">
        <f t="shared" si="101"/>
        <v>433333.33333333331</v>
      </c>
      <c r="J146" s="19">
        <f t="shared" si="101"/>
        <v>433333.33333333331</v>
      </c>
      <c r="K146" s="19">
        <f t="shared" si="101"/>
        <v>433333.33333333331</v>
      </c>
      <c r="L146" s="19">
        <f t="shared" si="101"/>
        <v>433333.33333333331</v>
      </c>
      <c r="M146" s="19">
        <f t="shared" si="101"/>
        <v>433333.33333333331</v>
      </c>
      <c r="N146" s="19">
        <f t="shared" si="101"/>
        <v>433333.33333333331</v>
      </c>
      <c r="O146" s="19">
        <f t="shared" si="101"/>
        <v>433333.33333333331</v>
      </c>
      <c r="P146" s="19">
        <f t="shared" si="101"/>
        <v>433333.33333333331</v>
      </c>
    </row>
    <row r="148" spans="2:16" x14ac:dyDescent="0.35">
      <c r="B148" s="40" t="s">
        <v>152</v>
      </c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5"/>
    </row>
    <row r="150" spans="2:16" x14ac:dyDescent="0.35">
      <c r="B150" t="s">
        <v>153</v>
      </c>
      <c r="C150" s="4">
        <f>C138*D_Assumptions!D96</f>
        <v>16000000</v>
      </c>
    </row>
    <row r="152" spans="2:16" x14ac:dyDescent="0.35">
      <c r="B152" t="s">
        <v>151</v>
      </c>
      <c r="C152" t="s">
        <v>13</v>
      </c>
      <c r="E152" s="4">
        <f>SUM($D140:D140)*$C150/D_Assumptions!$D98</f>
        <v>0</v>
      </c>
      <c r="F152" s="4">
        <f>SUM($D140:E140)*$C150/D_Assumptions!$D98</f>
        <v>0</v>
      </c>
      <c r="G152" s="4">
        <f>SUM($D140:F140)*$C150/D_Assumptions!$D98</f>
        <v>266666.66666666669</v>
      </c>
      <c r="H152" s="4">
        <f>SUM($D140:G140)*$C150/D_Assumptions!$D98</f>
        <v>266666.66666666669</v>
      </c>
      <c r="I152" s="4">
        <f>SUM($D140:H140)*$C150/D_Assumptions!$D98</f>
        <v>266666.66666666669</v>
      </c>
      <c r="J152" s="4">
        <f>SUM($D140:I140)*$C150/D_Assumptions!$D98</f>
        <v>266666.66666666669</v>
      </c>
      <c r="K152" s="4">
        <f>SUM($D140:J140)*$C150/D_Assumptions!$D98</f>
        <v>266666.66666666669</v>
      </c>
      <c r="L152" s="4">
        <f>SUM($D140:K140)*$C150/D_Assumptions!$D98</f>
        <v>266666.66666666669</v>
      </c>
      <c r="M152" s="4">
        <f>SUM($D140:L140)*$C150/D_Assumptions!$D98</f>
        <v>266666.66666666669</v>
      </c>
      <c r="N152" s="4">
        <f>SUM($D140:M140)*$C150/D_Assumptions!$D98</f>
        <v>266666.66666666669</v>
      </c>
      <c r="O152" s="4">
        <f>SUM($D140:N140)*$C150/D_Assumptions!$D98</f>
        <v>266666.66666666669</v>
      </c>
      <c r="P152" s="4">
        <f>SUM($D140:O140)*$C150/D_Assumptions!$D98</f>
        <v>266666.66666666669</v>
      </c>
    </row>
    <row r="154" spans="2:16" x14ac:dyDescent="0.35">
      <c r="B154" t="s">
        <v>97</v>
      </c>
      <c r="C154" t="s">
        <v>13</v>
      </c>
      <c r="E154" s="4">
        <f>($C150-SUM($D152:E152))*D_Assumptions!$D$97/D_Assumptions!$D$102*(_xlfn.DAYS(E4,E3)+1)*SUM($D140:D140)</f>
        <v>0</v>
      </c>
      <c r="F154" s="4">
        <f>($C150-SUM($D152:E152))*D_Assumptions!$D$97/D_Assumptions!$D$102*(_xlfn.DAYS(F4,F3)+1)*SUM($D140:E140)</f>
        <v>0</v>
      </c>
      <c r="G154" s="4">
        <f>($C150-SUM($D152:F152))*D_Assumptions!$D$97/D_Assumptions!$D$102*(_xlfn.DAYS(G4,G3)+1)*SUM($D140:F140)</f>
        <v>33972.602739726026</v>
      </c>
      <c r="H154" s="4">
        <f>($C150-SUM($D152:G152))*D_Assumptions!$D$97/D_Assumptions!$D$102*(_xlfn.DAYS(H4,H3)+1)*SUM($D140:G140)</f>
        <v>32328.767123287678</v>
      </c>
      <c r="I154" s="4">
        <f>($C150-SUM($D152:H152))*D_Assumptions!$D$97/D_Assumptions!$D$102*(_xlfn.DAYS(I4,I3)+1)*SUM($D140:H140)</f>
        <v>32840.182648401824</v>
      </c>
      <c r="J154" s="4">
        <f>($C150-SUM($D152:I152))*D_Assumptions!$D$97/D_Assumptions!$D$102*(_xlfn.DAYS(J4,J3)+1)*SUM($D140:I140)</f>
        <v>31232.876712328765</v>
      </c>
      <c r="K154" s="4">
        <f>($C150-SUM($D152:J152))*D_Assumptions!$D$97/D_Assumptions!$D$102*(_xlfn.DAYS(K4,K3)+1)*SUM($D140:J140)</f>
        <v>31707.762557077629</v>
      </c>
      <c r="L154" s="4">
        <f>($C150-SUM($D152:K152))*D_Assumptions!$D$97/D_Assumptions!$D$102*(_xlfn.DAYS(L4,L3)+1)*SUM($D140:K140)</f>
        <v>31141.552511415528</v>
      </c>
      <c r="M154" s="4">
        <f>($C150-SUM($D152:L152))*D_Assumptions!$D$97/D_Assumptions!$D$102*(_xlfn.DAYS(M4,M3)+1)*SUM($D140:L140)</f>
        <v>29589.041095890414</v>
      </c>
      <c r="N154" s="4">
        <f>($C150-SUM($D152:M152))*D_Assumptions!$D$97/D_Assumptions!$D$102*(_xlfn.DAYS(N4,N3)+1)*SUM($D140:M140)</f>
        <v>30009.132420091322</v>
      </c>
      <c r="O154" s="4">
        <f>($C150-SUM($D152:N152))*D_Assumptions!$D$97/D_Assumptions!$D$102*(_xlfn.DAYS(O4,O3)+1)*SUM($D140:N140)</f>
        <v>28493.150684931508</v>
      </c>
      <c r="P154" s="4">
        <f>($C150-SUM($D152:O152))*D_Assumptions!$D$97/D_Assumptions!$D$102*(_xlfn.DAYS(P4,P3)+1)*SUM($D140:O140)</f>
        <v>28876.712328767124</v>
      </c>
    </row>
    <row r="156" spans="2:16" x14ac:dyDescent="0.35">
      <c r="B156" s="40" t="s">
        <v>154</v>
      </c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5"/>
    </row>
    <row r="158" spans="2:16" x14ac:dyDescent="0.35">
      <c r="B158" t="s">
        <v>97</v>
      </c>
      <c r="C158" t="s">
        <v>13</v>
      </c>
      <c r="E158" s="4">
        <f>E215*D_Assumptions!$D$93*(_xlfn.DAYS(E4,E3)+1)/D_Assumptions!$D$102</f>
        <v>6369.8630136986303</v>
      </c>
      <c r="F158" s="4">
        <f ca="1">F215*D_Assumptions!$D$93*(_xlfn.DAYS(F4,F3)+1)/D_Assumptions!$D$102</f>
        <v>0</v>
      </c>
      <c r="G158" s="4">
        <f ca="1">G215*D_Assumptions!$D$93*(_xlfn.DAYS(G4,G3)+1)/D_Assumptions!$D$102</f>
        <v>2209.7736701444933</v>
      </c>
      <c r="H158" s="4">
        <f ca="1">H215*D_Assumptions!$D$93*(_xlfn.DAYS(H4,H3)+1)/D_Assumptions!$D$102</f>
        <v>5131.0861300855167</v>
      </c>
      <c r="I158" s="4">
        <f ca="1">I215*D_Assumptions!$D$93*(_xlfn.DAYS(I4,I3)+1)/D_Assumptions!$D$102</f>
        <v>8443.0465417248179</v>
      </c>
      <c r="J158" s="4">
        <f ca="1">J215*D_Assumptions!$D$93*(_xlfn.DAYS(J4,J3)+1)/D_Assumptions!$D$102</f>
        <v>28454.352484603747</v>
      </c>
      <c r="K158" s="4">
        <f ca="1">K215*D_Assumptions!$D$93*(_xlfn.DAYS(K4,K3)+1)/D_Assumptions!$D$102</f>
        <v>31849.31506849315</v>
      </c>
      <c r="L158" s="4">
        <f ca="1">L215*D_Assumptions!$D$93*(_xlfn.DAYS(L4,L3)+1)/D_Assumptions!$D$102</f>
        <v>31849.31506849315</v>
      </c>
      <c r="M158" s="4">
        <f ca="1">M215*D_Assumptions!$D$93*(_xlfn.DAYS(M4,M3)+1)/D_Assumptions!$D$102</f>
        <v>30821.917808219179</v>
      </c>
      <c r="N158" s="4">
        <f ca="1">N215*D_Assumptions!$D$93*(_xlfn.DAYS(N4,N3)+1)/D_Assumptions!$D$102</f>
        <v>31849.31506849315</v>
      </c>
      <c r="O158" s="4">
        <f ca="1">O215*D_Assumptions!$D$93*(_xlfn.DAYS(O4,O3)+1)/D_Assumptions!$D$102</f>
        <v>28025.10568108482</v>
      </c>
      <c r="P158" s="4">
        <f ca="1">P215*D_Assumptions!$D$93*(_xlfn.DAYS(P4,P3)+1)/D_Assumptions!$D$102</f>
        <v>12039.542223277316</v>
      </c>
    </row>
    <row r="159" spans="2:16" x14ac:dyDescent="0.35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2:16" x14ac:dyDescent="0.35">
      <c r="B160" t="s">
        <v>216</v>
      </c>
      <c r="C160" t="s">
        <v>13</v>
      </c>
      <c r="E160" s="4">
        <f ca="1">IF(R_Financial_Statements!E45+R_Financial_Statements!E47+R_Financial_Statements!E49+E189&lt;0,-1*(R_Financial_Statements!E45+R_Financial_Statements!E47+R_Financial_Statements!E49+E189),0)</f>
        <v>0</v>
      </c>
      <c r="F160" s="4">
        <f ca="1">IF(R_Financial_Statements!F45+R_Financial_Statements!F47+R_Financial_Statements!F49+F189&lt;0,-1*(R_Financial_Statements!F45+R_Financial_Statements!F47+R_Financial_Statements!F49+F189),0)</f>
        <v>867276.76301369909</v>
      </c>
      <c r="G160" s="4">
        <f ca="1">IF(R_Financial_Statements!G45+R_Financial_Statements!G47+R_Financial_Statements!G49+G189&lt;0,-1*(R_Financial_Statements!G45+R_Financial_Statements!G47+R_Financial_Statements!G49+G189),0)</f>
        <v>1213663.7230765384</v>
      </c>
      <c r="H160" s="4">
        <f ca="1">IF(R_Financial_Statements!H45+R_Financial_Statements!H47+R_Financial_Statements!H49+H189&lt;0,-1*(R_Financial_Statements!H45+R_Financial_Statements!H47+R_Financial_Statements!H49+H189),0)</f>
        <v>1232728.3179200408</v>
      </c>
      <c r="I160" s="4">
        <f ca="1">IF(R_Financial_Statements!I45+R_Financial_Statements!I47+R_Financial_Statements!I49+I189&lt;0,-1*(R_Financial_Statements!I45+R_Financial_Statements!I47+R_Financial_Statements!I49+I189),0)</f>
        <v>8226151.9258567952</v>
      </c>
      <c r="J160" s="4">
        <f ca="1">IF(R_Financial_Statements!J45+R_Financial_Statements!J47+R_Financial_Statements!J49+J189&lt;0,-1*(R_Financial_Statements!J45+R_Financial_Statements!J47+R_Financial_Statements!J49+J189),0)</f>
        <v>1061829.6158635956</v>
      </c>
      <c r="K160" s="4">
        <f ca="1">IF(R_Financial_Statements!K45+R_Financial_Statements!K47+R_Financial_Statements!K49+K189&lt;0,-1*(R_Financial_Statements!K45+R_Financial_Statements!K47+R_Financial_Statements!K49+K189),0)</f>
        <v>5104967.9100229107</v>
      </c>
      <c r="L160" s="4">
        <f ca="1">IF(R_Financial_Statements!L45+R_Financial_Statements!L47+R_Financial_Statements!L49+L189&lt;0,-1*(R_Financial_Statements!L45+R_Financial_Statements!L47+R_Financial_Statements!L49+L189),0)</f>
        <v>8447619.094269488</v>
      </c>
      <c r="M160" s="4">
        <f ca="1">IF(R_Financial_Statements!M45+R_Financial_Statements!M47+R_Financial_Statements!M49+M189&lt;0,-1*(R_Financial_Statements!M45+R_Financial_Statements!M47+R_Financial_Statements!M49+M189),0)</f>
        <v>7019927.2898402624</v>
      </c>
      <c r="N160" s="4">
        <f ca="1">IF(R_Financial_Statements!N45+R_Financial_Statements!N47+R_Financial_Statements!N49+N189&lt;0,-1*(R_Financial_Statements!N45+R_Financial_Statements!N47+R_Financial_Statements!N49+N189),0)</f>
        <v>0</v>
      </c>
      <c r="O160" s="4">
        <f ca="1">IF(R_Financial_Statements!O45+R_Financial_Statements!O47+R_Financial_Statements!O49+O189&lt;0,-1*(R_Financial_Statements!O45+R_Financial_Statements!O47+R_Financial_Statements!O49+O189),0)</f>
        <v>0</v>
      </c>
      <c r="P160" s="4">
        <f ca="1">IF(R_Financial_Statements!P45+R_Financial_Statements!P47+R_Financial_Statements!P49+P189&lt;0,-1*(R_Financial_Statements!P45+R_Financial_Statements!P47+R_Financial_Statements!P49+P189),0)</f>
        <v>0</v>
      </c>
    </row>
    <row r="161" spans="2:18" x14ac:dyDescent="0.35">
      <c r="B161" t="s">
        <v>217</v>
      </c>
      <c r="C161" t="s">
        <v>13</v>
      </c>
      <c r="E161" s="4">
        <f ca="1">IF(E160+E215&lt;D_Assumptions!$D$92,E160,D_Assumptions!$D$92-E215)</f>
        <v>0</v>
      </c>
      <c r="F161" s="4">
        <f ca="1">IF(F160+F215&lt;D_Assumptions!$D$92,F160,D_Assumptions!$D$92-F215)</f>
        <v>867276.76301369909</v>
      </c>
      <c r="G161" s="4">
        <f ca="1">IF(G160+G215&lt;D_Assumptions!$D$92,G160,D_Assumptions!$D$92-G215)</f>
        <v>1213663.7230765384</v>
      </c>
      <c r="H161" s="4">
        <f ca="1">IF(H160+H215&lt;D_Assumptions!$D$92,H160,D_Assumptions!$D$92-H215)</f>
        <v>1232728.3179200408</v>
      </c>
      <c r="I161" s="4">
        <f ca="1">IF(I160+I215&lt;D_Assumptions!$D$92,I160,D_Assumptions!$D$92-I215)</f>
        <v>8226151.9258567952</v>
      </c>
      <c r="J161" s="4">
        <f ca="1">IF(J160+J215&lt;D_Assumptions!$D$92,J160,D_Assumptions!$D$92-J215)</f>
        <v>960179.27013292536</v>
      </c>
      <c r="K161" s="4">
        <f ca="1">IF(K160+K215&lt;D_Assumptions!$D$92,K160,D_Assumptions!$D$92-K215)</f>
        <v>0</v>
      </c>
      <c r="L161" s="4">
        <f ca="1">IF(L160+L215&lt;D_Assumptions!$D$92,L160,D_Assumptions!$D$92-L215)</f>
        <v>0</v>
      </c>
      <c r="M161" s="4">
        <f ca="1">IF(M160+M215&lt;D_Assumptions!$D$92,M160,D_Assumptions!$D$92-M215)</f>
        <v>0</v>
      </c>
      <c r="N161" s="4">
        <f ca="1">IF(N160+N215&lt;D_Assumptions!$D$92,N160,D_Assumptions!$D$92-N215)</f>
        <v>0</v>
      </c>
      <c r="O161" s="4">
        <f ca="1">IF(O160+O215&lt;D_Assumptions!$D$92,O160,D_Assumptions!$D$92-O215)</f>
        <v>0</v>
      </c>
      <c r="P161" s="4">
        <f ca="1">IF(P160+P215&lt;D_Assumptions!$D$92,P160,D_Assumptions!$D$92-P215)</f>
        <v>0</v>
      </c>
    </row>
    <row r="163" spans="2:18" x14ac:dyDescent="0.35">
      <c r="B163" s="40" t="s">
        <v>187</v>
      </c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5"/>
      <c r="R163" t="b">
        <f ca="1">AND(R166:R167,R181:R182,R186)</f>
        <v>1</v>
      </c>
    </row>
    <row r="165" spans="2:18" x14ac:dyDescent="0.35">
      <c r="B165" t="s">
        <v>161</v>
      </c>
      <c r="C165" t="s">
        <v>13</v>
      </c>
      <c r="E165" s="4">
        <f>D169</f>
        <v>3600000</v>
      </c>
      <c r="F165" s="4">
        <f t="shared" ref="F165:P165" si="102">E169</f>
        <v>3500000</v>
      </c>
      <c r="G165" s="4">
        <f t="shared" si="102"/>
        <v>23400000</v>
      </c>
      <c r="H165" s="4">
        <f t="shared" si="102"/>
        <v>22966666.666666668</v>
      </c>
      <c r="I165" s="4">
        <f t="shared" si="102"/>
        <v>22533333.333333336</v>
      </c>
      <c r="J165" s="4">
        <f t="shared" si="102"/>
        <v>22100000.000000004</v>
      </c>
      <c r="K165" s="4">
        <f t="shared" si="102"/>
        <v>21666666.666666672</v>
      </c>
      <c r="L165" s="4">
        <f t="shared" si="102"/>
        <v>21233333.33333334</v>
      </c>
      <c r="M165" s="4">
        <f t="shared" si="102"/>
        <v>20800000.000000007</v>
      </c>
      <c r="N165" s="4">
        <f t="shared" si="102"/>
        <v>20366666.666666675</v>
      </c>
      <c r="O165" s="4">
        <f t="shared" si="102"/>
        <v>19933333.333333343</v>
      </c>
      <c r="P165" s="4">
        <f t="shared" si="102"/>
        <v>19500000.000000011</v>
      </c>
    </row>
    <row r="166" spans="2:18" x14ac:dyDescent="0.35">
      <c r="B166" t="s">
        <v>34</v>
      </c>
      <c r="C166" t="s">
        <v>13</v>
      </c>
      <c r="E166" s="4">
        <f>R_Financial_Statements!E20</f>
        <v>-100000</v>
      </c>
      <c r="F166" s="4">
        <f>R_Financial_Statements!F20</f>
        <v>-100000</v>
      </c>
      <c r="G166" s="4">
        <f>R_Financial_Statements!G20</f>
        <v>-433333.33333333331</v>
      </c>
      <c r="H166" s="4">
        <f>R_Financial_Statements!H20</f>
        <v>-433333.33333333331</v>
      </c>
      <c r="I166" s="4">
        <f>R_Financial_Statements!I20</f>
        <v>-433333.33333333331</v>
      </c>
      <c r="J166" s="4">
        <f>R_Financial_Statements!J20</f>
        <v>-433333.33333333331</v>
      </c>
      <c r="K166" s="4">
        <f>R_Financial_Statements!K20</f>
        <v>-433333.33333333331</v>
      </c>
      <c r="L166" s="4">
        <f>R_Financial_Statements!L20</f>
        <v>-433333.33333333331</v>
      </c>
      <c r="M166" s="4">
        <f>R_Financial_Statements!M20</f>
        <v>-433333.33333333331</v>
      </c>
      <c r="N166" s="4">
        <f>R_Financial_Statements!N20</f>
        <v>-433333.33333333331</v>
      </c>
      <c r="O166" s="4">
        <f>R_Financial_Statements!O20</f>
        <v>-433333.33333333331</v>
      </c>
      <c r="P166" s="4">
        <f>R_Financial_Statements!P20</f>
        <v>-433333.33333333331</v>
      </c>
      <c r="R166" s="1" t="b">
        <f>ABS(SUM(E166:P166)+SUM(E146:P146))&lt;D_Assumptions!$D$89</f>
        <v>1</v>
      </c>
    </row>
    <row r="167" spans="2:18" x14ac:dyDescent="0.35">
      <c r="B167" t="s">
        <v>31</v>
      </c>
      <c r="C167" t="s">
        <v>13</v>
      </c>
      <c r="E167" s="4">
        <f>-1*R_Financial_Statements!E41</f>
        <v>0</v>
      </c>
      <c r="F167" s="4">
        <f>-1*R_Financial_Statements!F41</f>
        <v>20000000</v>
      </c>
      <c r="G167" s="4">
        <f>-1*R_Financial_Statements!G41</f>
        <v>0</v>
      </c>
      <c r="H167" s="4">
        <f>-1*R_Financial_Statements!H41</f>
        <v>0</v>
      </c>
      <c r="I167" s="4">
        <f>-1*R_Financial_Statements!I41</f>
        <v>0</v>
      </c>
      <c r="J167" s="4">
        <f>-1*R_Financial_Statements!J41</f>
        <v>0</v>
      </c>
      <c r="K167" s="4">
        <f>-1*R_Financial_Statements!K41</f>
        <v>0</v>
      </c>
      <c r="L167" s="4">
        <f>-1*R_Financial_Statements!L41</f>
        <v>0</v>
      </c>
      <c r="M167" s="4">
        <f>-1*R_Financial_Statements!M41</f>
        <v>0</v>
      </c>
      <c r="N167" s="4">
        <f>-1*R_Financial_Statements!N41</f>
        <v>0</v>
      </c>
      <c r="O167" s="4">
        <f>-1*R_Financial_Statements!O41</f>
        <v>0</v>
      </c>
      <c r="P167" s="4">
        <f>-1*R_Financial_Statements!P41</f>
        <v>0</v>
      </c>
      <c r="R167" s="1" t="b">
        <f>ABS(SUM(E167:P167)-C138)&lt;D_Assumptions!$D$89</f>
        <v>1</v>
      </c>
    </row>
    <row r="168" spans="2:18" ht="15" thickBot="1" x14ac:dyDescent="0.4">
      <c r="B168" t="s">
        <v>144</v>
      </c>
      <c r="C168" t="s">
        <v>13</v>
      </c>
      <c r="E168" s="4">
        <f>-1*R_Financial_Statements!E42</f>
        <v>0</v>
      </c>
      <c r="F168" s="4">
        <f>-1*R_Financial_Statements!F42</f>
        <v>0</v>
      </c>
      <c r="G168" s="4">
        <f>-1*R_Financial_Statements!G42</f>
        <v>0</v>
      </c>
      <c r="H168" s="4">
        <f>-1*R_Financial_Statements!H42</f>
        <v>0</v>
      </c>
      <c r="I168" s="4">
        <f>-1*R_Financial_Statements!I42</f>
        <v>0</v>
      </c>
      <c r="J168" s="4">
        <f>-1*R_Financial_Statements!J42</f>
        <v>0</v>
      </c>
      <c r="K168" s="4">
        <f>-1*R_Financial_Statements!K42</f>
        <v>0</v>
      </c>
      <c r="L168" s="4">
        <f>-1*R_Financial_Statements!L42</f>
        <v>0</v>
      </c>
      <c r="M168" s="4">
        <f>-1*R_Financial_Statements!M42</f>
        <v>0</v>
      </c>
      <c r="N168" s="4">
        <f>-1*R_Financial_Statements!N42</f>
        <v>0</v>
      </c>
      <c r="O168" s="4">
        <f>-1*R_Financial_Statements!O42</f>
        <v>0</v>
      </c>
      <c r="P168" s="4">
        <f>-1*R_Financial_Statements!P42</f>
        <v>0</v>
      </c>
    </row>
    <row r="169" spans="2:18" ht="15" thickTop="1" x14ac:dyDescent="0.35">
      <c r="B169" s="54" t="s">
        <v>162</v>
      </c>
      <c r="C169" s="54" t="s">
        <v>13</v>
      </c>
      <c r="D169" s="55">
        <f>D_Assumptions!D66</f>
        <v>3600000</v>
      </c>
      <c r="E169" s="55">
        <f>SUM(E165:E168)</f>
        <v>3500000</v>
      </c>
      <c r="F169" s="55">
        <f t="shared" ref="F169:P169" si="103">SUM(F165:F168)</f>
        <v>23400000</v>
      </c>
      <c r="G169" s="55">
        <f t="shared" si="103"/>
        <v>22966666.666666668</v>
      </c>
      <c r="H169" s="55">
        <f t="shared" si="103"/>
        <v>22533333.333333336</v>
      </c>
      <c r="I169" s="55">
        <f t="shared" si="103"/>
        <v>22100000.000000004</v>
      </c>
      <c r="J169" s="55">
        <f t="shared" si="103"/>
        <v>21666666.666666672</v>
      </c>
      <c r="K169" s="55">
        <f t="shared" si="103"/>
        <v>21233333.33333334</v>
      </c>
      <c r="L169" s="55">
        <f t="shared" si="103"/>
        <v>20800000.000000007</v>
      </c>
      <c r="M169" s="55">
        <f t="shared" si="103"/>
        <v>20366666.666666675</v>
      </c>
      <c r="N169" s="55">
        <f t="shared" si="103"/>
        <v>19933333.333333343</v>
      </c>
      <c r="O169" s="55">
        <f t="shared" si="103"/>
        <v>19500000.000000011</v>
      </c>
      <c r="P169" s="55">
        <f t="shared" si="103"/>
        <v>19066666.666666679</v>
      </c>
    </row>
    <row r="171" spans="2:18" x14ac:dyDescent="0.35">
      <c r="B171" t="s">
        <v>163</v>
      </c>
      <c r="C171" t="s">
        <v>13</v>
      </c>
      <c r="E171" s="4">
        <f>D173</f>
        <v>0</v>
      </c>
      <c r="F171" s="4">
        <f t="shared" ref="F171:P171" si="104">E173</f>
        <v>0</v>
      </c>
      <c r="G171" s="4">
        <f t="shared" si="104"/>
        <v>0</v>
      </c>
      <c r="H171" s="4">
        <f t="shared" si="104"/>
        <v>0</v>
      </c>
      <c r="I171" s="4">
        <f t="shared" si="104"/>
        <v>0</v>
      </c>
      <c r="J171" s="4">
        <f t="shared" si="104"/>
        <v>0</v>
      </c>
      <c r="K171" s="4">
        <f t="shared" si="104"/>
        <v>0</v>
      </c>
      <c r="L171" s="4">
        <f t="shared" si="104"/>
        <v>0</v>
      </c>
      <c r="M171" s="4">
        <f t="shared" si="104"/>
        <v>0</v>
      </c>
      <c r="N171" s="4">
        <f t="shared" si="104"/>
        <v>0</v>
      </c>
      <c r="O171" s="4">
        <f t="shared" si="104"/>
        <v>0</v>
      </c>
      <c r="P171" s="4">
        <f t="shared" si="104"/>
        <v>0</v>
      </c>
    </row>
    <row r="172" spans="2:18" ht="15" thickBot="1" x14ac:dyDescent="0.4">
      <c r="B172" t="s">
        <v>164</v>
      </c>
      <c r="C172" t="s">
        <v>13</v>
      </c>
    </row>
    <row r="173" spans="2:18" ht="15" thickTop="1" x14ac:dyDescent="0.35">
      <c r="B173" s="54" t="s">
        <v>165</v>
      </c>
      <c r="C173" s="54" t="s">
        <v>13</v>
      </c>
      <c r="D173" s="55">
        <f>D_Assumptions!D67</f>
        <v>0</v>
      </c>
      <c r="E173" s="55">
        <f>SUM(E171:E172)</f>
        <v>0</v>
      </c>
      <c r="F173" s="55">
        <f t="shared" ref="F173:P173" si="105">SUM(F171:F172)</f>
        <v>0</v>
      </c>
      <c r="G173" s="55">
        <f t="shared" si="105"/>
        <v>0</v>
      </c>
      <c r="H173" s="55">
        <f t="shared" si="105"/>
        <v>0</v>
      </c>
      <c r="I173" s="55">
        <f t="shared" si="105"/>
        <v>0</v>
      </c>
      <c r="J173" s="55">
        <f t="shared" si="105"/>
        <v>0</v>
      </c>
      <c r="K173" s="55">
        <f t="shared" si="105"/>
        <v>0</v>
      </c>
      <c r="L173" s="55">
        <f t="shared" si="105"/>
        <v>0</v>
      </c>
      <c r="M173" s="55">
        <f t="shared" si="105"/>
        <v>0</v>
      </c>
      <c r="N173" s="55">
        <f t="shared" si="105"/>
        <v>0</v>
      </c>
      <c r="O173" s="55">
        <f t="shared" si="105"/>
        <v>0</v>
      </c>
      <c r="P173" s="55">
        <f t="shared" si="105"/>
        <v>0</v>
      </c>
    </row>
    <row r="175" spans="2:18" x14ac:dyDescent="0.35">
      <c r="B175" t="s">
        <v>166</v>
      </c>
      <c r="C175" t="s">
        <v>13</v>
      </c>
      <c r="E175" s="4">
        <f>D178</f>
        <v>0</v>
      </c>
      <c r="F175" s="4">
        <f t="shared" ref="F175:P175" si="106">E178</f>
        <v>0</v>
      </c>
      <c r="G175" s="4">
        <f t="shared" si="106"/>
        <v>0</v>
      </c>
      <c r="H175" s="4">
        <f t="shared" si="106"/>
        <v>0</v>
      </c>
      <c r="I175" s="4">
        <f t="shared" si="106"/>
        <v>0</v>
      </c>
      <c r="J175" s="4">
        <f t="shared" si="106"/>
        <v>0</v>
      </c>
      <c r="K175" s="4">
        <f t="shared" si="106"/>
        <v>0</v>
      </c>
      <c r="L175" s="4">
        <f t="shared" si="106"/>
        <v>0</v>
      </c>
      <c r="M175" s="4">
        <f t="shared" si="106"/>
        <v>0</v>
      </c>
      <c r="N175" s="4">
        <f t="shared" si="106"/>
        <v>0</v>
      </c>
      <c r="O175" s="4">
        <f t="shared" si="106"/>
        <v>0</v>
      </c>
      <c r="P175" s="4">
        <f t="shared" si="106"/>
        <v>0</v>
      </c>
    </row>
    <row r="176" spans="2:18" x14ac:dyDescent="0.35">
      <c r="B176" t="s">
        <v>168</v>
      </c>
      <c r="C176" t="s">
        <v>13</v>
      </c>
      <c r="E176" s="4">
        <f>-1*E$119</f>
        <v>0</v>
      </c>
      <c r="F176" s="4">
        <f t="shared" ref="F176:P176" si="107">-1*F$119</f>
        <v>1661414.35</v>
      </c>
      <c r="G176" s="4">
        <f t="shared" si="107"/>
        <v>3516020.09</v>
      </c>
      <c r="H176" s="4">
        <f t="shared" si="107"/>
        <v>5827486.6500000004</v>
      </c>
      <c r="I176" s="4">
        <f t="shared" si="107"/>
        <v>9228317.8000000007</v>
      </c>
      <c r="J176" s="4">
        <f t="shared" si="107"/>
        <v>11164155.800000001</v>
      </c>
      <c r="K176" s="4">
        <f t="shared" si="107"/>
        <v>12687265.75</v>
      </c>
      <c r="L176" s="4">
        <f t="shared" si="107"/>
        <v>13329793.4</v>
      </c>
      <c r="M176" s="4">
        <f t="shared" si="107"/>
        <v>11776587.050000001</v>
      </c>
      <c r="N176" s="4">
        <f t="shared" si="107"/>
        <v>6865971.6100000013</v>
      </c>
      <c r="O176" s="4">
        <f t="shared" si="107"/>
        <v>2972323.5</v>
      </c>
      <c r="P176" s="4">
        <f t="shared" si="107"/>
        <v>0</v>
      </c>
    </row>
    <row r="177" spans="2:18" ht="15" thickBot="1" x14ac:dyDescent="0.4">
      <c r="B177" t="s">
        <v>169</v>
      </c>
      <c r="C177" t="s">
        <v>13</v>
      </c>
      <c r="E177" s="4">
        <f>E$119</f>
        <v>0</v>
      </c>
      <c r="F177" s="4">
        <f t="shared" ref="F177:P177" si="108">F$119</f>
        <v>-1661414.35</v>
      </c>
      <c r="G177" s="4">
        <f t="shared" si="108"/>
        <v>-3516020.09</v>
      </c>
      <c r="H177" s="4">
        <f t="shared" si="108"/>
        <v>-5827486.6500000004</v>
      </c>
      <c r="I177" s="4">
        <f t="shared" si="108"/>
        <v>-9228317.8000000007</v>
      </c>
      <c r="J177" s="4">
        <f t="shared" si="108"/>
        <v>-11164155.800000001</v>
      </c>
      <c r="K177" s="4">
        <f t="shared" si="108"/>
        <v>-12687265.75</v>
      </c>
      <c r="L177" s="4">
        <f t="shared" si="108"/>
        <v>-13329793.4</v>
      </c>
      <c r="M177" s="4">
        <f t="shared" si="108"/>
        <v>-11776587.050000001</v>
      </c>
      <c r="N177" s="4">
        <f t="shared" si="108"/>
        <v>-6865971.6100000013</v>
      </c>
      <c r="O177" s="4">
        <f t="shared" si="108"/>
        <v>-2972323.5</v>
      </c>
      <c r="P177" s="4">
        <f t="shared" si="108"/>
        <v>0</v>
      </c>
    </row>
    <row r="178" spans="2:18" ht="15" thickTop="1" x14ac:dyDescent="0.35">
      <c r="B178" s="54" t="s">
        <v>167</v>
      </c>
      <c r="C178" s="54" t="s">
        <v>181</v>
      </c>
      <c r="D178" s="55">
        <f>D_Assumptions!D68</f>
        <v>0</v>
      </c>
      <c r="E178" s="55">
        <f>SUM(E175:E177)</f>
        <v>0</v>
      </c>
      <c r="F178" s="55">
        <f t="shared" ref="F178:P178" si="109">SUM(F175:F177)</f>
        <v>0</v>
      </c>
      <c r="G178" s="55">
        <f t="shared" si="109"/>
        <v>0</v>
      </c>
      <c r="H178" s="55">
        <f t="shared" si="109"/>
        <v>0</v>
      </c>
      <c r="I178" s="55">
        <f t="shared" si="109"/>
        <v>0</v>
      </c>
      <c r="J178" s="55">
        <f t="shared" si="109"/>
        <v>0</v>
      </c>
      <c r="K178" s="55">
        <f t="shared" si="109"/>
        <v>0</v>
      </c>
      <c r="L178" s="55">
        <f t="shared" si="109"/>
        <v>0</v>
      </c>
      <c r="M178" s="55">
        <f t="shared" si="109"/>
        <v>0</v>
      </c>
      <c r="N178" s="55">
        <f t="shared" si="109"/>
        <v>0</v>
      </c>
      <c r="O178" s="55">
        <f t="shared" si="109"/>
        <v>0</v>
      </c>
      <c r="P178" s="55">
        <f t="shared" si="109"/>
        <v>0</v>
      </c>
    </row>
    <row r="180" spans="2:18" x14ac:dyDescent="0.35">
      <c r="B180" t="s">
        <v>170</v>
      </c>
      <c r="C180" t="s">
        <v>13</v>
      </c>
      <c r="E180" s="4">
        <f>D183</f>
        <v>0</v>
      </c>
      <c r="F180" s="4">
        <f t="shared" ref="F180:P180" ca="1" si="110">E183</f>
        <v>0</v>
      </c>
      <c r="G180" s="4">
        <f t="shared" ca="1" si="110"/>
        <v>3255769.56</v>
      </c>
      <c r="H180" s="4">
        <f t="shared" ca="1" si="110"/>
        <v>6900806.7520000003</v>
      </c>
      <c r="I180" s="4">
        <f t="shared" ca="1" si="110"/>
        <v>11250400.52</v>
      </c>
      <c r="J180" s="4">
        <f t="shared" ca="1" si="110"/>
        <v>18033870.280000001</v>
      </c>
      <c r="K180" s="4">
        <f t="shared" ca="1" si="110"/>
        <v>21899513.280000001</v>
      </c>
      <c r="L180" s="4">
        <f t="shared" ca="1" si="110"/>
        <v>25186138.600000001</v>
      </c>
      <c r="M180" s="4">
        <f t="shared" ca="1" si="110"/>
        <v>26757361.880000003</v>
      </c>
      <c r="N180" s="4">
        <f t="shared" ca="1" si="110"/>
        <v>23669504.360000003</v>
      </c>
      <c r="O180" s="4">
        <f t="shared" ca="1" si="110"/>
        <v>14187438.448000003</v>
      </c>
      <c r="P180" s="4">
        <f t="shared" ca="1" si="110"/>
        <v>6495106.7200000025</v>
      </c>
    </row>
    <row r="181" spans="2:18" x14ac:dyDescent="0.35">
      <c r="B181" t="s">
        <v>171</v>
      </c>
      <c r="C181" t="s">
        <v>13</v>
      </c>
      <c r="E181" s="37">
        <f t="shared" ref="E181:P181" si="111">E90</f>
        <v>0</v>
      </c>
      <c r="F181" s="37">
        <f t="shared" si="111"/>
        <v>3255769.56</v>
      </c>
      <c r="G181" s="37">
        <f t="shared" si="111"/>
        <v>6900806.7520000003</v>
      </c>
      <c r="H181" s="37">
        <f t="shared" si="111"/>
        <v>11250400.52</v>
      </c>
      <c r="I181" s="37">
        <f t="shared" si="111"/>
        <v>18033870.280000001</v>
      </c>
      <c r="J181" s="37">
        <f t="shared" si="111"/>
        <v>21899513.280000001</v>
      </c>
      <c r="K181" s="37">
        <f t="shared" si="111"/>
        <v>25186138.600000001</v>
      </c>
      <c r="L181" s="37">
        <f t="shared" si="111"/>
        <v>26757361.880000006</v>
      </c>
      <c r="M181" s="37">
        <f t="shared" si="111"/>
        <v>23669504.360000003</v>
      </c>
      <c r="N181" s="37">
        <f t="shared" si="111"/>
        <v>14187438.448000003</v>
      </c>
      <c r="O181" s="37">
        <f t="shared" si="111"/>
        <v>6495106.7200000007</v>
      </c>
      <c r="P181" s="37">
        <f t="shared" si="111"/>
        <v>0</v>
      </c>
      <c r="R181" s="1" t="b">
        <f>ABS(SUM(E181:P181)-SUM(E90:P90))&lt;D_Assumptions!$D$89</f>
        <v>1</v>
      </c>
    </row>
    <row r="182" spans="2:18" ht="15" thickBot="1" x14ac:dyDescent="0.4">
      <c r="B182" t="s">
        <v>172</v>
      </c>
      <c r="C182" t="s">
        <v>13</v>
      </c>
      <c r="E182" s="37">
        <f t="shared" ref="E182:P182" ca="1" si="112">-1*E103</f>
        <v>0</v>
      </c>
      <c r="F182" s="37">
        <f t="shared" ca="1" si="112"/>
        <v>0</v>
      </c>
      <c r="G182" s="37">
        <f t="shared" ca="1" si="112"/>
        <v>-3255769.56</v>
      </c>
      <c r="H182" s="37">
        <f t="shared" ca="1" si="112"/>
        <v>-6900806.7520000003</v>
      </c>
      <c r="I182" s="37">
        <f t="shared" ca="1" si="112"/>
        <v>-11250400.52</v>
      </c>
      <c r="J182" s="37">
        <f t="shared" ca="1" si="112"/>
        <v>-18033870.280000001</v>
      </c>
      <c r="K182" s="37">
        <f t="shared" ca="1" si="112"/>
        <v>-21899513.280000001</v>
      </c>
      <c r="L182" s="37">
        <f t="shared" ca="1" si="112"/>
        <v>-25186138.600000001</v>
      </c>
      <c r="M182" s="37">
        <f t="shared" ca="1" si="112"/>
        <v>-26757361.880000006</v>
      </c>
      <c r="N182" s="37">
        <f t="shared" ca="1" si="112"/>
        <v>-23669504.360000003</v>
      </c>
      <c r="O182" s="37">
        <f t="shared" ca="1" si="112"/>
        <v>-14187438.448000003</v>
      </c>
      <c r="P182" s="37">
        <f t="shared" ca="1" si="112"/>
        <v>-6495106.7200000007</v>
      </c>
      <c r="R182" s="1" t="b">
        <f ca="1">ABS(SUM(E182:P182)+SUM(E103:P103))&lt;D_Assumptions!$D$89</f>
        <v>1</v>
      </c>
    </row>
    <row r="183" spans="2:18" ht="15" thickTop="1" x14ac:dyDescent="0.35">
      <c r="B183" s="54" t="s">
        <v>173</v>
      </c>
      <c r="C183" s="54" t="s">
        <v>13</v>
      </c>
      <c r="D183" s="55">
        <f>D_Assumptions!D69</f>
        <v>0</v>
      </c>
      <c r="E183" s="55">
        <f ca="1">SUM(E180:E182)</f>
        <v>0</v>
      </c>
      <c r="F183" s="55">
        <f t="shared" ref="F183:P183" ca="1" si="113">SUM(F180:F182)</f>
        <v>3255769.56</v>
      </c>
      <c r="G183" s="55">
        <f t="shared" ca="1" si="113"/>
        <v>6900806.7520000003</v>
      </c>
      <c r="H183" s="55">
        <f t="shared" ca="1" si="113"/>
        <v>11250400.52</v>
      </c>
      <c r="I183" s="55">
        <f t="shared" ca="1" si="113"/>
        <v>18033870.280000001</v>
      </c>
      <c r="J183" s="55">
        <f t="shared" ca="1" si="113"/>
        <v>21899513.280000001</v>
      </c>
      <c r="K183" s="55">
        <f t="shared" ca="1" si="113"/>
        <v>25186138.600000001</v>
      </c>
      <c r="L183" s="55">
        <f t="shared" ca="1" si="113"/>
        <v>26757361.880000003</v>
      </c>
      <c r="M183" s="55">
        <f t="shared" ca="1" si="113"/>
        <v>23669504.360000003</v>
      </c>
      <c r="N183" s="55">
        <f t="shared" ca="1" si="113"/>
        <v>14187438.448000003</v>
      </c>
      <c r="O183" s="55">
        <f t="shared" ca="1" si="113"/>
        <v>6495106.7200000025</v>
      </c>
      <c r="P183" s="55">
        <f t="shared" ca="1" si="113"/>
        <v>0</v>
      </c>
    </row>
    <row r="185" spans="2:18" x14ac:dyDescent="0.35">
      <c r="B185" t="s">
        <v>174</v>
      </c>
      <c r="C185" t="s">
        <v>13</v>
      </c>
      <c r="E185" s="4">
        <f>D187</f>
        <v>5000000</v>
      </c>
      <c r="F185" s="4">
        <f t="shared" ref="F185:P185" si="114">E187</f>
        <v>5000000</v>
      </c>
      <c r="G185" s="4">
        <f t="shared" si="114"/>
        <v>5406971.1950000003</v>
      </c>
      <c r="H185" s="4">
        <f t="shared" si="114"/>
        <v>6269572.0390000008</v>
      </c>
      <c r="I185" s="4">
        <f t="shared" si="114"/>
        <v>7675872.1040000003</v>
      </c>
      <c r="J185" s="4">
        <f t="shared" si="114"/>
        <v>9930105.8890000004</v>
      </c>
      <c r="K185" s="4">
        <f t="shared" si="114"/>
        <v>10167545.049000001</v>
      </c>
      <c r="L185" s="4">
        <f t="shared" si="114"/>
        <v>13315812.374000002</v>
      </c>
      <c r="M185" s="4">
        <f t="shared" si="114"/>
        <v>16660482.609000003</v>
      </c>
      <c r="N185" s="4">
        <f t="shared" si="114"/>
        <v>19619170.654000003</v>
      </c>
      <c r="O185" s="4">
        <f t="shared" si="114"/>
        <v>21392600.460000005</v>
      </c>
      <c r="P185" s="4">
        <f t="shared" si="114"/>
        <v>22204488.800000004</v>
      </c>
    </row>
    <row r="186" spans="2:18" ht="15" thickBot="1" x14ac:dyDescent="0.4">
      <c r="B186" t="s">
        <v>175</v>
      </c>
      <c r="C186" t="s">
        <v>13</v>
      </c>
      <c r="E186" s="4">
        <f t="shared" ref="E186:P186" si="115">E72-E75</f>
        <v>0</v>
      </c>
      <c r="F186" s="4">
        <f t="shared" si="115"/>
        <v>406971.19500000001</v>
      </c>
      <c r="G186" s="4">
        <f t="shared" si="115"/>
        <v>862600.84400000004</v>
      </c>
      <c r="H186" s="4">
        <f t="shared" si="115"/>
        <v>1406300.0649999999</v>
      </c>
      <c r="I186" s="4">
        <f t="shared" si="115"/>
        <v>2254233.7850000001</v>
      </c>
      <c r="J186" s="4">
        <f t="shared" si="115"/>
        <v>237439.16000000015</v>
      </c>
      <c r="K186" s="4">
        <f t="shared" si="115"/>
        <v>3148267.3250000002</v>
      </c>
      <c r="L186" s="4">
        <f t="shared" si="115"/>
        <v>3344670.2350000008</v>
      </c>
      <c r="M186" s="4">
        <f t="shared" si="115"/>
        <v>2958688.0450000004</v>
      </c>
      <c r="N186" s="4">
        <f t="shared" si="115"/>
        <v>1773429.8060000003</v>
      </c>
      <c r="O186" s="4">
        <f t="shared" si="115"/>
        <v>811888.3400000002</v>
      </c>
      <c r="P186" s="4">
        <f t="shared" si="115"/>
        <v>0</v>
      </c>
      <c r="R186" s="1" t="b">
        <f>ABS(SUM(E186:P186)-SUM(E72:P72)+SUM(E75:P75))&lt;D_Assumptions!$D$89</f>
        <v>1</v>
      </c>
    </row>
    <row r="187" spans="2:18" ht="15" thickTop="1" x14ac:dyDescent="0.35">
      <c r="B187" s="54" t="s">
        <v>176</v>
      </c>
      <c r="C187" s="54" t="s">
        <v>13</v>
      </c>
      <c r="D187" s="55">
        <f>D_Assumptions!D70</f>
        <v>5000000</v>
      </c>
      <c r="E187" s="55">
        <f>SUM(E185:E186)</f>
        <v>5000000</v>
      </c>
      <c r="F187" s="55">
        <f t="shared" ref="F187" si="116">SUM(F185:F186)</f>
        <v>5406971.1950000003</v>
      </c>
      <c r="G187" s="55">
        <f t="shared" ref="G187" si="117">SUM(G185:G186)</f>
        <v>6269572.0390000008</v>
      </c>
      <c r="H187" s="55">
        <f t="shared" ref="H187" si="118">SUM(H185:H186)</f>
        <v>7675872.1040000003</v>
      </c>
      <c r="I187" s="55">
        <f t="shared" ref="I187" si="119">SUM(I185:I186)</f>
        <v>9930105.8890000004</v>
      </c>
      <c r="J187" s="55">
        <f t="shared" ref="J187" si="120">SUM(J185:J186)</f>
        <v>10167545.049000001</v>
      </c>
      <c r="K187" s="55">
        <f t="shared" ref="K187" si="121">SUM(K185:K186)</f>
        <v>13315812.374000002</v>
      </c>
      <c r="L187" s="55">
        <f t="shared" ref="L187" si="122">SUM(L185:L186)</f>
        <v>16660482.609000003</v>
      </c>
      <c r="M187" s="55">
        <f t="shared" ref="M187" si="123">SUM(M185:M186)</f>
        <v>19619170.654000003</v>
      </c>
      <c r="N187" s="55">
        <f t="shared" ref="N187" si="124">SUM(N185:N186)</f>
        <v>21392600.460000005</v>
      </c>
      <c r="O187" s="55">
        <f t="shared" ref="O187" si="125">SUM(O185:O186)</f>
        <v>22204488.800000004</v>
      </c>
      <c r="P187" s="55">
        <f t="shared" ref="P187" si="126">SUM(P185:P186)</f>
        <v>22204488.800000004</v>
      </c>
    </row>
    <row r="189" spans="2:18" x14ac:dyDescent="0.35">
      <c r="B189" t="s">
        <v>177</v>
      </c>
      <c r="C189" t="s">
        <v>13</v>
      </c>
      <c r="E189" s="4">
        <f>D193</f>
        <v>0</v>
      </c>
      <c r="F189" s="4">
        <f t="shared" ref="F189:P189" ca="1" si="127">E193</f>
        <v>4288197.0369863017</v>
      </c>
      <c r="G189" s="4">
        <f t="shared" ca="1" si="127"/>
        <v>0</v>
      </c>
      <c r="H189" s="4">
        <f t="shared" ca="1" si="127"/>
        <v>0</v>
      </c>
      <c r="I189" s="4">
        <f t="shared" ca="1" si="127"/>
        <v>0</v>
      </c>
      <c r="J189" s="4">
        <f t="shared" ca="1" si="127"/>
        <v>0</v>
      </c>
      <c r="K189" s="4">
        <f t="shared" ca="1" si="127"/>
        <v>-101650.34573067026</v>
      </c>
      <c r="L189" s="4">
        <f t="shared" ca="1" si="127"/>
        <v>-5104967.9100229107</v>
      </c>
      <c r="M189" s="4">
        <f t="shared" ca="1" si="127"/>
        <v>-8447619.094269488</v>
      </c>
      <c r="N189" s="4">
        <f t="shared" ca="1" si="127"/>
        <v>-7019927.2898402624</v>
      </c>
      <c r="O189" s="4">
        <f t="shared" ca="1" si="127"/>
        <v>0</v>
      </c>
      <c r="P189" s="4">
        <f t="shared" ca="1" si="127"/>
        <v>0</v>
      </c>
    </row>
    <row r="190" spans="2:18" x14ac:dyDescent="0.35">
      <c r="B190" t="s">
        <v>178</v>
      </c>
      <c r="C190" t="s">
        <v>13</v>
      </c>
      <c r="E190" s="4">
        <f ca="1">R_Financial_Statements!E45+R_Financial_Statements!E47+R_Financial_Statements!E49</f>
        <v>6788197.0369863017</v>
      </c>
      <c r="F190" s="4">
        <f ca="1">R_Financial_Statements!F45+R_Financial_Statements!F47+R_Financial_Statements!F49</f>
        <v>-5155473.8000000007</v>
      </c>
      <c r="G190" s="4">
        <f ca="1">R_Financial_Statements!G45+R_Financial_Statements!G47+R_Financial_Statements!G49</f>
        <v>-1213663.7230765384</v>
      </c>
      <c r="H190" s="4">
        <f ca="1">R_Financial_Statements!H45+R_Financial_Statements!H47+R_Financial_Statements!H49</f>
        <v>-1232728.3179200408</v>
      </c>
      <c r="I190" s="4">
        <f ca="1">R_Financial_Statements!I45+R_Financial_Statements!I47+R_Financial_Statements!I49</f>
        <v>-8226151.9258567952</v>
      </c>
      <c r="J190" s="4">
        <f ca="1">R_Financial_Statements!J45+R_Financial_Statements!J47+R_Financial_Statements!J49</f>
        <v>-1061829.6158635956</v>
      </c>
      <c r="K190" s="4">
        <f ca="1">R_Financial_Statements!K45+R_Financial_Statements!K47+R_Financial_Statements!K49</f>
        <v>-5003317.56429224</v>
      </c>
      <c r="L190" s="4">
        <f ca="1">R_Financial_Statements!L45+R_Financial_Statements!L47+R_Financial_Statements!L49</f>
        <v>-3342651.1842465778</v>
      </c>
      <c r="M190" s="4">
        <f ca="1">R_Financial_Statements!M45+R_Financial_Statements!M47+R_Financial_Statements!M49</f>
        <v>1427691.8044292261</v>
      </c>
      <c r="N190" s="4">
        <f ca="1">R_Financial_Statements!N45+R_Financial_Statements!N47+R_Financial_Statements!N49</f>
        <v>8154189.9858447509</v>
      </c>
      <c r="O190" s="4">
        <f ca="1">R_Financial_Statements!O45+R_Financial_Statements!O47+R_Financial_Statements!O49</f>
        <v>6640540.624967319</v>
      </c>
      <c r="P190" s="4">
        <f ca="1">R_Financial_Statements!P45+R_Financial_Statements!P47+R_Financial_Statements!P49</f>
        <v>5687523.7987812897</v>
      </c>
    </row>
    <row r="191" spans="2:18" x14ac:dyDescent="0.35">
      <c r="B191" t="s">
        <v>202</v>
      </c>
      <c r="C191" t="s">
        <v>13</v>
      </c>
      <c r="E191" s="4">
        <f ca="1">E161</f>
        <v>0</v>
      </c>
      <c r="F191" s="4">
        <f t="shared" ref="F191:P191" ca="1" si="128">F161</f>
        <v>867276.76301369909</v>
      </c>
      <c r="G191" s="4">
        <f t="shared" ca="1" si="128"/>
        <v>1213663.7230765384</v>
      </c>
      <c r="H191" s="4">
        <f t="shared" ca="1" si="128"/>
        <v>1232728.3179200408</v>
      </c>
      <c r="I191" s="4">
        <f t="shared" ca="1" si="128"/>
        <v>8226151.9258567952</v>
      </c>
      <c r="J191" s="4">
        <f t="shared" ca="1" si="128"/>
        <v>960179.27013292536</v>
      </c>
      <c r="K191" s="4">
        <f t="shared" ca="1" si="128"/>
        <v>0</v>
      </c>
      <c r="L191" s="4">
        <f t="shared" ca="1" si="128"/>
        <v>0</v>
      </c>
      <c r="M191" s="4">
        <f t="shared" ca="1" si="128"/>
        <v>0</v>
      </c>
      <c r="N191" s="4">
        <f t="shared" ca="1" si="128"/>
        <v>0</v>
      </c>
      <c r="O191" s="4">
        <f t="shared" ca="1" si="128"/>
        <v>0</v>
      </c>
      <c r="P191" s="4">
        <f t="shared" ca="1" si="128"/>
        <v>0</v>
      </c>
    </row>
    <row r="192" spans="2:18" ht="15" thickBot="1" x14ac:dyDescent="0.4">
      <c r="B192" t="s">
        <v>203</v>
      </c>
      <c r="C192" t="s">
        <v>13</v>
      </c>
      <c r="E192" s="4">
        <f ca="1">E217</f>
        <v>-2500000</v>
      </c>
      <c r="F192" s="4">
        <f t="shared" ref="F192:P192" ca="1" si="129">F217</f>
        <v>0</v>
      </c>
      <c r="G192" s="4">
        <f t="shared" ca="1" si="129"/>
        <v>0</v>
      </c>
      <c r="H192" s="4">
        <f t="shared" ca="1" si="129"/>
        <v>0</v>
      </c>
      <c r="I192" s="4">
        <f t="shared" ca="1" si="129"/>
        <v>0</v>
      </c>
      <c r="J192" s="4">
        <f t="shared" ca="1" si="129"/>
        <v>0</v>
      </c>
      <c r="K192" s="4">
        <f t="shared" ca="1" si="129"/>
        <v>0</v>
      </c>
      <c r="L192" s="4">
        <f t="shared" ca="1" si="129"/>
        <v>0</v>
      </c>
      <c r="M192" s="4">
        <f t="shared" ca="1" si="129"/>
        <v>0</v>
      </c>
      <c r="N192" s="4">
        <f t="shared" ca="1" si="129"/>
        <v>-1134262.6960044885</v>
      </c>
      <c r="O192" s="4">
        <f t="shared" ca="1" si="129"/>
        <v>-6640540.624967319</v>
      </c>
      <c r="P192" s="4">
        <f t="shared" ca="1" si="129"/>
        <v>-4725196.6790281935</v>
      </c>
    </row>
    <row r="193" spans="2:18" ht="15" thickTop="1" x14ac:dyDescent="0.35">
      <c r="B193" s="54" t="s">
        <v>179</v>
      </c>
      <c r="C193" s="54" t="s">
        <v>13</v>
      </c>
      <c r="D193" s="55">
        <f>D_Assumptions!D71</f>
        <v>0</v>
      </c>
      <c r="E193" s="55">
        <f ca="1">SUM(E189:E192)</f>
        <v>4288197.0369863017</v>
      </c>
      <c r="F193" s="55">
        <f t="shared" ref="F193:P193" ca="1" si="130">SUM(F189:F192)</f>
        <v>0</v>
      </c>
      <c r="G193" s="55">
        <f t="shared" ca="1" si="130"/>
        <v>0</v>
      </c>
      <c r="H193" s="55">
        <f t="shared" ca="1" si="130"/>
        <v>0</v>
      </c>
      <c r="I193" s="55">
        <f t="shared" ca="1" si="130"/>
        <v>0</v>
      </c>
      <c r="J193" s="55">
        <f t="shared" ca="1" si="130"/>
        <v>-101650.34573067026</v>
      </c>
      <c r="K193" s="55">
        <f t="shared" ca="1" si="130"/>
        <v>-5104967.9100229107</v>
      </c>
      <c r="L193" s="55">
        <f t="shared" ca="1" si="130"/>
        <v>-8447619.094269488</v>
      </c>
      <c r="M193" s="55">
        <f t="shared" ca="1" si="130"/>
        <v>-7019927.2898402624</v>
      </c>
      <c r="N193" s="55">
        <f t="shared" ca="1" si="130"/>
        <v>0</v>
      </c>
      <c r="O193" s="55">
        <f t="shared" ca="1" si="130"/>
        <v>0</v>
      </c>
      <c r="P193" s="55">
        <f t="shared" ca="1" si="130"/>
        <v>962327.11975309625</v>
      </c>
    </row>
    <row r="195" spans="2:18" x14ac:dyDescent="0.35">
      <c r="B195" s="40" t="s">
        <v>186</v>
      </c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5"/>
      <c r="R195" t="b">
        <f ca="1">AND(R203,R211:R212,R221)</f>
        <v>1</v>
      </c>
    </row>
    <row r="197" spans="2:18" x14ac:dyDescent="0.35">
      <c r="B197" t="s">
        <v>182</v>
      </c>
      <c r="C197" t="s">
        <v>13</v>
      </c>
      <c r="E197" s="4">
        <f>D200</f>
        <v>1000000</v>
      </c>
      <c r="F197" s="4">
        <f t="shared" ref="F197:P197" si="131">E200</f>
        <v>1000000</v>
      </c>
      <c r="G197" s="4">
        <f t="shared" si="131"/>
        <v>1000000</v>
      </c>
      <c r="H197" s="4">
        <f t="shared" si="131"/>
        <v>1000000</v>
      </c>
      <c r="I197" s="4">
        <f t="shared" si="131"/>
        <v>1000000</v>
      </c>
      <c r="J197" s="4">
        <f t="shared" si="131"/>
        <v>1000000</v>
      </c>
      <c r="K197" s="4">
        <f t="shared" si="131"/>
        <v>1000000</v>
      </c>
      <c r="L197" s="4">
        <f t="shared" si="131"/>
        <v>1000000</v>
      </c>
      <c r="M197" s="4">
        <f t="shared" si="131"/>
        <v>1000000</v>
      </c>
      <c r="N197" s="4">
        <f t="shared" si="131"/>
        <v>1000000</v>
      </c>
      <c r="O197" s="4">
        <f t="shared" si="131"/>
        <v>1000000</v>
      </c>
      <c r="P197" s="4">
        <f t="shared" si="131"/>
        <v>1000000</v>
      </c>
    </row>
    <row r="198" spans="2:18" x14ac:dyDescent="0.35">
      <c r="B198" t="s">
        <v>185</v>
      </c>
      <c r="C198" t="s">
        <v>13</v>
      </c>
    </row>
    <row r="199" spans="2:18" ht="15" thickBot="1" x14ac:dyDescent="0.4">
      <c r="B199" t="s">
        <v>184</v>
      </c>
      <c r="C199" t="s">
        <v>13</v>
      </c>
    </row>
    <row r="200" spans="2:18" ht="15" thickTop="1" x14ac:dyDescent="0.35">
      <c r="B200" s="54" t="s">
        <v>183</v>
      </c>
      <c r="C200" s="54" t="s">
        <v>13</v>
      </c>
      <c r="D200" s="55">
        <f>D_Assumptions!D77</f>
        <v>1000000</v>
      </c>
      <c r="E200" s="55">
        <f>SUM(E197:E199)</f>
        <v>1000000</v>
      </c>
      <c r="F200" s="55">
        <f t="shared" ref="F200" si="132">SUM(F197:F199)</f>
        <v>1000000</v>
      </c>
      <c r="G200" s="55">
        <f t="shared" ref="G200" si="133">SUM(G197:G199)</f>
        <v>1000000</v>
      </c>
      <c r="H200" s="55">
        <f t="shared" ref="H200" si="134">SUM(H197:H199)</f>
        <v>1000000</v>
      </c>
      <c r="I200" s="55">
        <f t="shared" ref="I200" si="135">SUM(I197:I199)</f>
        <v>1000000</v>
      </c>
      <c r="J200" s="55">
        <f t="shared" ref="J200" si="136">SUM(J197:J199)</f>
        <v>1000000</v>
      </c>
      <c r="K200" s="55">
        <f t="shared" ref="K200" si="137">SUM(K197:K199)</f>
        <v>1000000</v>
      </c>
      <c r="L200" s="55">
        <f t="shared" ref="L200" si="138">SUM(L197:L199)</f>
        <v>1000000</v>
      </c>
      <c r="M200" s="55">
        <f t="shared" ref="M200" si="139">SUM(M197:M199)</f>
        <v>1000000</v>
      </c>
      <c r="N200" s="55">
        <f t="shared" ref="N200" si="140">SUM(N197:N199)</f>
        <v>1000000</v>
      </c>
      <c r="O200" s="55">
        <f t="shared" ref="O200" si="141">SUM(O197:O199)</f>
        <v>1000000</v>
      </c>
      <c r="P200" s="55">
        <f t="shared" ref="P200" si="142">SUM(P197:P199)</f>
        <v>1000000</v>
      </c>
    </row>
    <row r="202" spans="2:18" x14ac:dyDescent="0.35">
      <c r="B202" t="s">
        <v>188</v>
      </c>
      <c r="C202" t="s">
        <v>13</v>
      </c>
      <c r="E202" s="4">
        <f t="shared" ref="E202:P202" si="143">D204</f>
        <v>5100000</v>
      </c>
      <c r="F202" s="4">
        <f t="shared" si="143"/>
        <v>4493630.1369863013</v>
      </c>
      <c r="G202" s="4">
        <f t="shared" ca="1" si="143"/>
        <v>4592980.2869863007</v>
      </c>
      <c r="H202" s="4">
        <f t="shared" ca="1" si="143"/>
        <v>5105780.877243096</v>
      </c>
      <c r="I202" s="4">
        <f t="shared" ca="1" si="143"/>
        <v>6551611.1906563882</v>
      </c>
      <c r="J202" s="4">
        <f t="shared" ca="1" si="143"/>
        <v>9450729.9281329289</v>
      </c>
      <c r="K202" s="4">
        <f t="shared" ca="1" si="143"/>
        <v>13161797.565602666</v>
      </c>
      <c r="L202" s="4">
        <f t="shared" ca="1" si="143"/>
        <v>17574973.304643761</v>
      </c>
      <c r="M202" s="4">
        <f t="shared" ca="1" si="143"/>
        <v>22326219.203730524</v>
      </c>
      <c r="N202" s="4">
        <f t="shared" ca="1" si="143"/>
        <v>26416762.911493082</v>
      </c>
      <c r="O202" s="4">
        <f t="shared" ca="1" si="143"/>
        <v>28469079.930671163</v>
      </c>
      <c r="P202" s="4">
        <f t="shared" ca="1" si="143"/>
        <v>28874398.840971813</v>
      </c>
    </row>
    <row r="203" spans="2:18" ht="15" thickBot="1" x14ac:dyDescent="0.4">
      <c r="B203" t="s">
        <v>189</v>
      </c>
      <c r="C203" t="s">
        <v>13</v>
      </c>
      <c r="E203" s="4">
        <f>R_Financial_Statements!E26</f>
        <v>-606369.8630136986</v>
      </c>
      <c r="F203" s="4">
        <f ca="1">R_Financial_Statements!F26</f>
        <v>99350.149999999907</v>
      </c>
      <c r="G203" s="4">
        <f ca="1">R_Financial_Statements!G26</f>
        <v>512800.59025679558</v>
      </c>
      <c r="H203" s="4">
        <f ca="1">R_Financial_Statements!H26</f>
        <v>1445830.3134132917</v>
      </c>
      <c r="I203" s="4">
        <f ca="1">R_Financial_Statements!I26</f>
        <v>2899118.7374765407</v>
      </c>
      <c r="J203" s="4">
        <f ca="1">R_Financial_Statements!J26</f>
        <v>3711067.6374697369</v>
      </c>
      <c r="K203" s="4">
        <f ca="1">R_Financial_Statements!K26</f>
        <v>4413175.7390410947</v>
      </c>
      <c r="L203" s="4">
        <f ca="1">R_Financial_Statements!L26</f>
        <v>4751245.8990867613</v>
      </c>
      <c r="M203" s="4">
        <f ca="1">R_Financial_Statements!M26</f>
        <v>4090543.7077625571</v>
      </c>
      <c r="N203" s="4">
        <f ca="1">R_Financial_Statements!N26</f>
        <v>2052317.0191780827</v>
      </c>
      <c r="O203" s="4">
        <f ca="1">R_Financial_Statements!O26</f>
        <v>405318.91030065127</v>
      </c>
      <c r="P203" s="4">
        <f ca="1">R_Financial_Statements!P26</f>
        <v>-974249.5878853777</v>
      </c>
      <c r="R203" s="1" t="b">
        <f ca="1">ABS(SUM(E203:P203)-SUM(R_Financial_Statements!E26:P26))&lt;D_Assumptions!$D$89</f>
        <v>1</v>
      </c>
    </row>
    <row r="204" spans="2:18" ht="15" thickTop="1" x14ac:dyDescent="0.35">
      <c r="B204" s="54" t="s">
        <v>190</v>
      </c>
      <c r="C204" s="54" t="s">
        <v>13</v>
      </c>
      <c r="D204" s="55">
        <f>D_Assumptions!D78</f>
        <v>5100000</v>
      </c>
      <c r="E204" s="55">
        <f t="shared" ref="E204:P204" si="144">SUM(E202:E203)</f>
        <v>4493630.1369863013</v>
      </c>
      <c r="F204" s="55">
        <f t="shared" ca="1" si="144"/>
        <v>4592980.2869863007</v>
      </c>
      <c r="G204" s="55">
        <f t="shared" ca="1" si="144"/>
        <v>5105780.877243096</v>
      </c>
      <c r="H204" s="55">
        <f t="shared" ca="1" si="144"/>
        <v>6551611.1906563882</v>
      </c>
      <c r="I204" s="55">
        <f t="shared" ca="1" si="144"/>
        <v>9450729.9281329289</v>
      </c>
      <c r="J204" s="55">
        <f t="shared" ca="1" si="144"/>
        <v>13161797.565602666</v>
      </c>
      <c r="K204" s="55">
        <f t="shared" ca="1" si="144"/>
        <v>17574973.304643761</v>
      </c>
      <c r="L204" s="55">
        <f t="shared" ca="1" si="144"/>
        <v>22326219.203730524</v>
      </c>
      <c r="M204" s="55">
        <f t="shared" ca="1" si="144"/>
        <v>26416762.911493082</v>
      </c>
      <c r="N204" s="55">
        <f t="shared" ca="1" si="144"/>
        <v>28469079.930671163</v>
      </c>
      <c r="O204" s="55">
        <f t="shared" ca="1" si="144"/>
        <v>28874398.840971813</v>
      </c>
      <c r="P204" s="55">
        <f t="shared" ca="1" si="144"/>
        <v>27900149.253086437</v>
      </c>
    </row>
    <row r="206" spans="2:18" x14ac:dyDescent="0.35">
      <c r="B206" t="s">
        <v>191</v>
      </c>
      <c r="C206" t="s">
        <v>13</v>
      </c>
      <c r="D206" s="4"/>
      <c r="E206" s="4">
        <f t="shared" ref="E206:P206" si="145">D208</f>
        <v>0</v>
      </c>
      <c r="F206" s="4">
        <f t="shared" si="145"/>
        <v>0</v>
      </c>
      <c r="G206" s="4">
        <f t="shared" si="145"/>
        <v>0</v>
      </c>
      <c r="H206" s="4">
        <f t="shared" si="145"/>
        <v>0</v>
      </c>
      <c r="I206" s="4">
        <f t="shared" si="145"/>
        <v>0</v>
      </c>
      <c r="J206" s="4">
        <f t="shared" si="145"/>
        <v>0</v>
      </c>
      <c r="K206" s="4">
        <f t="shared" si="145"/>
        <v>0</v>
      </c>
      <c r="L206" s="4">
        <f t="shared" si="145"/>
        <v>0</v>
      </c>
      <c r="M206" s="4">
        <f t="shared" si="145"/>
        <v>0</v>
      </c>
      <c r="N206" s="4">
        <f t="shared" si="145"/>
        <v>0</v>
      </c>
      <c r="O206" s="4">
        <f t="shared" si="145"/>
        <v>0</v>
      </c>
      <c r="P206" s="4">
        <f t="shared" si="145"/>
        <v>0</v>
      </c>
    </row>
    <row r="207" spans="2:18" ht="15" thickBot="1" x14ac:dyDescent="0.4">
      <c r="B207" s="47" t="s">
        <v>192</v>
      </c>
      <c r="C207" s="47" t="s">
        <v>13</v>
      </c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</row>
    <row r="208" spans="2:18" ht="15" thickTop="1" x14ac:dyDescent="0.35">
      <c r="B208" s="1" t="s">
        <v>193</v>
      </c>
      <c r="C208" s="1" t="s">
        <v>13</v>
      </c>
      <c r="D208" s="19">
        <f>D_Assumptions!D82</f>
        <v>0</v>
      </c>
      <c r="E208" s="55">
        <f>SUM(E206:E207)</f>
        <v>0</v>
      </c>
      <c r="F208" s="55">
        <f t="shared" ref="F208" si="146">SUM(F206:F207)</f>
        <v>0</v>
      </c>
      <c r="G208" s="55">
        <f t="shared" ref="G208" si="147">SUM(G206:G207)</f>
        <v>0</v>
      </c>
      <c r="H208" s="55">
        <f t="shared" ref="H208" si="148">SUM(H206:H207)</f>
        <v>0</v>
      </c>
      <c r="I208" s="55">
        <f t="shared" ref="I208" si="149">SUM(I206:I207)</f>
        <v>0</v>
      </c>
      <c r="J208" s="55">
        <f t="shared" ref="J208" si="150">SUM(J206:J207)</f>
        <v>0</v>
      </c>
      <c r="K208" s="55">
        <f t="shared" ref="K208" si="151">SUM(K206:K207)</f>
        <v>0</v>
      </c>
      <c r="L208" s="55">
        <f t="shared" ref="L208" si="152">SUM(L206:L207)</f>
        <v>0</v>
      </c>
      <c r="M208" s="55">
        <f t="shared" ref="M208" si="153">SUM(M206:M207)</f>
        <v>0</v>
      </c>
      <c r="N208" s="55">
        <f t="shared" ref="N208" si="154">SUM(N206:N207)</f>
        <v>0</v>
      </c>
      <c r="O208" s="55">
        <f t="shared" ref="O208" si="155">SUM(O206:O207)</f>
        <v>0</v>
      </c>
      <c r="P208" s="55">
        <f t="shared" ref="P208" si="156">SUM(P206:P207)</f>
        <v>0</v>
      </c>
    </row>
    <row r="210" spans="2:18" x14ac:dyDescent="0.35">
      <c r="B210" t="s">
        <v>194</v>
      </c>
      <c r="C210" t="s">
        <v>13</v>
      </c>
      <c r="E210" s="4">
        <f>D213</f>
        <v>0</v>
      </c>
      <c r="F210" s="4">
        <f t="shared" ref="F210:P210" si="157">E213</f>
        <v>7294566.9000000004</v>
      </c>
      <c r="G210" s="4">
        <f t="shared" si="157"/>
        <v>9602483.7050000001</v>
      </c>
      <c r="H210" s="4">
        <f t="shared" si="157"/>
        <v>12216990.761</v>
      </c>
      <c r="I210" s="4">
        <f t="shared" si="157"/>
        <v>15127659.296000002</v>
      </c>
      <c r="J210" s="4">
        <f t="shared" si="157"/>
        <v>12873425.511000002</v>
      </c>
      <c r="K210" s="4">
        <f t="shared" si="157"/>
        <v>12036943.751000002</v>
      </c>
      <c r="L210" s="4">
        <f t="shared" si="157"/>
        <v>8888676.4260000028</v>
      </c>
      <c r="M210" s="4">
        <f t="shared" si="157"/>
        <v>5544006.1910000024</v>
      </c>
      <c r="N210" s="4">
        <f t="shared" si="157"/>
        <v>2585318.146000002</v>
      </c>
      <c r="O210" s="4">
        <f t="shared" si="157"/>
        <v>811888.34000000171</v>
      </c>
      <c r="P210" s="4">
        <f t="shared" si="157"/>
        <v>1.5133991837501526E-9</v>
      </c>
    </row>
    <row r="211" spans="2:18" x14ac:dyDescent="0.35">
      <c r="B211" t="s">
        <v>195</v>
      </c>
      <c r="C211" t="s">
        <v>13</v>
      </c>
      <c r="E211" s="4">
        <f t="shared" ref="E211:P211" si="158">E45</f>
        <v>7294566.9000000004</v>
      </c>
      <c r="F211" s="4">
        <f t="shared" si="158"/>
        <v>2714888</v>
      </c>
      <c r="G211" s="4">
        <f t="shared" si="158"/>
        <v>3477107.9000000004</v>
      </c>
      <c r="H211" s="4">
        <f t="shared" si="158"/>
        <v>4316968.6000000006</v>
      </c>
      <c r="I211" s="4">
        <f t="shared" si="158"/>
        <v>0</v>
      </c>
      <c r="J211" s="4">
        <f t="shared" si="158"/>
        <v>1900957.4000000001</v>
      </c>
      <c r="K211" s="4">
        <f t="shared" si="158"/>
        <v>0</v>
      </c>
      <c r="L211" s="4">
        <f t="shared" si="158"/>
        <v>0</v>
      </c>
      <c r="M211" s="4">
        <f t="shared" si="158"/>
        <v>0</v>
      </c>
      <c r="N211" s="4">
        <f t="shared" si="158"/>
        <v>0</v>
      </c>
      <c r="O211" s="4">
        <f t="shared" si="158"/>
        <v>0</v>
      </c>
      <c r="P211" s="4">
        <f t="shared" si="158"/>
        <v>0</v>
      </c>
      <c r="R211" s="1" t="b">
        <f>ABS(SUM(E211:P211)-SUM(E45:P45))&lt;D_Assumptions!$D$89</f>
        <v>1</v>
      </c>
    </row>
    <row r="212" spans="2:18" ht="15" thickBot="1" x14ac:dyDescent="0.4">
      <c r="B212" t="s">
        <v>196</v>
      </c>
      <c r="C212" t="s">
        <v>13</v>
      </c>
      <c r="E212" s="37">
        <f t="shared" ref="E212:P212" si="159">E57</f>
        <v>0</v>
      </c>
      <c r="F212" s="37">
        <f t="shared" si="159"/>
        <v>-406971.19500000001</v>
      </c>
      <c r="G212" s="37">
        <f t="shared" si="159"/>
        <v>-862600.84400000004</v>
      </c>
      <c r="H212" s="37">
        <f t="shared" si="159"/>
        <v>-1406300.0649999999</v>
      </c>
      <c r="I212" s="37">
        <f t="shared" si="159"/>
        <v>-2254233.7850000001</v>
      </c>
      <c r="J212" s="37">
        <f t="shared" si="159"/>
        <v>-2737439.1599999997</v>
      </c>
      <c r="K212" s="37">
        <f t="shared" si="159"/>
        <v>-3148267.3250000002</v>
      </c>
      <c r="L212" s="37">
        <f t="shared" si="159"/>
        <v>-3344670.2350000003</v>
      </c>
      <c r="M212" s="37">
        <f t="shared" si="159"/>
        <v>-2958688.0450000004</v>
      </c>
      <c r="N212" s="37">
        <f t="shared" si="159"/>
        <v>-1773429.8060000003</v>
      </c>
      <c r="O212" s="37">
        <f t="shared" si="159"/>
        <v>-811888.3400000002</v>
      </c>
      <c r="P212" s="37">
        <f t="shared" si="159"/>
        <v>0</v>
      </c>
      <c r="R212" s="1" t="b">
        <f>ABS(SUM(E212:P212)-SUM(E57:P57))&lt;D_Assumptions!$D$89</f>
        <v>1</v>
      </c>
    </row>
    <row r="213" spans="2:18" ht="15" thickTop="1" x14ac:dyDescent="0.35">
      <c r="B213" s="54" t="s">
        <v>197</v>
      </c>
      <c r="C213" s="54" t="s">
        <v>13</v>
      </c>
      <c r="D213" s="55">
        <f>D_Assumptions!D83</f>
        <v>0</v>
      </c>
      <c r="E213" s="55">
        <f>SUM(E210:E212)</f>
        <v>7294566.9000000004</v>
      </c>
      <c r="F213" s="55">
        <f t="shared" ref="F213" si="160">SUM(F210:F212)</f>
        <v>9602483.7050000001</v>
      </c>
      <c r="G213" s="55">
        <f t="shared" ref="G213" si="161">SUM(G210:G212)</f>
        <v>12216990.761</v>
      </c>
      <c r="H213" s="55">
        <f t="shared" ref="H213" si="162">SUM(H210:H212)</f>
        <v>15127659.296000002</v>
      </c>
      <c r="I213" s="55">
        <f t="shared" ref="I213" si="163">SUM(I210:I212)</f>
        <v>12873425.511000002</v>
      </c>
      <c r="J213" s="55">
        <f t="shared" ref="J213" si="164">SUM(J210:J212)</f>
        <v>12036943.751000002</v>
      </c>
      <c r="K213" s="55">
        <f t="shared" ref="K213" si="165">SUM(K210:K212)</f>
        <v>8888676.4260000028</v>
      </c>
      <c r="L213" s="55">
        <f t="shared" ref="L213" si="166">SUM(L210:L212)</f>
        <v>5544006.1910000024</v>
      </c>
      <c r="M213" s="55">
        <f t="shared" ref="M213" si="167">SUM(M210:M212)</f>
        <v>2585318.146000002</v>
      </c>
      <c r="N213" s="55">
        <f t="shared" ref="N213" si="168">SUM(N210:N212)</f>
        <v>811888.34000000171</v>
      </c>
      <c r="O213" s="55">
        <f t="shared" ref="O213" si="169">SUM(O210:O212)</f>
        <v>1.5133991837501526E-9</v>
      </c>
      <c r="P213" s="55">
        <f t="shared" ref="P213" si="170">SUM(P210:P212)</f>
        <v>1.5133991837501526E-9</v>
      </c>
    </row>
    <row r="215" spans="2:18" x14ac:dyDescent="0.35">
      <c r="B215" t="s">
        <v>201</v>
      </c>
      <c r="C215" t="s">
        <v>13</v>
      </c>
      <c r="E215" s="4">
        <f t="shared" ref="E215:P215" si="171">D218</f>
        <v>2500000</v>
      </c>
      <c r="F215" s="4">
        <f t="shared" ca="1" si="171"/>
        <v>0</v>
      </c>
      <c r="G215" s="4">
        <f t="shared" ca="1" si="171"/>
        <v>867276.76301369909</v>
      </c>
      <c r="H215" s="4">
        <f t="shared" ca="1" si="171"/>
        <v>2080940.4860902375</v>
      </c>
      <c r="I215" s="4">
        <f t="shared" ca="1" si="171"/>
        <v>3313668.8040102785</v>
      </c>
      <c r="J215" s="4">
        <f t="shared" ca="1" si="171"/>
        <v>11539820.729867075</v>
      </c>
      <c r="K215" s="4">
        <f t="shared" ca="1" si="171"/>
        <v>12500000</v>
      </c>
      <c r="L215" s="4">
        <f t="shared" ca="1" si="171"/>
        <v>12500000</v>
      </c>
      <c r="M215" s="4">
        <f t="shared" ca="1" si="171"/>
        <v>12500000</v>
      </c>
      <c r="N215" s="4">
        <f t="shared" ca="1" si="171"/>
        <v>12500000</v>
      </c>
      <c r="O215" s="4">
        <f t="shared" ca="1" si="171"/>
        <v>11365737.303995512</v>
      </c>
      <c r="P215" s="4">
        <f t="shared" ca="1" si="171"/>
        <v>4725196.6790281935</v>
      </c>
    </row>
    <row r="216" spans="2:18" x14ac:dyDescent="0.35">
      <c r="B216" t="s">
        <v>198</v>
      </c>
      <c r="C216" t="s">
        <v>13</v>
      </c>
      <c r="E216" s="4">
        <f ca="1">E161</f>
        <v>0</v>
      </c>
      <c r="F216" s="4">
        <f t="shared" ref="F216:P216" ca="1" si="172">F161</f>
        <v>867276.76301369909</v>
      </c>
      <c r="G216" s="4">
        <f t="shared" ca="1" si="172"/>
        <v>1213663.7230765384</v>
      </c>
      <c r="H216" s="4">
        <f t="shared" ca="1" si="172"/>
        <v>1232728.3179200408</v>
      </c>
      <c r="I216" s="4">
        <f t="shared" ca="1" si="172"/>
        <v>8226151.9258567952</v>
      </c>
      <c r="J216" s="4">
        <f t="shared" ca="1" si="172"/>
        <v>960179.27013292536</v>
      </c>
      <c r="K216" s="4">
        <f t="shared" ca="1" si="172"/>
        <v>0</v>
      </c>
      <c r="L216" s="4">
        <f t="shared" ca="1" si="172"/>
        <v>0</v>
      </c>
      <c r="M216" s="4">
        <f t="shared" ca="1" si="172"/>
        <v>0</v>
      </c>
      <c r="N216" s="4">
        <f t="shared" ca="1" si="172"/>
        <v>0</v>
      </c>
      <c r="O216" s="4">
        <f t="shared" ca="1" si="172"/>
        <v>0</v>
      </c>
      <c r="P216" s="4">
        <f t="shared" ca="1" si="172"/>
        <v>0</v>
      </c>
    </row>
    <row r="217" spans="2:18" ht="15" thickBot="1" x14ac:dyDescent="0.4">
      <c r="B217" t="s">
        <v>199</v>
      </c>
      <c r="C217" t="s">
        <v>13</v>
      </c>
      <c r="E217" s="4">
        <f t="shared" ref="E217:P217" ca="1" si="173">-1*(SUM(E189:E190)&gt;=0)*(E215&lt;&gt;0)*((SUM(E189:E190)&gt;=E215)*E215+(SUM(E189:E190)&lt;E215)*SUM(E189:E190))</f>
        <v>-2500000</v>
      </c>
      <c r="F217" s="4">
        <f t="shared" ca="1" si="173"/>
        <v>0</v>
      </c>
      <c r="G217" s="4">
        <f t="shared" ca="1" si="173"/>
        <v>0</v>
      </c>
      <c r="H217" s="4">
        <f t="shared" ca="1" si="173"/>
        <v>0</v>
      </c>
      <c r="I217" s="4">
        <f t="shared" ca="1" si="173"/>
        <v>0</v>
      </c>
      <c r="J217" s="4">
        <f t="shared" ca="1" si="173"/>
        <v>0</v>
      </c>
      <c r="K217" s="4">
        <f t="shared" ca="1" si="173"/>
        <v>0</v>
      </c>
      <c r="L217" s="4">
        <f t="shared" ca="1" si="173"/>
        <v>0</v>
      </c>
      <c r="M217" s="4">
        <f t="shared" ca="1" si="173"/>
        <v>0</v>
      </c>
      <c r="N217" s="4">
        <f t="shared" ca="1" si="173"/>
        <v>-1134262.6960044885</v>
      </c>
      <c r="O217" s="4">
        <f t="shared" ca="1" si="173"/>
        <v>-6640540.624967319</v>
      </c>
      <c r="P217" s="4">
        <f t="shared" ca="1" si="173"/>
        <v>-4725196.6790281935</v>
      </c>
    </row>
    <row r="218" spans="2:18" ht="15" thickTop="1" x14ac:dyDescent="0.35">
      <c r="B218" s="54" t="s">
        <v>200</v>
      </c>
      <c r="C218" s="54" t="s">
        <v>13</v>
      </c>
      <c r="D218" s="55">
        <f>D_Assumptions!D84</f>
        <v>2500000</v>
      </c>
      <c r="E218" s="55">
        <f ca="1">SUM(E215:E217)</f>
        <v>0</v>
      </c>
      <c r="F218" s="55">
        <f t="shared" ref="F218" ca="1" si="174">SUM(F215:F217)</f>
        <v>867276.76301369909</v>
      </c>
      <c r="G218" s="55">
        <f t="shared" ref="G218" ca="1" si="175">SUM(G215:G217)</f>
        <v>2080940.4860902375</v>
      </c>
      <c r="H218" s="55">
        <f t="shared" ref="H218" ca="1" si="176">SUM(H215:H217)</f>
        <v>3313668.8040102785</v>
      </c>
      <c r="I218" s="55">
        <f t="shared" ref="I218" ca="1" si="177">SUM(I215:I217)</f>
        <v>11539820.729867075</v>
      </c>
      <c r="J218" s="55">
        <f t="shared" ref="J218" ca="1" si="178">SUM(J215:J217)</f>
        <v>12500000</v>
      </c>
      <c r="K218" s="55">
        <f t="shared" ref="K218" ca="1" si="179">SUM(K215:K217)</f>
        <v>12500000</v>
      </c>
      <c r="L218" s="55">
        <f t="shared" ref="L218" ca="1" si="180">SUM(L215:L217)</f>
        <v>12500000</v>
      </c>
      <c r="M218" s="55">
        <f t="shared" ref="M218" ca="1" si="181">SUM(M215:M217)</f>
        <v>12500000</v>
      </c>
      <c r="N218" s="55">
        <f t="shared" ref="N218" ca="1" si="182">SUM(N215:N217)</f>
        <v>11365737.303995512</v>
      </c>
      <c r="O218" s="55">
        <f t="shared" ref="O218" ca="1" si="183">SUM(O215:O217)</f>
        <v>4725196.6790281935</v>
      </c>
      <c r="P218" s="55">
        <f ca="1">SUM(P215:P217)</f>
        <v>0</v>
      </c>
    </row>
    <row r="220" spans="2:18" x14ac:dyDescent="0.35">
      <c r="B220" t="s">
        <v>204</v>
      </c>
      <c r="C220" t="s">
        <v>13</v>
      </c>
      <c r="E220" s="4">
        <f t="shared" ref="E220:P220" si="184">D222</f>
        <v>0</v>
      </c>
      <c r="F220" s="4">
        <f t="shared" si="184"/>
        <v>0</v>
      </c>
      <c r="G220" s="4">
        <f t="shared" si="184"/>
        <v>16000000</v>
      </c>
      <c r="H220" s="4">
        <f t="shared" si="184"/>
        <v>15733333.333333334</v>
      </c>
      <c r="I220" s="4">
        <f t="shared" si="184"/>
        <v>15466666.666666668</v>
      </c>
      <c r="J220" s="4">
        <f t="shared" si="184"/>
        <v>15200000.000000002</v>
      </c>
      <c r="K220" s="4">
        <f t="shared" si="184"/>
        <v>14933333.333333336</v>
      </c>
      <c r="L220" s="4">
        <f t="shared" si="184"/>
        <v>14666666.66666667</v>
      </c>
      <c r="M220" s="4">
        <f t="shared" si="184"/>
        <v>14400000.000000004</v>
      </c>
      <c r="N220" s="4">
        <f t="shared" si="184"/>
        <v>14133333.333333338</v>
      </c>
      <c r="O220" s="4">
        <f t="shared" si="184"/>
        <v>13866666.666666672</v>
      </c>
      <c r="P220" s="4">
        <f t="shared" si="184"/>
        <v>13600000.000000006</v>
      </c>
    </row>
    <row r="221" spans="2:18" ht="15" thickBot="1" x14ac:dyDescent="0.4">
      <c r="B221" t="s">
        <v>205</v>
      </c>
      <c r="C221" t="s">
        <v>13</v>
      </c>
      <c r="E221" s="4">
        <f>R_Financial_Statements!E47+R_Financial_Statements!E49</f>
        <v>0</v>
      </c>
      <c r="F221" s="4">
        <f>R_Financial_Statements!F47+R_Financial_Statements!F49</f>
        <v>16000000</v>
      </c>
      <c r="G221" s="4">
        <f>R_Financial_Statements!G47+R_Financial_Statements!G49</f>
        <v>-266666.66666666669</v>
      </c>
      <c r="H221" s="4">
        <f>R_Financial_Statements!H47+R_Financial_Statements!H49</f>
        <v>-266666.66666666669</v>
      </c>
      <c r="I221" s="4">
        <f>R_Financial_Statements!I47+R_Financial_Statements!I49</f>
        <v>-266666.66666666669</v>
      </c>
      <c r="J221" s="4">
        <f>R_Financial_Statements!J47+R_Financial_Statements!J49</f>
        <v>-266666.66666666669</v>
      </c>
      <c r="K221" s="4">
        <f>R_Financial_Statements!K47+R_Financial_Statements!K49</f>
        <v>-266666.66666666669</v>
      </c>
      <c r="L221" s="4">
        <f>R_Financial_Statements!L47+R_Financial_Statements!L49</f>
        <v>-266666.66666666669</v>
      </c>
      <c r="M221" s="4">
        <f>R_Financial_Statements!M47+R_Financial_Statements!M49</f>
        <v>-266666.66666666669</v>
      </c>
      <c r="N221" s="4">
        <f>R_Financial_Statements!N47+R_Financial_Statements!N49</f>
        <v>-266666.66666666669</v>
      </c>
      <c r="O221" s="4">
        <f>R_Financial_Statements!O47+R_Financial_Statements!O49</f>
        <v>-266666.66666666669</v>
      </c>
      <c r="P221" s="4">
        <f>R_Financial_Statements!P47+R_Financial_Statements!P49</f>
        <v>-266666.66666666669</v>
      </c>
      <c r="R221" s="1" t="b">
        <f>ABS(SUM(E221:P221)+SUM(E152:P152)-C150)&lt;D_Assumptions!$D$89</f>
        <v>1</v>
      </c>
    </row>
    <row r="222" spans="2:18" ht="15" thickTop="1" x14ac:dyDescent="0.35">
      <c r="B222" s="54" t="s">
        <v>206</v>
      </c>
      <c r="C222" s="54" t="s">
        <v>13</v>
      </c>
      <c r="D222" s="55">
        <f>D_Assumptions!D85</f>
        <v>0</v>
      </c>
      <c r="E222" s="55">
        <f>SUM(E220:E221)</f>
        <v>0</v>
      </c>
      <c r="F222" s="55">
        <f t="shared" ref="F222" si="185">SUM(F220:F221)</f>
        <v>16000000</v>
      </c>
      <c r="G222" s="55">
        <f t="shared" ref="G222" si="186">SUM(G220:G221)</f>
        <v>15733333.333333334</v>
      </c>
      <c r="H222" s="55">
        <f t="shared" ref="H222" si="187">SUM(H220:H221)</f>
        <v>15466666.666666668</v>
      </c>
      <c r="I222" s="55">
        <f>SUM(I220:I221)</f>
        <v>15200000.000000002</v>
      </c>
      <c r="J222" s="55">
        <f t="shared" ref="J222" si="188">SUM(J220:J221)</f>
        <v>14933333.333333336</v>
      </c>
      <c r="K222" s="55">
        <f t="shared" ref="K222" si="189">SUM(K220:K221)</f>
        <v>14666666.66666667</v>
      </c>
      <c r="L222" s="55">
        <f t="shared" ref="L222" si="190">SUM(L220:L221)</f>
        <v>14400000.000000004</v>
      </c>
      <c r="M222" s="55">
        <f t="shared" ref="M222" si="191">SUM(M220:M221)</f>
        <v>14133333.333333338</v>
      </c>
      <c r="N222" s="55">
        <f t="shared" ref="N222" si="192">SUM(N220:N221)</f>
        <v>13866666.666666672</v>
      </c>
      <c r="O222" s="55">
        <f t="shared" ref="O222" si="193">SUM(O220:O221)</f>
        <v>13600000.000000006</v>
      </c>
      <c r="P222" s="55">
        <f t="shared" ref="P222" si="194">SUM(P220:P221)</f>
        <v>13333333.33333334</v>
      </c>
    </row>
  </sheetData>
  <conditionalFormatting sqref="R9:R18">
    <cfRule type="cellIs" dxfId="53" priority="37" operator="equal">
      <formula>FALSE</formula>
    </cfRule>
    <cfRule type="cellIs" dxfId="52" priority="38" operator="equal">
      <formula>TRUE</formula>
    </cfRule>
  </conditionalFormatting>
  <conditionalFormatting sqref="R35:R44">
    <cfRule type="cellIs" dxfId="51" priority="35" operator="equal">
      <formula>FALSE</formula>
    </cfRule>
    <cfRule type="cellIs" dxfId="50" priority="36" operator="equal">
      <formula>TRUE</formula>
    </cfRule>
  </conditionalFormatting>
  <conditionalFormatting sqref="R47:R56">
    <cfRule type="cellIs" dxfId="49" priority="33" operator="equal">
      <formula>FALSE</formula>
    </cfRule>
    <cfRule type="cellIs" dxfId="48" priority="34" operator="equal">
      <formula>TRUE</formula>
    </cfRule>
  </conditionalFormatting>
  <conditionalFormatting sqref="R62:R71">
    <cfRule type="cellIs" dxfId="47" priority="31" operator="equal">
      <formula>FALSE</formula>
    </cfRule>
    <cfRule type="cellIs" dxfId="46" priority="32" operator="equal">
      <formula>TRUE</formula>
    </cfRule>
  </conditionalFormatting>
  <conditionalFormatting sqref="R75">
    <cfRule type="cellIs" dxfId="45" priority="29" operator="equal">
      <formula>FALSE</formula>
    </cfRule>
    <cfRule type="cellIs" dxfId="44" priority="30" operator="equal">
      <formula>TRUE</formula>
    </cfRule>
  </conditionalFormatting>
  <conditionalFormatting sqref="R80">
    <cfRule type="cellIs" dxfId="43" priority="27" operator="equal">
      <formula>FALSE</formula>
    </cfRule>
    <cfRule type="cellIs" dxfId="42" priority="28" operator="equal">
      <formula>TRUE</formula>
    </cfRule>
  </conditionalFormatting>
  <conditionalFormatting sqref="R109:R118">
    <cfRule type="cellIs" dxfId="41" priority="23" operator="equal">
      <formula>FALSE</formula>
    </cfRule>
    <cfRule type="cellIs" dxfId="40" priority="24" operator="equal">
      <formula>TRUE</formula>
    </cfRule>
  </conditionalFormatting>
  <conditionalFormatting sqref="R123:R132">
    <cfRule type="cellIs" dxfId="39" priority="21" operator="equal">
      <formula>FALSE</formula>
    </cfRule>
    <cfRule type="cellIs" dxfId="38" priority="22" operator="equal">
      <formula>TRUE</formula>
    </cfRule>
  </conditionalFormatting>
  <conditionalFormatting sqref="R167">
    <cfRule type="cellIs" dxfId="37" priority="19" operator="equal">
      <formula>FALSE</formula>
    </cfRule>
    <cfRule type="cellIs" dxfId="36" priority="20" operator="equal">
      <formula>TRUE</formula>
    </cfRule>
  </conditionalFormatting>
  <conditionalFormatting sqref="R166">
    <cfRule type="cellIs" dxfId="35" priority="17" operator="equal">
      <formula>FALSE</formula>
    </cfRule>
    <cfRule type="cellIs" dxfId="34" priority="18" operator="equal">
      <formula>TRUE</formula>
    </cfRule>
  </conditionalFormatting>
  <conditionalFormatting sqref="R182">
    <cfRule type="cellIs" dxfId="33" priority="15" operator="equal">
      <formula>FALSE</formula>
    </cfRule>
    <cfRule type="cellIs" dxfId="32" priority="16" operator="equal">
      <formula>TRUE</formula>
    </cfRule>
  </conditionalFormatting>
  <conditionalFormatting sqref="R181">
    <cfRule type="cellIs" dxfId="31" priority="13" operator="equal">
      <formula>FALSE</formula>
    </cfRule>
    <cfRule type="cellIs" dxfId="30" priority="14" operator="equal">
      <formula>TRUE</formula>
    </cfRule>
  </conditionalFormatting>
  <conditionalFormatting sqref="R186">
    <cfRule type="cellIs" dxfId="29" priority="11" operator="equal">
      <formula>FALSE</formula>
    </cfRule>
    <cfRule type="cellIs" dxfId="28" priority="12" operator="equal">
      <formula>TRUE</formula>
    </cfRule>
  </conditionalFormatting>
  <conditionalFormatting sqref="R203">
    <cfRule type="cellIs" dxfId="27" priority="9" operator="equal">
      <formula>FALSE</formula>
    </cfRule>
    <cfRule type="cellIs" dxfId="26" priority="10" operator="equal">
      <formula>TRUE</formula>
    </cfRule>
  </conditionalFormatting>
  <conditionalFormatting sqref="R211:R212">
    <cfRule type="cellIs" dxfId="25" priority="7" operator="equal">
      <formula>FALSE</formula>
    </cfRule>
    <cfRule type="cellIs" dxfId="24" priority="8" operator="equal">
      <formula>TRUE</formula>
    </cfRule>
  </conditionalFormatting>
  <conditionalFormatting sqref="R221">
    <cfRule type="cellIs" dxfId="23" priority="5" operator="equal">
      <formula>FALSE</formula>
    </cfRule>
    <cfRule type="cellIs" dxfId="22" priority="6" operator="equal">
      <formula>TRUE</formula>
    </cfRule>
  </conditionalFormatting>
  <conditionalFormatting sqref="D1">
    <cfRule type="cellIs" dxfId="21" priority="3" operator="equal">
      <formula>FALSE</formula>
    </cfRule>
    <cfRule type="cellIs" dxfId="20" priority="4" operator="equal">
      <formula>TRUE</formula>
    </cfRule>
  </conditionalFormatting>
  <conditionalFormatting sqref="R81:R89">
    <cfRule type="cellIs" dxfId="19" priority="1" operator="equal">
      <formula>FALSE</formula>
    </cfRule>
    <cfRule type="cellIs" dxfId="18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102"/>
  <sheetViews>
    <sheetView topLeftCell="A65" workbookViewId="0">
      <selection activeCell="B84" sqref="B84"/>
    </sheetView>
  </sheetViews>
  <sheetFormatPr baseColWidth="10" defaultRowHeight="14.5" x14ac:dyDescent="0.35"/>
  <cols>
    <col min="2" max="2" width="24" bestFit="1" customWidth="1"/>
    <col min="3" max="3" width="16" bestFit="1" customWidth="1"/>
    <col min="4" max="4" width="16.08984375" bestFit="1" customWidth="1"/>
    <col min="5" max="5" width="12.1796875" bestFit="1" customWidth="1"/>
    <col min="6" max="6" width="11.1796875" bestFit="1" customWidth="1"/>
    <col min="7" max="7" width="12.26953125" bestFit="1" customWidth="1"/>
  </cols>
  <sheetData>
    <row r="1" spans="2:16" x14ac:dyDescent="0.35">
      <c r="B1" s="1" t="s">
        <v>80</v>
      </c>
      <c r="C1" s="1"/>
      <c r="D1" s="1" t="b">
        <f>D88</f>
        <v>1</v>
      </c>
    </row>
    <row r="3" spans="2:16" x14ac:dyDescent="0.35">
      <c r="B3" s="14" t="s">
        <v>0</v>
      </c>
      <c r="C3" s="5"/>
      <c r="D3" s="5"/>
    </row>
    <row r="4" spans="2:16" x14ac:dyDescent="0.35">
      <c r="B4" t="s">
        <v>1</v>
      </c>
      <c r="D4" s="13" t="s">
        <v>2</v>
      </c>
    </row>
    <row r="5" spans="2:16" x14ac:dyDescent="0.35">
      <c r="B5" t="s">
        <v>3</v>
      </c>
      <c r="D5" s="10">
        <v>44197</v>
      </c>
    </row>
    <row r="6" spans="2:16" x14ac:dyDescent="0.35">
      <c r="B6" t="s">
        <v>4</v>
      </c>
      <c r="D6" s="10">
        <v>44561</v>
      </c>
    </row>
    <row r="8" spans="2:16" x14ac:dyDescent="0.35">
      <c r="B8" s="14" t="s">
        <v>5</v>
      </c>
      <c r="C8" s="5"/>
      <c r="D8" s="5"/>
    </row>
    <row r="9" spans="2:16" x14ac:dyDescent="0.35">
      <c r="B9" t="s">
        <v>7</v>
      </c>
      <c r="C9" t="s">
        <v>10</v>
      </c>
      <c r="D9" s="15">
        <v>0.1</v>
      </c>
    </row>
    <row r="10" spans="2:16" x14ac:dyDescent="0.35">
      <c r="B10" t="s">
        <v>8</v>
      </c>
      <c r="C10" t="s">
        <v>11</v>
      </c>
      <c r="D10" s="11">
        <v>0.1</v>
      </c>
    </row>
    <row r="11" spans="2:16" x14ac:dyDescent="0.35">
      <c r="B11" t="s">
        <v>111</v>
      </c>
      <c r="C11" t="s">
        <v>9</v>
      </c>
      <c r="D11" s="21">
        <v>1</v>
      </c>
    </row>
    <row r="12" spans="2:16" x14ac:dyDescent="0.35">
      <c r="D12" s="16"/>
    </row>
    <row r="13" spans="2:16" x14ac:dyDescent="0.35">
      <c r="B13" s="7"/>
      <c r="C13" s="7"/>
      <c r="D13" s="7"/>
      <c r="E13" s="8" t="s">
        <v>17</v>
      </c>
      <c r="F13" s="7" t="s">
        <v>18</v>
      </c>
      <c r="G13" s="7" t="s">
        <v>88</v>
      </c>
      <c r="H13" s="7" t="s">
        <v>19</v>
      </c>
      <c r="I13" s="7" t="s">
        <v>20</v>
      </c>
      <c r="J13" s="7" t="s">
        <v>21</v>
      </c>
      <c r="K13" s="7" t="s">
        <v>22</v>
      </c>
      <c r="L13" s="7" t="s">
        <v>23</v>
      </c>
      <c r="M13" s="7" t="s">
        <v>25</v>
      </c>
      <c r="N13" s="7" t="s">
        <v>24</v>
      </c>
      <c r="O13" s="7" t="s">
        <v>26</v>
      </c>
      <c r="P13" s="7" t="s">
        <v>27</v>
      </c>
    </row>
    <row r="14" spans="2:16" x14ac:dyDescent="0.35">
      <c r="B14" s="6" t="s">
        <v>81</v>
      </c>
      <c r="C14" s="6" t="s">
        <v>6</v>
      </c>
      <c r="D14" s="6"/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0.5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6" spans="2:16" x14ac:dyDescent="0.35">
      <c r="B16" s="14" t="s">
        <v>38</v>
      </c>
      <c r="C16" s="5"/>
      <c r="D16" s="5"/>
    </row>
    <row r="17" spans="1:16" x14ac:dyDescent="0.35">
      <c r="B17" t="s">
        <v>12</v>
      </c>
      <c r="C17" t="s">
        <v>14</v>
      </c>
      <c r="D17" s="12">
        <v>500000</v>
      </c>
    </row>
    <row r="18" spans="1:16" x14ac:dyDescent="0.35">
      <c r="B18" t="s">
        <v>15</v>
      </c>
      <c r="C18" t="s">
        <v>6</v>
      </c>
      <c r="D18" s="11">
        <v>0</v>
      </c>
    </row>
    <row r="19" spans="1:16" x14ac:dyDescent="0.35">
      <c r="D19" s="16"/>
    </row>
    <row r="20" spans="1:16" x14ac:dyDescent="0.35">
      <c r="B20" s="1" t="s">
        <v>39</v>
      </c>
      <c r="D20" s="3"/>
    </row>
    <row r="21" spans="1:16" x14ac:dyDescent="0.35">
      <c r="B21" s="7"/>
      <c r="C21" s="7"/>
      <c r="D21" s="7"/>
      <c r="E21" s="8" t="s">
        <v>17</v>
      </c>
      <c r="F21" s="7" t="s">
        <v>18</v>
      </c>
      <c r="G21" s="7" t="s">
        <v>88</v>
      </c>
      <c r="H21" s="7" t="s">
        <v>19</v>
      </c>
      <c r="I21" s="7" t="s">
        <v>20</v>
      </c>
      <c r="J21" s="7" t="s">
        <v>21</v>
      </c>
      <c r="K21" s="7" t="s">
        <v>22</v>
      </c>
      <c r="L21" s="7" t="s">
        <v>23</v>
      </c>
      <c r="M21" s="7" t="s">
        <v>25</v>
      </c>
      <c r="N21" s="7" t="s">
        <v>24</v>
      </c>
      <c r="O21" s="7" t="s">
        <v>26</v>
      </c>
      <c r="P21" s="7" t="s">
        <v>27</v>
      </c>
    </row>
    <row r="22" spans="1:16" x14ac:dyDescent="0.35">
      <c r="B22" s="6" t="s">
        <v>16</v>
      </c>
      <c r="C22" s="6" t="s">
        <v>13</v>
      </c>
      <c r="D22" s="6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</row>
    <row r="24" spans="1:16" x14ac:dyDescent="0.35">
      <c r="B24" s="14" t="s">
        <v>28</v>
      </c>
      <c r="C24" s="5"/>
      <c r="D24" s="5"/>
    </row>
    <row r="25" spans="1:16" x14ac:dyDescent="0.35">
      <c r="B25" t="s">
        <v>32</v>
      </c>
      <c r="C25" t="s">
        <v>33</v>
      </c>
      <c r="D25" s="17">
        <v>44255</v>
      </c>
    </row>
    <row r="26" spans="1:16" x14ac:dyDescent="0.35">
      <c r="A26" s="1"/>
    </row>
    <row r="27" spans="1:16" x14ac:dyDescent="0.35">
      <c r="B27" s="7" t="s">
        <v>29</v>
      </c>
      <c r="C27" s="7" t="s">
        <v>30</v>
      </c>
      <c r="D27" s="7" t="s">
        <v>31</v>
      </c>
    </row>
    <row r="28" spans="1:16" x14ac:dyDescent="0.35">
      <c r="B28">
        <v>1</v>
      </c>
      <c r="C28" s="9">
        <v>0</v>
      </c>
      <c r="D28" s="9">
        <v>0</v>
      </c>
    </row>
    <row r="29" spans="1:16" x14ac:dyDescent="0.35">
      <c r="B29">
        <v>2</v>
      </c>
      <c r="C29" s="12">
        <v>50000000.009999998</v>
      </c>
      <c r="D29" s="12">
        <v>5000000</v>
      </c>
    </row>
    <row r="30" spans="1:16" x14ac:dyDescent="0.35">
      <c r="B30">
        <v>3</v>
      </c>
      <c r="C30" s="12">
        <v>100000000.01000001</v>
      </c>
      <c r="D30" s="12">
        <v>10000000</v>
      </c>
    </row>
    <row r="31" spans="1:16" x14ac:dyDescent="0.35">
      <c r="B31" s="5">
        <v>4</v>
      </c>
      <c r="C31" s="12">
        <v>150000000.00999999</v>
      </c>
      <c r="D31" s="12">
        <v>20000000</v>
      </c>
    </row>
    <row r="33" spans="2:9" x14ac:dyDescent="0.35">
      <c r="B33" s="14" t="s">
        <v>40</v>
      </c>
      <c r="C33" s="5"/>
      <c r="D33" s="5"/>
    </row>
    <row r="34" spans="2:9" x14ac:dyDescent="0.35">
      <c r="B34" t="s">
        <v>35</v>
      </c>
      <c r="C34" t="s">
        <v>37</v>
      </c>
      <c r="D34" s="21">
        <v>3</v>
      </c>
    </row>
    <row r="35" spans="2:9" x14ac:dyDescent="0.35">
      <c r="B35" t="s">
        <v>36</v>
      </c>
      <c r="C35" t="s">
        <v>37</v>
      </c>
      <c r="D35" s="21">
        <v>5</v>
      </c>
    </row>
    <row r="37" spans="2:9" x14ac:dyDescent="0.35">
      <c r="B37" t="s">
        <v>41</v>
      </c>
      <c r="D37" s="18" t="s">
        <v>42</v>
      </c>
    </row>
    <row r="39" spans="2:9" x14ac:dyDescent="0.35">
      <c r="B39" s="14" t="s">
        <v>59</v>
      </c>
      <c r="C39" s="14"/>
      <c r="D39" s="14"/>
      <c r="E39" s="5"/>
      <c r="F39" s="5"/>
      <c r="G39" s="5"/>
      <c r="H39" s="5"/>
      <c r="I39" s="5"/>
    </row>
    <row r="40" spans="2:9" x14ac:dyDescent="0.35">
      <c r="B40" s="7" t="s">
        <v>43</v>
      </c>
      <c r="C40" s="7"/>
      <c r="D40" s="7" t="s">
        <v>44</v>
      </c>
      <c r="E40" s="7" t="s">
        <v>45</v>
      </c>
      <c r="F40" s="7" t="s">
        <v>46</v>
      </c>
      <c r="G40" s="7" t="s">
        <v>47</v>
      </c>
      <c r="H40" s="6"/>
      <c r="I40" s="25" t="s">
        <v>58</v>
      </c>
    </row>
    <row r="41" spans="2:9" x14ac:dyDescent="0.35">
      <c r="B41" t="s">
        <v>48</v>
      </c>
      <c r="C41" t="s">
        <v>13</v>
      </c>
      <c r="D41" s="21">
        <v>2890976</v>
      </c>
      <c r="E41" s="21">
        <v>3395956</v>
      </c>
      <c r="F41" s="21">
        <v>1304539</v>
      </c>
      <c r="G41" s="22">
        <f>SUM(D41:F41)</f>
        <v>7591471</v>
      </c>
      <c r="I41" s="21" t="b">
        <v>1</v>
      </c>
    </row>
    <row r="42" spans="2:9" x14ac:dyDescent="0.35">
      <c r="B42" t="s">
        <v>49</v>
      </c>
      <c r="C42" t="s">
        <v>13</v>
      </c>
      <c r="D42" s="21">
        <v>8436341</v>
      </c>
      <c r="E42" s="21">
        <v>8916972</v>
      </c>
      <c r="F42" s="21">
        <v>3600813</v>
      </c>
      <c r="G42" s="22">
        <f t="shared" ref="G42:G50" si="0">SUM(D42:F42)</f>
        <v>20954126</v>
      </c>
      <c r="I42" s="21" t="b">
        <v>1</v>
      </c>
    </row>
    <row r="43" spans="2:9" x14ac:dyDescent="0.35">
      <c r="B43" t="s">
        <v>50</v>
      </c>
      <c r="C43" t="s">
        <v>13</v>
      </c>
      <c r="D43" s="21">
        <v>7078921</v>
      </c>
      <c r="E43" s="21">
        <v>6821887</v>
      </c>
      <c r="F43" s="21">
        <v>2884417</v>
      </c>
      <c r="G43" s="22">
        <f t="shared" si="0"/>
        <v>16785225</v>
      </c>
      <c r="I43" s="21" t="b">
        <v>1</v>
      </c>
    </row>
    <row r="44" spans="2:9" x14ac:dyDescent="0.35">
      <c r="B44" t="s">
        <v>51</v>
      </c>
      <c r="C44" t="s">
        <v>13</v>
      </c>
      <c r="D44" s="21">
        <v>9543584</v>
      </c>
      <c r="E44" s="21">
        <v>12290519</v>
      </c>
      <c r="F44" s="21">
        <v>4530576</v>
      </c>
      <c r="G44" s="22">
        <f t="shared" si="0"/>
        <v>26364679</v>
      </c>
      <c r="I44" s="21" t="b">
        <v>1</v>
      </c>
    </row>
    <row r="45" spans="2:9" x14ac:dyDescent="0.35">
      <c r="B45" t="s">
        <v>52</v>
      </c>
      <c r="C45" t="s">
        <v>13</v>
      </c>
      <c r="D45" s="21">
        <v>10637867</v>
      </c>
      <c r="E45" s="21">
        <v>11845677</v>
      </c>
      <c r="F45" s="21">
        <v>4665336</v>
      </c>
      <c r="G45" s="22">
        <f t="shared" si="0"/>
        <v>27148880</v>
      </c>
      <c r="I45" s="21" t="b">
        <v>1</v>
      </c>
    </row>
    <row r="46" spans="2:9" x14ac:dyDescent="0.35">
      <c r="B46" t="s">
        <v>53</v>
      </c>
      <c r="C46" t="s">
        <v>13</v>
      </c>
      <c r="D46" s="21">
        <v>16935098</v>
      </c>
      <c r="E46" s="21">
        <v>19125335</v>
      </c>
      <c r="F46" s="21">
        <v>7482540</v>
      </c>
      <c r="G46" s="22">
        <f t="shared" si="0"/>
        <v>43542973</v>
      </c>
      <c r="I46" s="9" t="b">
        <v>1</v>
      </c>
    </row>
    <row r="47" spans="2:9" x14ac:dyDescent="0.35">
      <c r="B47" t="s">
        <v>54</v>
      </c>
      <c r="C47" t="s">
        <v>13</v>
      </c>
      <c r="D47" s="21">
        <v>4193313</v>
      </c>
      <c r="E47" s="21">
        <v>5262673</v>
      </c>
      <c r="F47" s="21">
        <v>1962117</v>
      </c>
      <c r="G47" s="22">
        <f t="shared" si="0"/>
        <v>11418103</v>
      </c>
      <c r="I47" s="21" t="b">
        <v>1</v>
      </c>
    </row>
    <row r="48" spans="2:9" x14ac:dyDescent="0.35">
      <c r="B48" t="s">
        <v>55</v>
      </c>
      <c r="C48" t="s">
        <v>13</v>
      </c>
      <c r="D48" s="21">
        <v>9373739</v>
      </c>
      <c r="E48" s="21">
        <v>5521378</v>
      </c>
      <c r="F48" s="21">
        <v>3090737</v>
      </c>
      <c r="G48" s="22">
        <f t="shared" si="0"/>
        <v>17985854</v>
      </c>
      <c r="I48" s="21" t="b">
        <v>1</v>
      </c>
    </row>
    <row r="49" spans="2:17" x14ac:dyDescent="0.35">
      <c r="B49" t="s">
        <v>56</v>
      </c>
      <c r="C49" t="s">
        <v>13</v>
      </c>
      <c r="D49" s="21">
        <v>6011073</v>
      </c>
      <c r="E49" s="21">
        <v>7906117</v>
      </c>
      <c r="F49" s="21">
        <v>2887817</v>
      </c>
      <c r="G49" s="22">
        <f t="shared" si="0"/>
        <v>16805007</v>
      </c>
      <c r="I49" s="21" t="b">
        <v>1</v>
      </c>
    </row>
    <row r="50" spans="2:17" x14ac:dyDescent="0.35">
      <c r="B50" s="5" t="s">
        <v>57</v>
      </c>
      <c r="C50" s="5" t="s">
        <v>13</v>
      </c>
      <c r="D50" s="21">
        <v>3928424</v>
      </c>
      <c r="E50" s="21">
        <v>3068321</v>
      </c>
      <c r="F50" s="21">
        <v>1451825</v>
      </c>
      <c r="G50" s="23">
        <f t="shared" si="0"/>
        <v>8448570</v>
      </c>
      <c r="H50" s="5"/>
      <c r="I50" s="9" t="b">
        <v>1</v>
      </c>
    </row>
    <row r="52" spans="2:17" x14ac:dyDescent="0.35">
      <c r="B52" s="1" t="s">
        <v>60</v>
      </c>
      <c r="H52" s="5"/>
      <c r="P52" s="5"/>
    </row>
    <row r="53" spans="2:17" x14ac:dyDescent="0.35">
      <c r="B53" s="7" t="s">
        <v>43</v>
      </c>
      <c r="C53" s="7"/>
      <c r="D53" s="7"/>
      <c r="E53" s="8" t="s">
        <v>17</v>
      </c>
      <c r="F53" s="7" t="s">
        <v>18</v>
      </c>
      <c r="G53" s="7" t="s">
        <v>19</v>
      </c>
      <c r="H53" s="24" t="s">
        <v>88</v>
      </c>
      <c r="I53" s="7" t="s">
        <v>20</v>
      </c>
      <c r="J53" s="7" t="s">
        <v>21</v>
      </c>
      <c r="K53" s="7" t="s">
        <v>22</v>
      </c>
      <c r="L53" s="7" t="s">
        <v>23</v>
      </c>
      <c r="M53" s="7" t="s">
        <v>25</v>
      </c>
      <c r="N53" s="7" t="s">
        <v>24</v>
      </c>
      <c r="O53" s="7" t="s">
        <v>26</v>
      </c>
      <c r="P53" s="7" t="s">
        <v>27</v>
      </c>
      <c r="Q53" s="25" t="s">
        <v>61</v>
      </c>
    </row>
    <row r="54" spans="2:17" x14ac:dyDescent="0.35">
      <c r="B54" t="s">
        <v>48</v>
      </c>
      <c r="C54" t="s">
        <v>6</v>
      </c>
      <c r="E54" s="11"/>
      <c r="F54" s="11"/>
      <c r="G54" s="11"/>
      <c r="H54" s="11"/>
      <c r="I54" s="11"/>
      <c r="J54" s="11"/>
      <c r="K54" s="11">
        <v>0.1</v>
      </c>
      <c r="L54" s="11">
        <v>0.2</v>
      </c>
      <c r="M54" s="11">
        <v>0.25</v>
      </c>
      <c r="N54" s="11">
        <v>0.25</v>
      </c>
      <c r="O54" s="11">
        <v>0.2</v>
      </c>
      <c r="P54" s="11"/>
      <c r="Q54" s="26">
        <f t="shared" ref="Q54:Q63" si="1">SUM(E54:O54)</f>
        <v>1</v>
      </c>
    </row>
    <row r="55" spans="2:17" x14ac:dyDescent="0.35">
      <c r="B55" t="s">
        <v>49</v>
      </c>
      <c r="C55" t="s">
        <v>6</v>
      </c>
      <c r="E55" s="11"/>
      <c r="F55" s="11">
        <v>0.05</v>
      </c>
      <c r="G55" s="11">
        <v>0.1</v>
      </c>
      <c r="H55" s="11">
        <v>0.15</v>
      </c>
      <c r="I55" s="11">
        <v>0.2</v>
      </c>
      <c r="J55" s="11">
        <v>0.2</v>
      </c>
      <c r="K55" s="11">
        <v>0.2</v>
      </c>
      <c r="L55" s="11">
        <v>0.1</v>
      </c>
      <c r="M55" s="11"/>
      <c r="N55" s="11"/>
      <c r="O55" s="11"/>
      <c r="P55" s="11"/>
      <c r="Q55" s="26">
        <f t="shared" si="1"/>
        <v>0.99999999999999989</v>
      </c>
    </row>
    <row r="56" spans="2:17" x14ac:dyDescent="0.35">
      <c r="B56" t="s">
        <v>50</v>
      </c>
      <c r="C56" t="s">
        <v>6</v>
      </c>
      <c r="E56" s="11"/>
      <c r="F56" s="11"/>
      <c r="G56" s="11"/>
      <c r="H56" s="11">
        <v>0.05</v>
      </c>
      <c r="I56" s="11">
        <v>0.1</v>
      </c>
      <c r="J56" s="11">
        <v>0.15</v>
      </c>
      <c r="K56" s="11">
        <v>0.2</v>
      </c>
      <c r="L56" s="11">
        <v>0.2</v>
      </c>
      <c r="M56" s="11">
        <v>0.2</v>
      </c>
      <c r="N56" s="11">
        <v>0.1</v>
      </c>
      <c r="O56" s="11"/>
      <c r="P56" s="11"/>
      <c r="Q56" s="26">
        <f t="shared" si="1"/>
        <v>0.99999999999999989</v>
      </c>
    </row>
    <row r="57" spans="2:17" x14ac:dyDescent="0.35">
      <c r="B57" t="s">
        <v>51</v>
      </c>
      <c r="C57" t="s">
        <v>6</v>
      </c>
      <c r="E57" s="11"/>
      <c r="F57" s="11"/>
      <c r="G57" s="11"/>
      <c r="H57" s="11"/>
      <c r="I57" s="11">
        <v>0.05</v>
      </c>
      <c r="J57" s="11">
        <v>0.1</v>
      </c>
      <c r="K57" s="11">
        <v>0.15</v>
      </c>
      <c r="L57" s="11">
        <v>0.2</v>
      </c>
      <c r="M57" s="11">
        <v>0.2</v>
      </c>
      <c r="N57" s="11">
        <v>0.2</v>
      </c>
      <c r="O57" s="11">
        <v>0.1</v>
      </c>
      <c r="P57" s="11"/>
      <c r="Q57" s="26">
        <f t="shared" si="1"/>
        <v>0.99999999999999989</v>
      </c>
    </row>
    <row r="58" spans="2:17" x14ac:dyDescent="0.35">
      <c r="B58" t="s">
        <v>52</v>
      </c>
      <c r="C58" t="s">
        <v>6</v>
      </c>
      <c r="E58" s="11"/>
      <c r="F58" s="11"/>
      <c r="G58" s="11">
        <v>0.05</v>
      </c>
      <c r="H58" s="11">
        <v>0.1</v>
      </c>
      <c r="I58" s="11">
        <v>0.15</v>
      </c>
      <c r="J58" s="11">
        <v>0.2</v>
      </c>
      <c r="K58" s="11">
        <v>0.2</v>
      </c>
      <c r="L58" s="11">
        <v>0.2</v>
      </c>
      <c r="M58" s="11">
        <v>0.1</v>
      </c>
      <c r="N58" s="11"/>
      <c r="O58" s="11"/>
      <c r="P58" s="11"/>
      <c r="Q58" s="26">
        <f t="shared" si="1"/>
        <v>0.99999999999999989</v>
      </c>
    </row>
    <row r="59" spans="2:17" x14ac:dyDescent="0.35">
      <c r="B59" t="s">
        <v>53</v>
      </c>
      <c r="C59" t="s">
        <v>6</v>
      </c>
      <c r="E59" s="11"/>
      <c r="F59" s="11">
        <v>0.05</v>
      </c>
      <c r="G59" s="11">
        <v>0.08</v>
      </c>
      <c r="H59" s="11">
        <v>0.1</v>
      </c>
      <c r="I59" s="11">
        <v>0.15</v>
      </c>
      <c r="J59" s="11">
        <v>0.15</v>
      </c>
      <c r="K59" s="11">
        <v>0.15</v>
      </c>
      <c r="L59" s="11">
        <v>0.15</v>
      </c>
      <c r="M59" s="11">
        <v>0.15</v>
      </c>
      <c r="N59" s="11">
        <v>0.02</v>
      </c>
      <c r="O59" s="11"/>
      <c r="P59" s="11"/>
      <c r="Q59" s="26">
        <f t="shared" si="1"/>
        <v>1</v>
      </c>
    </row>
    <row r="60" spans="2:17" x14ac:dyDescent="0.35">
      <c r="B60" t="s">
        <v>54</v>
      </c>
      <c r="C60" t="s">
        <v>6</v>
      </c>
      <c r="E60" s="11"/>
      <c r="F60" s="11"/>
      <c r="G60" s="11"/>
      <c r="H60" s="11"/>
      <c r="I60" s="11"/>
      <c r="J60" s="11"/>
      <c r="K60" s="11">
        <v>0.1</v>
      </c>
      <c r="L60" s="11">
        <v>0.2</v>
      </c>
      <c r="M60" s="11">
        <v>0.25</v>
      </c>
      <c r="N60" s="11">
        <v>0.25</v>
      </c>
      <c r="O60" s="11">
        <v>0.2</v>
      </c>
      <c r="P60" s="11"/>
      <c r="Q60" s="26">
        <f t="shared" si="1"/>
        <v>1</v>
      </c>
    </row>
    <row r="61" spans="2:17" x14ac:dyDescent="0.35">
      <c r="B61" t="s">
        <v>55</v>
      </c>
      <c r="C61" t="s">
        <v>6</v>
      </c>
      <c r="E61" s="11"/>
      <c r="F61" s="11"/>
      <c r="G61" s="11"/>
      <c r="H61" s="11">
        <v>0.05</v>
      </c>
      <c r="I61" s="11">
        <v>0.1</v>
      </c>
      <c r="J61" s="11">
        <v>0.15</v>
      </c>
      <c r="K61" s="11">
        <v>0.2</v>
      </c>
      <c r="L61" s="11">
        <v>0.2</v>
      </c>
      <c r="M61" s="11">
        <v>0.2</v>
      </c>
      <c r="N61" s="11">
        <v>0.1</v>
      </c>
      <c r="O61" s="11"/>
      <c r="P61" s="11"/>
      <c r="Q61" s="26">
        <f t="shared" si="1"/>
        <v>0.99999999999999989</v>
      </c>
    </row>
    <row r="62" spans="2:17" x14ac:dyDescent="0.35">
      <c r="B62" t="s">
        <v>56</v>
      </c>
      <c r="C62" t="s">
        <v>6</v>
      </c>
      <c r="E62" s="11"/>
      <c r="F62" s="11"/>
      <c r="G62" s="11"/>
      <c r="H62" s="11"/>
      <c r="I62" s="11">
        <v>0.05</v>
      </c>
      <c r="J62" s="11">
        <v>0.1</v>
      </c>
      <c r="K62" s="11">
        <v>0.15</v>
      </c>
      <c r="L62" s="11">
        <v>0.2</v>
      </c>
      <c r="M62" s="11">
        <v>0.2</v>
      </c>
      <c r="N62" s="11">
        <v>0.2</v>
      </c>
      <c r="O62" s="11">
        <v>0.1</v>
      </c>
      <c r="P62" s="11"/>
      <c r="Q62" s="26">
        <f t="shared" si="1"/>
        <v>0.99999999999999989</v>
      </c>
    </row>
    <row r="63" spans="2:17" x14ac:dyDescent="0.35">
      <c r="B63" s="5" t="s">
        <v>57</v>
      </c>
      <c r="C63" s="5" t="s">
        <v>6</v>
      </c>
      <c r="D63" s="5"/>
      <c r="E63" s="11"/>
      <c r="F63" s="11">
        <v>0.1</v>
      </c>
      <c r="G63" s="11">
        <v>0.2</v>
      </c>
      <c r="H63" s="11">
        <v>0.25</v>
      </c>
      <c r="I63" s="11">
        <v>0.25</v>
      </c>
      <c r="J63" s="11">
        <v>0.2</v>
      </c>
      <c r="K63" s="11"/>
      <c r="L63" s="11"/>
      <c r="M63" s="11"/>
      <c r="N63" s="11"/>
      <c r="O63" s="11"/>
      <c r="P63" s="11"/>
      <c r="Q63" s="27">
        <f t="shared" si="1"/>
        <v>1</v>
      </c>
    </row>
    <row r="65" spans="2:4" x14ac:dyDescent="0.35">
      <c r="B65" s="14" t="s">
        <v>62</v>
      </c>
      <c r="C65" s="5"/>
      <c r="D65" s="5"/>
    </row>
    <row r="66" spans="2:4" x14ac:dyDescent="0.35">
      <c r="B66" t="s">
        <v>64</v>
      </c>
      <c r="C66" t="s">
        <v>13</v>
      </c>
      <c r="D66" s="32">
        <v>3600000</v>
      </c>
    </row>
    <row r="67" spans="2:4" x14ac:dyDescent="0.35">
      <c r="B67" t="s">
        <v>65</v>
      </c>
      <c r="C67" t="s">
        <v>13</v>
      </c>
      <c r="D67" s="12">
        <v>0</v>
      </c>
    </row>
    <row r="68" spans="2:4" x14ac:dyDescent="0.35">
      <c r="B68" t="s">
        <v>66</v>
      </c>
      <c r="C68" t="s">
        <v>13</v>
      </c>
      <c r="D68" s="12">
        <v>0</v>
      </c>
    </row>
    <row r="69" spans="2:4" x14ac:dyDescent="0.35">
      <c r="B69" t="s">
        <v>67</v>
      </c>
      <c r="C69" t="s">
        <v>13</v>
      </c>
      <c r="D69" s="12">
        <v>0</v>
      </c>
    </row>
    <row r="70" spans="2:4" x14ac:dyDescent="0.35">
      <c r="B70" t="s">
        <v>8</v>
      </c>
      <c r="C70" t="s">
        <v>13</v>
      </c>
      <c r="D70" s="12">
        <v>5000000</v>
      </c>
    </row>
    <row r="71" spans="2:4" x14ac:dyDescent="0.35">
      <c r="B71" s="5" t="s">
        <v>63</v>
      </c>
      <c r="C71" s="5" t="s">
        <v>13</v>
      </c>
      <c r="D71" s="12">
        <v>0</v>
      </c>
    </row>
    <row r="72" spans="2:4" x14ac:dyDescent="0.35">
      <c r="B72" s="14" t="s">
        <v>47</v>
      </c>
      <c r="C72" s="14"/>
      <c r="D72" s="20">
        <f>SUM(D66:D71)</f>
        <v>8600000</v>
      </c>
    </row>
    <row r="74" spans="2:4" x14ac:dyDescent="0.35">
      <c r="B74" s="14" t="s">
        <v>69</v>
      </c>
      <c r="C74" s="5"/>
      <c r="D74" s="5"/>
    </row>
    <row r="76" spans="2:4" x14ac:dyDescent="0.35">
      <c r="B76" s="30" t="s">
        <v>70</v>
      </c>
      <c r="C76" s="5"/>
      <c r="D76" s="5"/>
    </row>
    <row r="77" spans="2:4" x14ac:dyDescent="0.35">
      <c r="B77" t="s">
        <v>71</v>
      </c>
      <c r="C77" t="s">
        <v>13</v>
      </c>
      <c r="D77" s="12">
        <v>1000000</v>
      </c>
    </row>
    <row r="78" spans="2:4" x14ac:dyDescent="0.35">
      <c r="B78" t="s">
        <v>72</v>
      </c>
      <c r="C78" t="s">
        <v>13</v>
      </c>
      <c r="D78" s="12">
        <v>5100000</v>
      </c>
    </row>
    <row r="79" spans="2:4" x14ac:dyDescent="0.35">
      <c r="B79" s="14" t="s">
        <v>47</v>
      </c>
      <c r="C79" s="14"/>
      <c r="D79" s="20">
        <f>SUM(D77:D78)</f>
        <v>6100000</v>
      </c>
    </row>
    <row r="81" spans="2:4" x14ac:dyDescent="0.35">
      <c r="B81" s="14" t="s">
        <v>73</v>
      </c>
      <c r="C81" s="5"/>
      <c r="D81" s="5"/>
    </row>
    <row r="82" spans="2:4" x14ac:dyDescent="0.35">
      <c r="B82" t="s">
        <v>74</v>
      </c>
      <c r="C82" t="s">
        <v>13</v>
      </c>
      <c r="D82" s="12">
        <v>0</v>
      </c>
    </row>
    <row r="83" spans="2:4" x14ac:dyDescent="0.35">
      <c r="B83" t="s">
        <v>75</v>
      </c>
      <c r="C83" t="s">
        <v>13</v>
      </c>
      <c r="D83" s="12">
        <v>0</v>
      </c>
    </row>
    <row r="84" spans="2:4" x14ac:dyDescent="0.35">
      <c r="B84" t="s">
        <v>76</v>
      </c>
      <c r="C84" t="s">
        <v>13</v>
      </c>
      <c r="D84" s="12">
        <v>2500000</v>
      </c>
    </row>
    <row r="85" spans="2:4" x14ac:dyDescent="0.35">
      <c r="B85" s="5" t="s">
        <v>77</v>
      </c>
      <c r="C85" s="5" t="s">
        <v>13</v>
      </c>
      <c r="D85" s="12">
        <v>0</v>
      </c>
    </row>
    <row r="86" spans="2:4" x14ac:dyDescent="0.35">
      <c r="B86" s="25" t="s">
        <v>47</v>
      </c>
      <c r="C86" s="7"/>
      <c r="D86" s="33">
        <f>SUM(D82:D85)</f>
        <v>2500000</v>
      </c>
    </row>
    <row r="88" spans="2:4" x14ac:dyDescent="0.35">
      <c r="B88" s="1" t="s">
        <v>78</v>
      </c>
      <c r="C88" s="1"/>
      <c r="D88" s="1" t="b">
        <f>ABS(D72-D79-D86)&lt;=D89</f>
        <v>1</v>
      </c>
    </row>
    <row r="89" spans="2:4" x14ac:dyDescent="0.35">
      <c r="B89" s="1" t="s">
        <v>79</v>
      </c>
      <c r="C89" s="1"/>
      <c r="D89" s="1">
        <v>0.01</v>
      </c>
    </row>
    <row r="90" spans="2:4" x14ac:dyDescent="0.35">
      <c r="B90" s="45"/>
      <c r="C90" s="45"/>
      <c r="D90" s="45"/>
    </row>
    <row r="91" spans="2:4" x14ac:dyDescent="0.35">
      <c r="B91" s="14" t="s">
        <v>116</v>
      </c>
      <c r="C91" s="5"/>
      <c r="D91" s="5"/>
    </row>
    <row r="92" spans="2:4" x14ac:dyDescent="0.35">
      <c r="B92" s="29" t="s">
        <v>117</v>
      </c>
      <c r="C92" t="s">
        <v>13</v>
      </c>
      <c r="D92" s="12">
        <v>12500000</v>
      </c>
    </row>
    <row r="93" spans="2:4" x14ac:dyDescent="0.35">
      <c r="B93" s="29" t="s">
        <v>120</v>
      </c>
      <c r="C93" t="s">
        <v>6</v>
      </c>
      <c r="D93" s="11">
        <v>0.03</v>
      </c>
    </row>
    <row r="95" spans="2:4" x14ac:dyDescent="0.35">
      <c r="B95" s="14" t="s">
        <v>118</v>
      </c>
      <c r="C95" s="14"/>
      <c r="D95" s="14"/>
    </row>
    <row r="96" spans="2:4" x14ac:dyDescent="0.35">
      <c r="B96" t="s">
        <v>119</v>
      </c>
      <c r="C96" t="s">
        <v>6</v>
      </c>
      <c r="D96" s="11">
        <v>0.8</v>
      </c>
    </row>
    <row r="97" spans="2:4" x14ac:dyDescent="0.35">
      <c r="B97" t="s">
        <v>120</v>
      </c>
      <c r="C97" t="s">
        <v>6</v>
      </c>
      <c r="D97" s="46">
        <v>2.5000000000000001E-2</v>
      </c>
    </row>
    <row r="98" spans="2:4" x14ac:dyDescent="0.35">
      <c r="B98" t="s">
        <v>121</v>
      </c>
      <c r="C98" t="s">
        <v>122</v>
      </c>
      <c r="D98" s="9">
        <v>60</v>
      </c>
    </row>
    <row r="100" spans="2:4" x14ac:dyDescent="0.35">
      <c r="B100" s="14" t="s">
        <v>136</v>
      </c>
      <c r="C100" s="5"/>
      <c r="D100" s="5"/>
    </row>
    <row r="101" spans="2:4" x14ac:dyDescent="0.35">
      <c r="B101" t="s">
        <v>137</v>
      </c>
      <c r="D101">
        <v>12</v>
      </c>
    </row>
    <row r="102" spans="2:4" x14ac:dyDescent="0.35">
      <c r="B102" t="s">
        <v>214</v>
      </c>
      <c r="D102">
        <v>365</v>
      </c>
    </row>
  </sheetData>
  <conditionalFormatting sqref="D1">
    <cfRule type="cellIs" dxfId="55" priority="1" operator="equal">
      <formula>FALSE</formula>
    </cfRule>
    <cfRule type="cellIs" dxfId="54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R_TdB</vt:lpstr>
      <vt:lpstr>Check</vt:lpstr>
      <vt:lpstr>R_Financial_Statements</vt:lpstr>
      <vt:lpstr>C_Support_Calculations</vt:lpstr>
      <vt:lpstr>D_Assumptions</vt:lpstr>
    </vt:vector>
  </TitlesOfParts>
  <Company>ANAH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PROUX</dc:creator>
  <cp:lastModifiedBy>Adrien PROUX</cp:lastModifiedBy>
  <dcterms:created xsi:type="dcterms:W3CDTF">2022-08-18T07:13:18Z</dcterms:created>
  <dcterms:modified xsi:type="dcterms:W3CDTF">2022-08-19T20:16:21Z</dcterms:modified>
</cp:coreProperties>
</file>